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0" yWindow="0" windowWidth="19420" windowHeight="9730" firstSheet="4" activeTab="4"/>
  </bookViews>
  <sheets>
    <sheet name="Par" sheetId="64" state="hidden" r:id="rId1"/>
    <sheet name="Pastel" sheetId="79" state="hidden" r:id="rId2"/>
    <sheet name="Resumen-Inic" sheetId="92" r:id="rId3"/>
    <sheet name="Resumen Total-Inic" sheetId="93" r:id="rId4"/>
    <sheet name="Índice" sheetId="66" r:id="rId5"/>
    <sheet name="Variables" sheetId="63" r:id="rId6"/>
    <sheet name="Resumen" sheetId="87" r:id="rId7"/>
    <sheet name="Resumen Total" sheetId="88" r:id="rId8"/>
    <sheet name="Ppto-Mes" sheetId="54" r:id="rId9"/>
    <sheet name="Ppto-Año" sheetId="76" r:id="rId10"/>
    <sheet name="PyG-Mes" sheetId="70" r:id="rId11"/>
    <sheet name="PyG-Año" sheetId="75" r:id="rId12"/>
    <sheet name="Bal Mes" sheetId="71" r:id="rId13"/>
    <sheet name="Bal Año" sheetId="74" r:id="rId14"/>
    <sheet name="Flujo-Mes" sheetId="78" r:id="rId15"/>
    <sheet name="Flujo-Año" sheetId="103" r:id="rId16"/>
    <sheet name="Tes Banrep" sheetId="85" r:id="rId17"/>
    <sheet name="Tes AVAL" sheetId="81" r:id="rId18"/>
    <sheet name="Betas" sheetId="61" r:id="rId19"/>
    <sheet name="Rent Mercado" sheetId="84" r:id="rId20"/>
    <sheet name="Riesgo País" sheetId="82" r:id="rId21"/>
    <sheet name="WACC Gral" sheetId="80" r:id="rId22"/>
    <sheet name="WACC Ajust" sheetId="86" r:id="rId23"/>
    <sheet name="Ebitda" sheetId="104" r:id="rId24"/>
    <sheet name="Inv Inicial" sheetId="23" r:id="rId25"/>
    <sheet name="Amort Inv Inic" sheetId="65" r:id="rId26"/>
    <sheet name="Inv Adic" sheetId="55" r:id="rId27"/>
    <sheet name="Amort Inv Adic" sheetId="67" r:id="rId28"/>
    <sheet name="Inv Temp" sheetId="73" r:id="rId29"/>
    <sheet name="DTF" sheetId="72" r:id="rId30"/>
    <sheet name="Financ 1" sheetId="59" r:id="rId31"/>
    <sheet name="Financ 2" sheetId="56" r:id="rId32"/>
    <sheet name="Financ 3" sheetId="69" r:id="rId33"/>
    <sheet name="Financ Total" sheetId="60" r:id="rId34"/>
    <sheet name="Productos $" sheetId="20" r:id="rId35"/>
    <sheet name="Productos Horas" sheetId="24" r:id="rId36"/>
    <sheet name="Clientes" sheetId="21" r:id="rId37"/>
    <sheet name="Ingresos Uds 100" sheetId="62" r:id="rId38"/>
    <sheet name="Ingresos Uds" sheetId="22" r:id="rId39"/>
    <sheet name="Ingresos $" sheetId="25" r:id="rId40"/>
    <sheet name="Ing Proyect" sheetId="26" r:id="rId41"/>
    <sheet name="Horas Productos" sheetId="31" r:id="rId42"/>
    <sheet name="HP Proyect" sheetId="37" r:id="rId43"/>
    <sheet name="Remuner" sheetId="35" r:id="rId44"/>
    <sheet name="Factor" sheetId="34" r:id="rId45"/>
    <sheet name="Factor Proy" sheetId="57" r:id="rId46"/>
    <sheet name="HC 2015" sheetId="36" r:id="rId47"/>
    <sheet name="RF 2015" sheetId="29" r:id="rId48"/>
    <sheet name="RV 2015" sheetId="49" r:id="rId49"/>
    <sheet name="RV 2015-Resumen" sheetId="94" r:id="rId50"/>
    <sheet name="HC 2016" sheetId="40" r:id="rId51"/>
    <sheet name="RF 2016" sheetId="41" r:id="rId52"/>
    <sheet name="RV 2016" sheetId="50" r:id="rId53"/>
    <sheet name="RV 2016-Resumen" sheetId="95" r:id="rId54"/>
    <sheet name="HC 2017" sheetId="42" r:id="rId55"/>
    <sheet name="RF 2017" sheetId="43" r:id="rId56"/>
    <sheet name="RV 2017" sheetId="51" r:id="rId57"/>
    <sheet name="RV 2017-Resumen" sheetId="96" r:id="rId58"/>
    <sheet name="HC 2018" sheetId="44" r:id="rId59"/>
    <sheet name="RF 2018" sheetId="45" r:id="rId60"/>
    <sheet name="RV 2018" sheetId="52" r:id="rId61"/>
    <sheet name="RV 2018-Resumen" sheetId="97" r:id="rId62"/>
    <sheet name="HC 2019" sheetId="46" r:id="rId63"/>
    <sheet name="RF 2019" sheetId="47" r:id="rId64"/>
    <sheet name="RV 2019" sheetId="53" r:id="rId65"/>
    <sheet name="RV 2019-Resumen" sheetId="98" r:id="rId66"/>
    <sheet name="Gastos Grales" sheetId="27" r:id="rId67"/>
    <sheet name="Gastos Proyect" sheetId="28" r:id="rId68"/>
    <sheet name="HC Proyect" sheetId="101" r:id="rId69"/>
    <sheet name="RF Proyect" sheetId="100" r:id="rId70"/>
    <sheet name="RV Proyect" sheetId="99" r:id="rId71"/>
    <sheet name="Gtos Consultores" sheetId="58" r:id="rId72"/>
    <sheet name="Gtos Nómina-Resumen" sheetId="102" r:id="rId73"/>
  </sheets>
  <externalReferences>
    <externalReference r:id="rId74"/>
  </externalReferences>
  <definedNames>
    <definedName name="_xlnm._FilterDatabase" localSheetId="46" hidden="1">'HC 2015'!$B$6:$D$22</definedName>
    <definedName name="_xlnm._FilterDatabase" localSheetId="50" hidden="1">'HC 2016'!$B$6:$D$22</definedName>
    <definedName name="_xlnm._FilterDatabase" localSheetId="54" hidden="1">'HC 2017'!$B$6:$D$22</definedName>
    <definedName name="_xlnm._FilterDatabase" localSheetId="58" hidden="1">'HC 2018'!$B$6:$D$22</definedName>
    <definedName name="_xlnm._FilterDatabase" localSheetId="62" hidden="1">'HC 2019'!$B$6:$D$22</definedName>
    <definedName name="_xlnm._FilterDatabase" localSheetId="68" hidden="1">'HC Proyect'!$B$6:$C$21</definedName>
    <definedName name="_xlnm._FilterDatabase" localSheetId="47" hidden="1">'RF 2015'!$B$6:$D$23</definedName>
    <definedName name="_xlnm._FilterDatabase" localSheetId="51" hidden="1">'RF 2016'!$B$6:$D$23</definedName>
    <definedName name="_xlnm._FilterDatabase" localSheetId="55" hidden="1">'RF 2017'!$B$6:$D$23</definedName>
    <definedName name="_xlnm._FilterDatabase" localSheetId="59" hidden="1">'RF 2018'!$B$6:$D$23</definedName>
    <definedName name="_xlnm._FilterDatabase" localSheetId="63" hidden="1">'RF 2019'!$B$6:$D$23</definedName>
    <definedName name="_xlnm._FilterDatabase" localSheetId="69" hidden="1">'RF Proyect'!$B$6:$D$21</definedName>
    <definedName name="_xlnm._FilterDatabase" localSheetId="48" hidden="1">'RV 2015'!#REF!</definedName>
    <definedName name="_xlnm._FilterDatabase" localSheetId="49" hidden="1">'RV 2015-Resumen'!#REF!</definedName>
    <definedName name="_xlnm._FilterDatabase" localSheetId="52" hidden="1">'RV 2016'!#REF!</definedName>
    <definedName name="_xlnm._FilterDatabase" localSheetId="53" hidden="1">'RV 2016-Resumen'!#REF!</definedName>
    <definedName name="_xlnm._FilterDatabase" localSheetId="56" hidden="1">'RV 2017'!#REF!</definedName>
    <definedName name="_xlnm._FilterDatabase" localSheetId="57" hidden="1">'RV 2017-Resumen'!#REF!</definedName>
    <definedName name="_xlnm._FilterDatabase" localSheetId="60" hidden="1">'RV 2018'!#REF!</definedName>
    <definedName name="_xlnm._FilterDatabase" localSheetId="61" hidden="1">'RV 2018-Resumen'!#REF!</definedName>
    <definedName name="_xlnm._FilterDatabase" localSheetId="64" hidden="1">'RV 2019'!#REF!</definedName>
    <definedName name="_xlnm._FilterDatabase" localSheetId="65" hidden="1">'RV 2019-Resumen'!#REF!</definedName>
    <definedName name="_xlnm._FilterDatabase" localSheetId="70" hidden="1">'RV Proyect'!#REF!</definedName>
    <definedName name="_xlnm._FilterDatabase" localSheetId="16" hidden="1">'Tes Banrep'!$A$6:$G$2809</definedName>
    <definedName name="_Parse_Out" localSheetId="27" hidden="1">#REF!</definedName>
    <definedName name="_Parse_Out" localSheetId="25" hidden="1">#REF!</definedName>
    <definedName name="_Parse_Out" localSheetId="13" hidden="1">#REF!</definedName>
    <definedName name="_Parse_Out" localSheetId="12" hidden="1">#REF!</definedName>
    <definedName name="_Parse_Out" localSheetId="29" hidden="1">#REF!</definedName>
    <definedName name="_Parse_Out" localSheetId="23" hidden="1">#REF!</definedName>
    <definedName name="_Parse_Out" localSheetId="45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33" hidden="1">#REF!</definedName>
    <definedName name="_Parse_Out" localSheetId="15" hidden="1">#REF!</definedName>
    <definedName name="_Parse_Out" localSheetId="14" hidden="1">#REF!</definedName>
    <definedName name="_Parse_Out" localSheetId="71" hidden="1">#REF!</definedName>
    <definedName name="_Parse_Out" localSheetId="72" hidden="1">#REF!</definedName>
    <definedName name="_Parse_Out" localSheetId="46" hidden="1">#REF!</definedName>
    <definedName name="_Parse_Out" localSheetId="50" hidden="1">#REF!</definedName>
    <definedName name="_Parse_Out" localSheetId="54" hidden="1">#REF!</definedName>
    <definedName name="_Parse_Out" localSheetId="58" hidden="1">#REF!</definedName>
    <definedName name="_Parse_Out" localSheetId="62" hidden="1">#REF!</definedName>
    <definedName name="_Parse_Out" localSheetId="68" hidden="1">#REF!</definedName>
    <definedName name="_Parse_Out" localSheetId="41" hidden="1">#REF!</definedName>
    <definedName name="_Parse_Out" localSheetId="42" hidden="1">#REF!</definedName>
    <definedName name="_Parse_Out" localSheetId="37" hidden="1">#REF!</definedName>
    <definedName name="_Parse_Out" localSheetId="26" hidden="1">#REF!</definedName>
    <definedName name="_Parse_Out" localSheetId="28" hidden="1">#REF!</definedName>
    <definedName name="_Parse_Out" localSheetId="1" hidden="1">#REF!</definedName>
    <definedName name="_Parse_Out" localSheetId="9" hidden="1">#REF!</definedName>
    <definedName name="_Parse_Out" localSheetId="11" hidden="1">#REF!</definedName>
    <definedName name="_Parse_Out" localSheetId="10" hidden="1">#REF!</definedName>
    <definedName name="_Parse_Out" localSheetId="43" hidden="1">#REF!</definedName>
    <definedName name="_Parse_Out" localSheetId="7" hidden="1">#REF!</definedName>
    <definedName name="_Parse_Out" localSheetId="3" hidden="1">#REF!</definedName>
    <definedName name="_Parse_Out" localSheetId="69" hidden="1">#REF!</definedName>
    <definedName name="_Parse_Out" localSheetId="48" hidden="1">#REF!</definedName>
    <definedName name="_Parse_Out" localSheetId="49" hidden="1">#REF!</definedName>
    <definedName name="_Parse_Out" localSheetId="52" hidden="1">#REF!</definedName>
    <definedName name="_Parse_Out" localSheetId="53" hidden="1">#REF!</definedName>
    <definedName name="_Parse_Out" localSheetId="56" hidden="1">#REF!</definedName>
    <definedName name="_Parse_Out" localSheetId="57" hidden="1">#REF!</definedName>
    <definedName name="_Parse_Out" localSheetId="60" hidden="1">#REF!</definedName>
    <definedName name="_Parse_Out" localSheetId="61" hidden="1">#REF!</definedName>
    <definedName name="_Parse_Out" localSheetId="64" hidden="1">#REF!</definedName>
    <definedName name="_Parse_Out" localSheetId="65" hidden="1">#REF!</definedName>
    <definedName name="_Parse_Out" localSheetId="70" hidden="1">#REF!</definedName>
    <definedName name="_Parse_Out" localSheetId="22" hidden="1">#REF!</definedName>
    <definedName name="_Parse_Out" hidden="1">#REF!</definedName>
    <definedName name="BuiltIn_Print_Titles">NA()</definedName>
    <definedName name="BuiltIn_Print_Titles___0">NA()</definedName>
    <definedName name="CREDITOS">Par!$B$15:$B$17</definedName>
    <definedName name="EXPECTATIVAS" localSheetId="23">[1]Financiación!#REF!</definedName>
    <definedName name="EXPECTATIVAS">Variables!$C$9:$C$14</definedName>
    <definedName name="MESESKT">Par!$B$11:$B$13</definedName>
    <definedName name="PLAZO2">Par!$B$19:$B$20</definedName>
    <definedName name="PROBABILIDADES" localSheetId="23">[1]Financiación!#REF!</definedName>
    <definedName name="PROBABILIDADES">Variables!$C$9:$C$14</definedName>
    <definedName name="q" localSheetId="27" hidden="1">#REF!</definedName>
    <definedName name="q" localSheetId="25" hidden="1">#REF!</definedName>
    <definedName name="q" localSheetId="13" hidden="1">#REF!</definedName>
    <definedName name="q" localSheetId="12" hidden="1">#REF!</definedName>
    <definedName name="q" localSheetId="29" hidden="1">#REF!</definedName>
    <definedName name="q" localSheetId="23" hidden="1">#REF!</definedName>
    <definedName name="q" localSheetId="45" hidden="1">#REF!</definedName>
    <definedName name="q" localSheetId="30" hidden="1">#REF!</definedName>
    <definedName name="q" localSheetId="31" hidden="1">#REF!</definedName>
    <definedName name="q" localSheetId="32" hidden="1">#REF!</definedName>
    <definedName name="q" localSheetId="33" hidden="1">#REF!</definedName>
    <definedName name="q" localSheetId="15" hidden="1">#REF!</definedName>
    <definedName name="q" localSheetId="14" hidden="1">#REF!</definedName>
    <definedName name="q" localSheetId="71" hidden="1">#REF!</definedName>
    <definedName name="q" localSheetId="72" hidden="1">#REF!</definedName>
    <definedName name="q" localSheetId="46" hidden="1">#REF!</definedName>
    <definedName name="q" localSheetId="50" hidden="1">#REF!</definedName>
    <definedName name="q" localSheetId="54" hidden="1">#REF!</definedName>
    <definedName name="q" localSheetId="58" hidden="1">#REF!</definedName>
    <definedName name="q" localSheetId="62" hidden="1">#REF!</definedName>
    <definedName name="q" localSheetId="68" hidden="1">#REF!</definedName>
    <definedName name="q" localSheetId="41" hidden="1">#REF!</definedName>
    <definedName name="q" localSheetId="42" hidden="1">#REF!</definedName>
    <definedName name="q" localSheetId="37" hidden="1">#REF!</definedName>
    <definedName name="q" localSheetId="26" hidden="1">#REF!</definedName>
    <definedName name="q" localSheetId="28" hidden="1">#REF!</definedName>
    <definedName name="q" localSheetId="1" hidden="1">#REF!</definedName>
    <definedName name="q" localSheetId="9" hidden="1">#REF!</definedName>
    <definedName name="q" localSheetId="11" hidden="1">#REF!</definedName>
    <definedName name="q" localSheetId="10" hidden="1">#REF!</definedName>
    <definedName name="q" localSheetId="43" hidden="1">#REF!</definedName>
    <definedName name="q" localSheetId="7" hidden="1">#REF!</definedName>
    <definedName name="q" localSheetId="3" hidden="1">#REF!</definedName>
    <definedName name="q" localSheetId="69" hidden="1">#REF!</definedName>
    <definedName name="q" localSheetId="48" hidden="1">#REF!</definedName>
    <definedName name="q" localSheetId="49" hidden="1">#REF!</definedName>
    <definedName name="q" localSheetId="52" hidden="1">#REF!</definedName>
    <definedName name="q" localSheetId="53" hidden="1">#REF!</definedName>
    <definedName name="q" localSheetId="56" hidden="1">#REF!</definedName>
    <definedName name="q" localSheetId="57" hidden="1">#REF!</definedName>
    <definedName name="q" localSheetId="60" hidden="1">#REF!</definedName>
    <definedName name="q" localSheetId="61" hidden="1">#REF!</definedName>
    <definedName name="q" localSheetId="64" hidden="1">#REF!</definedName>
    <definedName name="q" localSheetId="65" hidden="1">#REF!</definedName>
    <definedName name="q" localSheetId="70" hidden="1">#REF!</definedName>
    <definedName name="q" localSheetId="22" hidden="1">#REF!</definedName>
    <definedName name="q" hidden="1">#REF!</definedName>
    <definedName name="si" localSheetId="27" hidden="1">#REF!</definedName>
    <definedName name="si" localSheetId="25" hidden="1">#REF!</definedName>
    <definedName name="si" localSheetId="13" hidden="1">#REF!</definedName>
    <definedName name="si" localSheetId="12" hidden="1">#REF!</definedName>
    <definedName name="si" localSheetId="29" hidden="1">#REF!</definedName>
    <definedName name="si" localSheetId="23" hidden="1">#REF!</definedName>
    <definedName name="si" localSheetId="45" hidden="1">#REF!</definedName>
    <definedName name="si" localSheetId="30" hidden="1">#REF!</definedName>
    <definedName name="si" localSheetId="31" hidden="1">#REF!</definedName>
    <definedName name="si" localSheetId="32" hidden="1">#REF!</definedName>
    <definedName name="si" localSheetId="33" hidden="1">#REF!</definedName>
    <definedName name="si" localSheetId="15" hidden="1">#REF!</definedName>
    <definedName name="si" localSheetId="14" hidden="1">#REF!</definedName>
    <definedName name="si" localSheetId="71" hidden="1">#REF!</definedName>
    <definedName name="si" localSheetId="72" hidden="1">#REF!</definedName>
    <definedName name="si" localSheetId="46" hidden="1">#REF!</definedName>
    <definedName name="si" localSheetId="50" hidden="1">#REF!</definedName>
    <definedName name="si" localSheetId="54" hidden="1">#REF!</definedName>
    <definedName name="si" localSheetId="58" hidden="1">#REF!</definedName>
    <definedName name="si" localSheetId="62" hidden="1">#REF!</definedName>
    <definedName name="si" localSheetId="68" hidden="1">#REF!</definedName>
    <definedName name="si" localSheetId="41" hidden="1">#REF!</definedName>
    <definedName name="si" localSheetId="42" hidden="1">#REF!</definedName>
    <definedName name="si" localSheetId="37" hidden="1">#REF!</definedName>
    <definedName name="si" localSheetId="26" hidden="1">#REF!</definedName>
    <definedName name="si" localSheetId="28" hidden="1">#REF!</definedName>
    <definedName name="si" localSheetId="1" hidden="1">#REF!</definedName>
    <definedName name="si" localSheetId="9" hidden="1">#REF!</definedName>
    <definedName name="si" localSheetId="11" hidden="1">#REF!</definedName>
    <definedName name="si" localSheetId="10" hidden="1">#REF!</definedName>
    <definedName name="si" localSheetId="43" hidden="1">#REF!</definedName>
    <definedName name="si" localSheetId="7" hidden="1">#REF!</definedName>
    <definedName name="si" localSheetId="3" hidden="1">#REF!</definedName>
    <definedName name="si" localSheetId="69" hidden="1">#REF!</definedName>
    <definedName name="si" localSheetId="48" hidden="1">#REF!</definedName>
    <definedName name="si" localSheetId="49" hidden="1">#REF!</definedName>
    <definedName name="si" localSheetId="52" hidden="1">#REF!</definedName>
    <definedName name="si" localSheetId="53" hidden="1">#REF!</definedName>
    <definedName name="si" localSheetId="56" hidden="1">#REF!</definedName>
    <definedName name="si" localSheetId="57" hidden="1">#REF!</definedName>
    <definedName name="si" localSheetId="60" hidden="1">#REF!</definedName>
    <definedName name="si" localSheetId="61" hidden="1">#REF!</definedName>
    <definedName name="si" localSheetId="64" hidden="1">#REF!</definedName>
    <definedName name="si" localSheetId="65" hidden="1">#REF!</definedName>
    <definedName name="si" localSheetId="70" hidden="1">#REF!</definedName>
    <definedName name="si" localSheetId="22" hidden="1">#REF!</definedName>
    <definedName name="si" hidden="1">#REF!</definedName>
    <definedName name="SIGNO">Par!$B$22:$B$23</definedName>
    <definedName name="SIONO">Par!$B$8:$B$9</definedName>
    <definedName name="_xlnm.Print_Titles" localSheetId="46">'HC 2015'!$3:$6</definedName>
    <definedName name="_xlnm.Print_Titles" localSheetId="50">'HC 2016'!$3:$6</definedName>
    <definedName name="_xlnm.Print_Titles" localSheetId="54">'HC 2017'!$3:$6</definedName>
    <definedName name="_xlnm.Print_Titles" localSheetId="58">'HC 2018'!$3:$6</definedName>
    <definedName name="_xlnm.Print_Titles" localSheetId="62">'HC 2019'!$3:$6</definedName>
    <definedName name="_xlnm.Print_Titles" localSheetId="68">'HC Proyect'!$3:$6</definedName>
    <definedName name="_xlnm.Print_Titles" localSheetId="47">'RF 2015'!$3:$6</definedName>
    <definedName name="_xlnm.Print_Titles" localSheetId="51">'RF 2016'!$3:$6</definedName>
    <definedName name="_xlnm.Print_Titles" localSheetId="55">'RF 2017'!$3:$6</definedName>
    <definedName name="_xlnm.Print_Titles" localSheetId="59">'RF 2018'!$3:$6</definedName>
    <definedName name="_xlnm.Print_Titles" localSheetId="63">'RF 2019'!$3:$6</definedName>
    <definedName name="_xlnm.Print_Titles" localSheetId="69">'RF Proyect'!$3:$6</definedName>
  </definedNames>
  <calcPr calcId="145621"/>
</workbook>
</file>

<file path=xl/calcChain.xml><?xml version="1.0" encoding="utf-8"?>
<calcChain xmlns="http://schemas.openxmlformats.org/spreadsheetml/2006/main">
  <c r="M16" i="104" l="1"/>
  <c r="J15" i="104"/>
  <c r="J17" i="104" s="1"/>
  <c r="J12" i="104"/>
  <c r="I12" i="104"/>
  <c r="I15" i="104" s="1"/>
  <c r="I17" i="104" s="1"/>
  <c r="L9" i="104"/>
  <c r="L12" i="104" s="1"/>
  <c r="L15" i="104" s="1"/>
  <c r="L17" i="104" s="1"/>
  <c r="K9" i="104"/>
  <c r="K12" i="104" s="1"/>
  <c r="K15" i="104" s="1"/>
  <c r="K17" i="104" s="1"/>
  <c r="J9" i="104"/>
  <c r="I9" i="104"/>
  <c r="H9" i="104"/>
  <c r="M9" i="104" s="1"/>
  <c r="G9" i="104"/>
  <c r="G12" i="104" s="1"/>
  <c r="G15" i="104" l="1"/>
  <c r="H12" i="104"/>
  <c r="H15" i="104" s="1"/>
  <c r="H17" i="104" s="1"/>
  <c r="H31" i="104" l="1"/>
  <c r="H30" i="104"/>
  <c r="M15" i="104"/>
  <c r="G17" i="104"/>
  <c r="M12" i="104"/>
  <c r="E20" i="104" l="1"/>
  <c r="E21" i="104" s="1"/>
  <c r="E25" i="104"/>
  <c r="M17" i="104"/>
  <c r="E23" i="104"/>
  <c r="B156" i="87" l="1"/>
  <c r="B137" i="87"/>
  <c r="B118" i="87"/>
  <c r="B99" i="87"/>
  <c r="B80" i="87"/>
  <c r="B61" i="87"/>
  <c r="B42" i="87"/>
  <c r="B23" i="87"/>
  <c r="B4" i="87"/>
  <c r="E32" i="103"/>
  <c r="E30" i="103"/>
  <c r="L24" i="103"/>
  <c r="K24" i="103"/>
  <c r="J24" i="103"/>
  <c r="I24" i="103"/>
  <c r="H24" i="103"/>
  <c r="G24" i="103"/>
  <c r="G1" i="78"/>
  <c r="BO1" i="78"/>
  <c r="BN1" i="78"/>
  <c r="BM1" i="78"/>
  <c r="BL1" i="78"/>
  <c r="BK1" i="78"/>
  <c r="BJ1" i="78"/>
  <c r="BI1" i="78"/>
  <c r="BH1" i="78"/>
  <c r="BG1" i="78"/>
  <c r="BF1" i="78"/>
  <c r="BE1" i="78"/>
  <c r="BD1" i="78"/>
  <c r="BC1" i="78"/>
  <c r="BB1" i="78"/>
  <c r="BA1" i="78"/>
  <c r="AZ1" i="78"/>
  <c r="AY1" i="78"/>
  <c r="AX1" i="78"/>
  <c r="AW1" i="78"/>
  <c r="AV1" i="78"/>
  <c r="AU1" i="78"/>
  <c r="AT1" i="78"/>
  <c r="AS1" i="78"/>
  <c r="AR1" i="78"/>
  <c r="AQ1" i="78"/>
  <c r="AP1" i="78"/>
  <c r="AO1" i="78"/>
  <c r="AN1" i="78"/>
  <c r="AM1" i="78"/>
  <c r="AL1" i="78"/>
  <c r="AK1" i="78"/>
  <c r="AJ1" i="78"/>
  <c r="AI1" i="78"/>
  <c r="AH1" i="78"/>
  <c r="AG1" i="78"/>
  <c r="AF1" i="78"/>
  <c r="AE1" i="78"/>
  <c r="AD1" i="78"/>
  <c r="AC1" i="78"/>
  <c r="AB1" i="78"/>
  <c r="AA1" i="78"/>
  <c r="Z1" i="78"/>
  <c r="Y1" i="78"/>
  <c r="X1" i="78"/>
  <c r="W1" i="78"/>
  <c r="V1" i="78"/>
  <c r="U1" i="78"/>
  <c r="T1" i="78"/>
  <c r="S1" i="78"/>
  <c r="R1" i="78"/>
  <c r="Q1" i="78"/>
  <c r="P1" i="78"/>
  <c r="O1" i="78"/>
  <c r="N1" i="78"/>
  <c r="M1" i="78"/>
  <c r="L1" i="78"/>
  <c r="K1" i="78"/>
  <c r="J1" i="78"/>
  <c r="I1" i="78"/>
  <c r="H1" i="78"/>
  <c r="F32" i="103"/>
  <c r="F30" i="103"/>
  <c r="M24" i="103" l="1"/>
  <c r="F3" i="102" l="1"/>
  <c r="E3" i="102"/>
  <c r="D3" i="102"/>
  <c r="C3" i="102"/>
  <c r="B4" i="51"/>
  <c r="B4" i="52"/>
  <c r="B4" i="53"/>
  <c r="B4" i="50"/>
  <c r="B4" i="42"/>
  <c r="B4" i="44"/>
  <c r="B4" i="46"/>
  <c r="B4" i="40"/>
  <c r="B4" i="36"/>
  <c r="D7" i="99"/>
  <c r="H21" i="101"/>
  <c r="H20" i="101"/>
  <c r="G21" i="101"/>
  <c r="G20" i="101"/>
  <c r="F21" i="101"/>
  <c r="F20" i="101"/>
  <c r="E21" i="101"/>
  <c r="E20" i="101"/>
  <c r="D21" i="101"/>
  <c r="D20" i="101"/>
  <c r="I26" i="98" l="1"/>
  <c r="H26" i="98"/>
  <c r="G26" i="98"/>
  <c r="F26" i="98"/>
  <c r="E26" i="98"/>
  <c r="I20" i="98"/>
  <c r="H20" i="98"/>
  <c r="G20" i="98"/>
  <c r="F20" i="98"/>
  <c r="E20" i="98"/>
  <c r="I18" i="98"/>
  <c r="H18" i="98"/>
  <c r="G18" i="98"/>
  <c r="F18" i="98"/>
  <c r="E18" i="98"/>
  <c r="I15" i="98"/>
  <c r="H15" i="98"/>
  <c r="G15" i="98"/>
  <c r="F15" i="98"/>
  <c r="E15" i="98"/>
  <c r="I12" i="98"/>
  <c r="H12" i="98"/>
  <c r="G12" i="98"/>
  <c r="F12" i="98"/>
  <c r="E12" i="98"/>
  <c r="I11" i="98"/>
  <c r="H11" i="98"/>
  <c r="G11" i="98"/>
  <c r="F11" i="98"/>
  <c r="E11" i="98"/>
  <c r="I8" i="98"/>
  <c r="H8" i="98"/>
  <c r="L6" i="98"/>
  <c r="B4" i="98" s="1"/>
  <c r="J7" i="98"/>
  <c r="G7" i="99" s="1"/>
  <c r="I26" i="97"/>
  <c r="H26" i="97"/>
  <c r="G26" i="97"/>
  <c r="F26" i="97"/>
  <c r="E26" i="97"/>
  <c r="I20" i="97"/>
  <c r="H20" i="97"/>
  <c r="G20" i="97"/>
  <c r="F20" i="97"/>
  <c r="E20" i="97"/>
  <c r="I18" i="97"/>
  <c r="H18" i="97"/>
  <c r="G18" i="97"/>
  <c r="F18" i="97"/>
  <c r="E18" i="97"/>
  <c r="I15" i="97"/>
  <c r="H15" i="97"/>
  <c r="G15" i="97"/>
  <c r="F15" i="97"/>
  <c r="E15" i="97"/>
  <c r="I12" i="97"/>
  <c r="H12" i="97"/>
  <c r="G12" i="97"/>
  <c r="F12" i="97"/>
  <c r="E12" i="97"/>
  <c r="I11" i="97"/>
  <c r="H11" i="97"/>
  <c r="G11" i="97"/>
  <c r="F11" i="97"/>
  <c r="E11" i="97"/>
  <c r="I8" i="97"/>
  <c r="H8" i="97"/>
  <c r="L6" i="97"/>
  <c r="B4" i="97" s="1"/>
  <c r="J7" i="97"/>
  <c r="F7" i="99" s="1"/>
  <c r="I26" i="96"/>
  <c r="H26" i="96"/>
  <c r="G26" i="96"/>
  <c r="F26" i="96"/>
  <c r="E26" i="96"/>
  <c r="I20" i="96"/>
  <c r="H20" i="96"/>
  <c r="G20" i="96"/>
  <c r="F20" i="96"/>
  <c r="E20" i="96"/>
  <c r="I18" i="96"/>
  <c r="H18" i="96"/>
  <c r="G18" i="96"/>
  <c r="F18" i="96"/>
  <c r="E18" i="96"/>
  <c r="I15" i="96"/>
  <c r="H15" i="96"/>
  <c r="G15" i="96"/>
  <c r="F15" i="96"/>
  <c r="E15" i="96"/>
  <c r="I12" i="96"/>
  <c r="H12" i="96"/>
  <c r="G12" i="96"/>
  <c r="F12" i="96"/>
  <c r="E12" i="96"/>
  <c r="I11" i="96"/>
  <c r="H11" i="96"/>
  <c r="G11" i="96"/>
  <c r="F11" i="96"/>
  <c r="E11" i="96"/>
  <c r="I8" i="96"/>
  <c r="H8" i="96"/>
  <c r="L6" i="96"/>
  <c r="B4" i="96" s="1"/>
  <c r="J7" i="96"/>
  <c r="E7" i="99" s="1"/>
  <c r="I26" i="95"/>
  <c r="H26" i="95"/>
  <c r="G26" i="95"/>
  <c r="F26" i="95"/>
  <c r="E26" i="95"/>
  <c r="I20" i="95"/>
  <c r="H20" i="95"/>
  <c r="G20" i="95"/>
  <c r="F20" i="95"/>
  <c r="E20" i="95"/>
  <c r="I18" i="95"/>
  <c r="H18" i="95"/>
  <c r="G18" i="95"/>
  <c r="F18" i="95"/>
  <c r="E18" i="95"/>
  <c r="I15" i="95"/>
  <c r="H15" i="95"/>
  <c r="G15" i="95"/>
  <c r="F15" i="95"/>
  <c r="E15" i="95"/>
  <c r="I12" i="95"/>
  <c r="H12" i="95"/>
  <c r="G12" i="95"/>
  <c r="F12" i="95"/>
  <c r="E12" i="95"/>
  <c r="I11" i="95"/>
  <c r="H11" i="95"/>
  <c r="G11" i="95"/>
  <c r="F11" i="95"/>
  <c r="E11" i="95"/>
  <c r="I8" i="95"/>
  <c r="H8" i="95"/>
  <c r="L6" i="95"/>
  <c r="B4" i="95" s="1"/>
  <c r="J7" i="95"/>
  <c r="J7" i="94"/>
  <c r="C7" i="99" s="1"/>
  <c r="I26" i="94"/>
  <c r="H26" i="94"/>
  <c r="G26" i="94"/>
  <c r="F26" i="94"/>
  <c r="E26" i="94"/>
  <c r="I20" i="94"/>
  <c r="H20" i="94"/>
  <c r="G20" i="94"/>
  <c r="F20" i="94"/>
  <c r="E20" i="94"/>
  <c r="I18" i="94"/>
  <c r="H18" i="94"/>
  <c r="G18" i="94"/>
  <c r="F18" i="94"/>
  <c r="E18" i="94"/>
  <c r="I15" i="94"/>
  <c r="H15" i="94"/>
  <c r="G15" i="94"/>
  <c r="F15" i="94"/>
  <c r="E15" i="94"/>
  <c r="I12" i="94"/>
  <c r="H12" i="94"/>
  <c r="G12" i="94"/>
  <c r="F12" i="94"/>
  <c r="E12" i="94"/>
  <c r="I11" i="94"/>
  <c r="H11" i="94"/>
  <c r="G11" i="94"/>
  <c r="F11" i="94"/>
  <c r="E11" i="94"/>
  <c r="I8" i="94"/>
  <c r="H8" i="94"/>
  <c r="L6" i="94"/>
  <c r="B4" i="94" s="1"/>
  <c r="L9" i="98" l="1"/>
  <c r="L9" i="97"/>
  <c r="L9" i="96"/>
  <c r="L9" i="95"/>
  <c r="L9" i="94"/>
  <c r="D20" i="88"/>
  <c r="C20" i="88"/>
  <c r="C172" i="87"/>
  <c r="B172" i="87"/>
  <c r="C171" i="87"/>
  <c r="B171" i="87"/>
  <c r="C170" i="87"/>
  <c r="B170" i="87"/>
  <c r="C169" i="87"/>
  <c r="B169" i="87"/>
  <c r="B153" i="87"/>
  <c r="B152" i="87"/>
  <c r="B151" i="87"/>
  <c r="B150" i="87"/>
  <c r="B134" i="87"/>
  <c r="B133" i="87"/>
  <c r="B132" i="87"/>
  <c r="B131" i="87"/>
  <c r="B115" i="87"/>
  <c r="B114" i="87"/>
  <c r="B113" i="87"/>
  <c r="B112" i="87"/>
  <c r="B96" i="87"/>
  <c r="B95" i="87"/>
  <c r="B94" i="87"/>
  <c r="B93" i="87"/>
  <c r="B77" i="87"/>
  <c r="B76" i="87"/>
  <c r="B75" i="87"/>
  <c r="B74" i="87"/>
  <c r="B58" i="87"/>
  <c r="B57" i="87"/>
  <c r="B56" i="87"/>
  <c r="B55" i="87"/>
  <c r="B39" i="87"/>
  <c r="B38" i="87"/>
  <c r="B37" i="87"/>
  <c r="B36" i="87"/>
  <c r="D182" i="87"/>
  <c r="D181" i="87"/>
  <c r="D179" i="87"/>
  <c r="E179" i="87" s="1"/>
  <c r="D178" i="87"/>
  <c r="E178" i="87" s="1"/>
  <c r="D177" i="87"/>
  <c r="E177" i="87" s="1"/>
  <c r="D163" i="87"/>
  <c r="D162" i="87"/>
  <c r="D160" i="87"/>
  <c r="E160" i="87" s="1"/>
  <c r="D159" i="87"/>
  <c r="E159" i="87" s="1"/>
  <c r="D158" i="87"/>
  <c r="E158" i="87" s="1"/>
  <c r="D144" i="87"/>
  <c r="D143" i="87"/>
  <c r="D141" i="87"/>
  <c r="E141" i="87" s="1"/>
  <c r="D140" i="87"/>
  <c r="E140" i="87" s="1"/>
  <c r="D139" i="87"/>
  <c r="E139" i="87" s="1"/>
  <c r="D11" i="87"/>
  <c r="D10" i="87"/>
  <c r="D8" i="87"/>
  <c r="E8" i="87" s="1"/>
  <c r="D7" i="87"/>
  <c r="E7" i="87" s="1"/>
  <c r="D6" i="87"/>
  <c r="E6" i="87" s="1"/>
  <c r="B20" i="87"/>
  <c r="C19" i="87"/>
  <c r="B19" i="87"/>
  <c r="B18" i="87"/>
  <c r="B17" i="87"/>
  <c r="C208" i="92" l="1"/>
  <c r="B208" i="92"/>
  <c r="C207" i="92"/>
  <c r="B207" i="92"/>
  <c r="C206" i="92"/>
  <c r="B206" i="92"/>
  <c r="C205" i="92"/>
  <c r="B205" i="92"/>
  <c r="D199" i="92"/>
  <c r="D198" i="92"/>
  <c r="D196" i="92"/>
  <c r="E196" i="92" s="1"/>
  <c r="D195" i="92"/>
  <c r="E195" i="92" s="1"/>
  <c r="D194" i="92"/>
  <c r="E194" i="92" s="1"/>
  <c r="C189" i="92"/>
  <c r="B189" i="92"/>
  <c r="C188" i="92"/>
  <c r="B188" i="92"/>
  <c r="C187" i="92"/>
  <c r="B187" i="92"/>
  <c r="C186" i="92"/>
  <c r="B186" i="92"/>
  <c r="D180" i="92"/>
  <c r="D179" i="92"/>
  <c r="D177" i="92"/>
  <c r="E177" i="92" s="1"/>
  <c r="D176" i="92"/>
  <c r="E176" i="92" s="1"/>
  <c r="D175" i="92"/>
  <c r="E175" i="92" s="1"/>
  <c r="C170" i="92"/>
  <c r="B170" i="92"/>
  <c r="C169" i="92"/>
  <c r="B169" i="92"/>
  <c r="C168" i="92"/>
  <c r="B168" i="92"/>
  <c r="C167" i="92"/>
  <c r="B167" i="92"/>
  <c r="E158" i="92"/>
  <c r="E157" i="92"/>
  <c r="E156" i="92"/>
  <c r="C151" i="92"/>
  <c r="B151" i="92"/>
  <c r="C150" i="92"/>
  <c r="B150" i="92"/>
  <c r="C149" i="92"/>
  <c r="B149" i="92"/>
  <c r="C148" i="92"/>
  <c r="B148" i="92"/>
  <c r="E139" i="92"/>
  <c r="E138" i="92"/>
  <c r="E137" i="92"/>
  <c r="C132" i="92"/>
  <c r="B132" i="92"/>
  <c r="C131" i="92"/>
  <c r="B131" i="92"/>
  <c r="C130" i="92"/>
  <c r="B130" i="92"/>
  <c r="C129" i="92"/>
  <c r="B129" i="92"/>
  <c r="E120" i="92"/>
  <c r="E119" i="92"/>
  <c r="E118" i="92"/>
  <c r="C113" i="92"/>
  <c r="B113" i="92"/>
  <c r="C112" i="92"/>
  <c r="B112" i="92"/>
  <c r="C111" i="92"/>
  <c r="B111" i="92"/>
  <c r="C110" i="92"/>
  <c r="B110" i="92"/>
  <c r="E101" i="92"/>
  <c r="E100" i="92"/>
  <c r="E99" i="92"/>
  <c r="C94" i="92"/>
  <c r="B94" i="92"/>
  <c r="C93" i="92"/>
  <c r="B93" i="92"/>
  <c r="C92" i="92"/>
  <c r="B92" i="92"/>
  <c r="C91" i="92"/>
  <c r="B91" i="92"/>
  <c r="D85" i="92"/>
  <c r="D84" i="92"/>
  <c r="D82" i="92"/>
  <c r="E82" i="92" s="1"/>
  <c r="D81" i="92"/>
  <c r="E81" i="92" s="1"/>
  <c r="D80" i="92"/>
  <c r="E80" i="92" s="1"/>
  <c r="C75" i="92"/>
  <c r="B75" i="92"/>
  <c r="C74" i="92"/>
  <c r="B74" i="92"/>
  <c r="C73" i="92"/>
  <c r="B73" i="92"/>
  <c r="C72" i="92"/>
  <c r="B72" i="92"/>
  <c r="E63" i="92"/>
  <c r="E62" i="92"/>
  <c r="E61" i="92"/>
  <c r="C56" i="92"/>
  <c r="B56" i="92"/>
  <c r="C55" i="92"/>
  <c r="B55" i="92"/>
  <c r="C54" i="92"/>
  <c r="B54" i="92"/>
  <c r="C53" i="92"/>
  <c r="B53" i="92"/>
  <c r="E44" i="92"/>
  <c r="E43" i="92"/>
  <c r="E42" i="92"/>
  <c r="C37" i="92"/>
  <c r="B37" i="92"/>
  <c r="C36" i="92"/>
  <c r="B36" i="92"/>
  <c r="C35" i="92"/>
  <c r="B35" i="92"/>
  <c r="C34" i="92"/>
  <c r="B34" i="92"/>
  <c r="E25" i="92"/>
  <c r="E24" i="92"/>
  <c r="E23" i="92"/>
  <c r="A21" i="92"/>
  <c r="C18" i="92"/>
  <c r="B18" i="92"/>
  <c r="C17" i="92"/>
  <c r="B17" i="92"/>
  <c r="C16" i="92"/>
  <c r="B16" i="92"/>
  <c r="C15" i="92"/>
  <c r="B15" i="92"/>
  <c r="E6" i="92"/>
  <c r="E5" i="92"/>
  <c r="O4" i="92"/>
  <c r="E4" i="92"/>
  <c r="A59" i="92" l="1"/>
  <c r="A78" i="92" s="1"/>
  <c r="A40" i="92"/>
  <c r="B210" i="87"/>
  <c r="B209" i="87"/>
  <c r="B208" i="87"/>
  <c r="B207" i="87"/>
  <c r="C210" i="87"/>
  <c r="C209" i="87"/>
  <c r="C208" i="87"/>
  <c r="C207" i="87"/>
  <c r="D201" i="87"/>
  <c r="D200" i="87"/>
  <c r="D198" i="87"/>
  <c r="E198" i="87" s="1"/>
  <c r="D197" i="87"/>
  <c r="E197" i="87" s="1"/>
  <c r="D196" i="87"/>
  <c r="E196" i="87" s="1"/>
  <c r="A156" i="87"/>
  <c r="A137" i="87"/>
  <c r="A118" i="87"/>
  <c r="A99" i="87"/>
  <c r="A80" i="87"/>
  <c r="A61" i="87"/>
  <c r="A42" i="87"/>
  <c r="A23" i="87"/>
  <c r="O6" i="87"/>
  <c r="C191" i="87"/>
  <c r="B191" i="87"/>
  <c r="C190" i="87"/>
  <c r="B190" i="87"/>
  <c r="C189" i="87"/>
  <c r="B189" i="87"/>
  <c r="C188" i="87"/>
  <c r="B188" i="87"/>
  <c r="AB1" i="54"/>
  <c r="C21" i="63"/>
  <c r="A97" i="92" l="1"/>
  <c r="A116" i="92"/>
  <c r="T1" i="54"/>
  <c r="M1" i="54"/>
  <c r="M8" i="54" s="1"/>
  <c r="V1" i="71"/>
  <c r="W1" i="71" s="1"/>
  <c r="F1" i="71"/>
  <c r="A135" i="92" l="1"/>
  <c r="A154" i="92" s="1"/>
  <c r="V9" i="71"/>
  <c r="V77" i="71" s="1"/>
  <c r="V78" i="71" s="1"/>
  <c r="V25" i="71"/>
  <c r="V57" i="71"/>
  <c r="T8" i="54"/>
  <c r="V41" i="71"/>
  <c r="V17" i="71"/>
  <c r="V49" i="71"/>
  <c r="V33" i="71"/>
  <c r="V65" i="71"/>
  <c r="V21" i="71"/>
  <c r="V37" i="71"/>
  <c r="V53" i="71"/>
  <c r="V13" i="71"/>
  <c r="V29" i="71"/>
  <c r="V45" i="71"/>
  <c r="V61" i="71"/>
  <c r="V10" i="71"/>
  <c r="V14" i="71"/>
  <c r="V18" i="71"/>
  <c r="V22" i="71"/>
  <c r="V26" i="71"/>
  <c r="V30" i="71"/>
  <c r="V34" i="71"/>
  <c r="V38" i="71"/>
  <c r="V42" i="71"/>
  <c r="V46" i="71"/>
  <c r="V50" i="71"/>
  <c r="V54" i="71"/>
  <c r="V58" i="71"/>
  <c r="V62" i="71"/>
  <c r="V66" i="71"/>
  <c r="V11" i="71"/>
  <c r="V15" i="71"/>
  <c r="V19" i="71"/>
  <c r="V23" i="71"/>
  <c r="V27" i="71"/>
  <c r="V31" i="71"/>
  <c r="V35" i="71"/>
  <c r="V39" i="71"/>
  <c r="V43" i="71"/>
  <c r="V47" i="71"/>
  <c r="V51" i="71"/>
  <c r="V55" i="71"/>
  <c r="V59" i="71"/>
  <c r="V63" i="71"/>
  <c r="V67" i="71"/>
  <c r="V8" i="71"/>
  <c r="V12" i="71"/>
  <c r="V16" i="71"/>
  <c r="V20" i="71"/>
  <c r="V24" i="71"/>
  <c r="V28" i="71"/>
  <c r="V32" i="71"/>
  <c r="V36" i="71"/>
  <c r="V40" i="71"/>
  <c r="V44" i="71"/>
  <c r="V48" i="71"/>
  <c r="V52" i="71"/>
  <c r="V56" i="71"/>
  <c r="V60" i="71"/>
  <c r="V64" i="71"/>
  <c r="V68" i="71"/>
  <c r="G1" i="71"/>
  <c r="F8" i="71"/>
  <c r="D65" i="63"/>
  <c r="F12" i="63"/>
  <c r="B27" i="63"/>
  <c r="B20" i="88" s="1"/>
  <c r="F13" i="63"/>
  <c r="F11" i="63"/>
  <c r="D3" i="72"/>
  <c r="D2" i="72"/>
  <c r="D1" i="72"/>
  <c r="G68" i="58"/>
  <c r="G67" i="58"/>
  <c r="G66" i="58"/>
  <c r="G65" i="58"/>
  <c r="G64" i="58"/>
  <c r="G62" i="58"/>
  <c r="G61" i="58"/>
  <c r="G60" i="58"/>
  <c r="G59" i="58"/>
  <c r="G56" i="58"/>
  <c r="G55" i="58"/>
  <c r="G54" i="58"/>
  <c r="G53" i="58"/>
  <c r="G52" i="58"/>
  <c r="G50" i="58"/>
  <c r="G49" i="58"/>
  <c r="G48" i="58"/>
  <c r="G47" i="58"/>
  <c r="G44" i="58"/>
  <c r="G43" i="58"/>
  <c r="G42" i="58"/>
  <c r="G41" i="58"/>
  <c r="G40" i="58"/>
  <c r="G38" i="58"/>
  <c r="G37" i="58"/>
  <c r="G36" i="58"/>
  <c r="G35" i="58"/>
  <c r="G32" i="58"/>
  <c r="G31" i="58"/>
  <c r="G30" i="58"/>
  <c r="G29" i="58"/>
  <c r="G28" i="58"/>
  <c r="G26" i="58"/>
  <c r="G25" i="58"/>
  <c r="G24" i="58"/>
  <c r="G23" i="58"/>
  <c r="G20" i="58"/>
  <c r="G19" i="58"/>
  <c r="G18" i="58"/>
  <c r="G17" i="58"/>
  <c r="G16" i="58"/>
  <c r="G14" i="58"/>
  <c r="G13" i="58"/>
  <c r="G12" i="58"/>
  <c r="G11" i="58"/>
  <c r="G10" i="58"/>
  <c r="G9" i="58"/>
  <c r="B85" i="63"/>
  <c r="F14" i="63"/>
  <c r="F10" i="63"/>
  <c r="F9" i="63"/>
  <c r="F29" i="78"/>
  <c r="F31" i="78"/>
  <c r="B74" i="63"/>
  <c r="C9" i="72"/>
  <c r="D15" i="56" s="1"/>
  <c r="F2" i="25"/>
  <c r="B16" i="55"/>
  <c r="B27" i="80"/>
  <c r="C9" i="86"/>
  <c r="C6" i="86"/>
  <c r="F27" i="80"/>
  <c r="C38" i="80"/>
  <c r="D43" i="84"/>
  <c r="D42" i="84"/>
  <c r="V19" i="84"/>
  <c r="T19" i="84"/>
  <c r="S19" i="84"/>
  <c r="R19" i="84"/>
  <c r="Q19" i="84"/>
  <c r="P19" i="84"/>
  <c r="O19" i="84"/>
  <c r="N19" i="84"/>
  <c r="M19" i="84"/>
  <c r="L19" i="84"/>
  <c r="K19" i="84"/>
  <c r="J19" i="84"/>
  <c r="I19" i="84"/>
  <c r="B38" i="84"/>
  <c r="B37" i="84"/>
  <c r="B36" i="84"/>
  <c r="B35" i="84"/>
  <c r="B34" i="84"/>
  <c r="B33" i="84"/>
  <c r="B32" i="84"/>
  <c r="B31" i="84"/>
  <c r="B30" i="84"/>
  <c r="B29" i="84"/>
  <c r="D9" i="87" l="1"/>
  <c r="D180" i="87"/>
  <c r="D142" i="87"/>
  <c r="D161" i="87"/>
  <c r="D178" i="92"/>
  <c r="D83" i="92"/>
  <c r="D197" i="92"/>
  <c r="D199" i="87"/>
  <c r="G7" i="73"/>
  <c r="D15" i="59"/>
  <c r="D15" i="69"/>
  <c r="C10" i="72"/>
  <c r="M21" i="84"/>
  <c r="C30" i="84"/>
  <c r="Q21" i="84"/>
  <c r="C34" i="84"/>
  <c r="C31" i="84"/>
  <c r="N21" i="84"/>
  <c r="C35" i="84"/>
  <c r="R21" i="84"/>
  <c r="C32" i="84"/>
  <c r="O21" i="84"/>
  <c r="C36" i="84"/>
  <c r="S21" i="84"/>
  <c r="C29" i="84"/>
  <c r="L21" i="84"/>
  <c r="C33" i="84"/>
  <c r="P21" i="84"/>
  <c r="C37" i="84"/>
  <c r="T21" i="84"/>
  <c r="V21" i="84"/>
  <c r="C38" i="84"/>
  <c r="B32" i="80"/>
  <c r="B31" i="80"/>
  <c r="B34" i="80" s="1"/>
  <c r="B30" i="80"/>
  <c r="J28" i="80"/>
  <c r="C28" i="80"/>
  <c r="B28" i="80"/>
  <c r="C27" i="80"/>
  <c r="I15" i="80" s="1"/>
  <c r="A9" i="80"/>
  <c r="A10" i="80" s="1"/>
  <c r="A11" i="80" s="1"/>
  <c r="A12" i="80" s="1"/>
  <c r="A13" i="80" s="1"/>
  <c r="A14" i="80" s="1"/>
  <c r="A15" i="80" s="1"/>
  <c r="A16" i="80" s="1"/>
  <c r="A17" i="80" s="1"/>
  <c r="A18" i="80" s="1"/>
  <c r="A19" i="80" s="1"/>
  <c r="A20" i="80" s="1"/>
  <c r="A21" i="80" s="1"/>
  <c r="C11" i="72" l="1"/>
  <c r="C12" i="72" s="1"/>
  <c r="C13" i="72" s="1"/>
  <c r="C14" i="72" s="1"/>
  <c r="C15" i="72" s="1"/>
  <c r="C16" i="72" s="1"/>
  <c r="C17" i="72" s="1"/>
  <c r="C18" i="72" s="1"/>
  <c r="C19" i="72" s="1"/>
  <c r="C20" i="72" s="1"/>
  <c r="C21" i="72" s="1"/>
  <c r="C22" i="72" s="1"/>
  <c r="C23" i="72" s="1"/>
  <c r="C24" i="72" s="1"/>
  <c r="C25" i="72" s="1"/>
  <c r="C26" i="72" s="1"/>
  <c r="C27" i="72" s="1"/>
  <c r="C28" i="72" s="1"/>
  <c r="C29" i="72" s="1"/>
  <c r="C30" i="72" s="1"/>
  <c r="C31" i="72" s="1"/>
  <c r="C32" i="72" s="1"/>
  <c r="C33" i="72" s="1"/>
  <c r="C34" i="72" s="1"/>
  <c r="C35" i="72" s="1"/>
  <c r="C36" i="72" s="1"/>
  <c r="C37" i="72" s="1"/>
  <c r="C38" i="72" s="1"/>
  <c r="C39" i="72" s="1"/>
  <c r="C40" i="72" s="1"/>
  <c r="C41" i="72" s="1"/>
  <c r="C42" i="72" s="1"/>
  <c r="C43" i="72" s="1"/>
  <c r="C44" i="72" s="1"/>
  <c r="C45" i="72" s="1"/>
  <c r="C46" i="72" s="1"/>
  <c r="C47" i="72" s="1"/>
  <c r="C48" i="72" s="1"/>
  <c r="C49" i="72" s="1"/>
  <c r="C50" i="72" s="1"/>
  <c r="C51" i="72" s="1"/>
  <c r="C52" i="72" s="1"/>
  <c r="C53" i="72" s="1"/>
  <c r="C54" i="72" s="1"/>
  <c r="C55" i="72" s="1"/>
  <c r="C56" i="72" s="1"/>
  <c r="C57" i="72" s="1"/>
  <c r="C58" i="72" s="1"/>
  <c r="C59" i="72" s="1"/>
  <c r="C60" i="72" s="1"/>
  <c r="C61" i="72" s="1"/>
  <c r="C62" i="72" s="1"/>
  <c r="C63" i="72" s="1"/>
  <c r="C64" i="72" s="1"/>
  <c r="C65" i="72" s="1"/>
  <c r="C66" i="72" s="1"/>
  <c r="C67" i="72" s="1"/>
  <c r="C68" i="72" s="1"/>
  <c r="C69" i="72" s="1"/>
  <c r="D75" i="69" s="1"/>
  <c r="N23" i="80"/>
  <c r="C35" i="80"/>
  <c r="M12" i="80"/>
  <c r="M14" i="80"/>
  <c r="M17" i="80"/>
  <c r="M21" i="80"/>
  <c r="I19" i="80"/>
  <c r="I12" i="80"/>
  <c r="I18" i="80"/>
  <c r="I11" i="80"/>
  <c r="I21" i="80"/>
  <c r="I17" i="80"/>
  <c r="I10" i="80"/>
  <c r="I20" i="80"/>
  <c r="I16" i="80"/>
  <c r="I9" i="80"/>
  <c r="I8" i="80"/>
  <c r="M10" i="80"/>
  <c r="M13" i="80"/>
  <c r="M15" i="80"/>
  <c r="M19" i="80"/>
  <c r="M9" i="80"/>
  <c r="I13" i="80"/>
  <c r="M18" i="80"/>
  <c r="M8" i="80"/>
  <c r="M11" i="80"/>
  <c r="I14" i="80"/>
  <c r="M16" i="80"/>
  <c r="M20" i="80"/>
  <c r="L23" i="84"/>
  <c r="M23" i="84" s="1"/>
  <c r="N23" i="84" s="1"/>
  <c r="O23" i="84" s="1"/>
  <c r="P23" i="84" s="1"/>
  <c r="Q23" i="84" s="1"/>
  <c r="R23" i="84" s="1"/>
  <c r="S23" i="84" s="1"/>
  <c r="T23" i="84" s="1"/>
  <c r="U23" i="84" s="1"/>
  <c r="V23" i="84" s="1"/>
  <c r="C42" i="84"/>
  <c r="D29" i="84"/>
  <c r="D30" i="84" s="1"/>
  <c r="D31" i="84" s="1"/>
  <c r="D32" i="84" s="1"/>
  <c r="D33" i="84" s="1"/>
  <c r="D34" i="84" s="1"/>
  <c r="D35" i="84" s="1"/>
  <c r="D36" i="84" s="1"/>
  <c r="D37" i="84" s="1"/>
  <c r="D38" i="84" s="1"/>
  <c r="C43" i="84" s="1"/>
  <c r="B33" i="80"/>
  <c r="J29" i="80"/>
  <c r="J30" i="80" s="1"/>
  <c r="C7" i="73"/>
  <c r="D7" i="73" s="1"/>
  <c r="G9" i="73" l="1"/>
  <c r="G20" i="73"/>
  <c r="G12" i="73"/>
  <c r="G13" i="73"/>
  <c r="G28" i="73"/>
  <c r="G19" i="73"/>
  <c r="G25" i="73"/>
  <c r="G18" i="73"/>
  <c r="G11" i="73"/>
  <c r="G14" i="73"/>
  <c r="G15" i="73"/>
  <c r="G10" i="73"/>
  <c r="G52" i="73"/>
  <c r="G40" i="73"/>
  <c r="G43" i="73"/>
  <c r="G48" i="73"/>
  <c r="D75" i="56"/>
  <c r="G56" i="73"/>
  <c r="G55" i="73"/>
  <c r="G63" i="73"/>
  <c r="G23" i="73"/>
  <c r="G44" i="73"/>
  <c r="G49" i="73"/>
  <c r="G54" i="73"/>
  <c r="G59" i="73"/>
  <c r="G64" i="73"/>
  <c r="G26" i="73"/>
  <c r="D75" i="59"/>
  <c r="G62" i="73"/>
  <c r="G39" i="73"/>
  <c r="G33" i="73"/>
  <c r="G30" i="73"/>
  <c r="G35" i="73"/>
  <c r="G50" i="73"/>
  <c r="G53" i="73"/>
  <c r="G24" i="73"/>
  <c r="G31" i="73"/>
  <c r="G60" i="73"/>
  <c r="G65" i="73"/>
  <c r="G16" i="73"/>
  <c r="G21" i="73"/>
  <c r="G58" i="73"/>
  <c r="G67" i="73"/>
  <c r="G57" i="73"/>
  <c r="G45" i="73"/>
  <c r="G34" i="73"/>
  <c r="G38" i="73"/>
  <c r="G36" i="73"/>
  <c r="G41" i="73"/>
  <c r="G46" i="73"/>
  <c r="G51" i="73"/>
  <c r="G29" i="73"/>
  <c r="G66" i="73"/>
  <c r="G42" i="73"/>
  <c r="G61" i="73"/>
  <c r="G17" i="73"/>
  <c r="G22" i="73"/>
  <c r="G27" i="73"/>
  <c r="G32" i="73"/>
  <c r="G37" i="73"/>
  <c r="G47" i="73"/>
  <c r="C2" i="72"/>
  <c r="C3" i="72"/>
  <c r="C1" i="72"/>
  <c r="G8" i="73"/>
  <c r="D49" i="56"/>
  <c r="D49" i="69"/>
  <c r="D59" i="56"/>
  <c r="D59" i="69"/>
  <c r="D58" i="56"/>
  <c r="D58" i="69"/>
  <c r="D61" i="56"/>
  <c r="D61" i="69"/>
  <c r="D32" i="56"/>
  <c r="D32" i="69"/>
  <c r="D39" i="56"/>
  <c r="D39" i="69"/>
  <c r="D68" i="56"/>
  <c r="D68" i="69"/>
  <c r="D73" i="56"/>
  <c r="D73" i="69"/>
  <c r="D19" i="56"/>
  <c r="D19" i="69"/>
  <c r="D24" i="56"/>
  <c r="D24" i="69"/>
  <c r="D29" i="56"/>
  <c r="D29" i="69"/>
  <c r="D66" i="56"/>
  <c r="D66" i="69"/>
  <c r="D60" i="56"/>
  <c r="D60" i="69"/>
  <c r="D65" i="56"/>
  <c r="D65" i="69"/>
  <c r="D70" i="56"/>
  <c r="D70" i="69"/>
  <c r="D16" i="56"/>
  <c r="D16" i="69"/>
  <c r="D37" i="56"/>
  <c r="D37" i="69"/>
  <c r="D74" i="56"/>
  <c r="D74" i="69"/>
  <c r="D50" i="56"/>
  <c r="D50" i="69"/>
  <c r="D69" i="56"/>
  <c r="D69" i="69"/>
  <c r="D20" i="56"/>
  <c r="D20" i="69"/>
  <c r="D25" i="56"/>
  <c r="D25" i="69"/>
  <c r="D30" i="56"/>
  <c r="D30" i="69"/>
  <c r="D35" i="56"/>
  <c r="D35" i="69"/>
  <c r="D40" i="56"/>
  <c r="D40" i="69"/>
  <c r="D45" i="56"/>
  <c r="D45" i="69"/>
  <c r="D55" i="56"/>
  <c r="D55" i="69"/>
  <c r="D44" i="56"/>
  <c r="D44" i="69"/>
  <c r="D21" i="56"/>
  <c r="D21" i="69"/>
  <c r="D22" i="56"/>
  <c r="D22" i="69"/>
  <c r="D27" i="56"/>
  <c r="D27" i="69"/>
  <c r="D48" i="56"/>
  <c r="D48" i="69"/>
  <c r="D53" i="56"/>
  <c r="D53" i="69"/>
  <c r="D47" i="56"/>
  <c r="D47" i="69"/>
  <c r="D23" i="56"/>
  <c r="D23" i="69"/>
  <c r="D42" i="56"/>
  <c r="D42" i="69"/>
  <c r="D36" i="56"/>
  <c r="D36" i="69"/>
  <c r="D41" i="56"/>
  <c r="D41" i="69"/>
  <c r="D46" i="56"/>
  <c r="D46" i="69"/>
  <c r="D51" i="56"/>
  <c r="D51" i="69"/>
  <c r="D56" i="56"/>
  <c r="D56" i="69"/>
  <c r="D18" i="56"/>
  <c r="D18" i="69"/>
  <c r="D54" i="56"/>
  <c r="D54" i="69"/>
  <c r="D17" i="56"/>
  <c r="D17" i="69"/>
  <c r="D28" i="56"/>
  <c r="D28" i="69"/>
  <c r="D33" i="56"/>
  <c r="D33" i="69"/>
  <c r="D38" i="56"/>
  <c r="D38" i="69"/>
  <c r="D43" i="56"/>
  <c r="D43" i="69"/>
  <c r="D64" i="56"/>
  <c r="D64" i="69"/>
  <c r="D26" i="56"/>
  <c r="D26" i="69"/>
  <c r="D63" i="56"/>
  <c r="D63" i="69"/>
  <c r="D71" i="56"/>
  <c r="D71" i="69"/>
  <c r="D31" i="56"/>
  <c r="D31" i="69"/>
  <c r="D52" i="56"/>
  <c r="D52" i="69"/>
  <c r="D57" i="56"/>
  <c r="D57" i="69"/>
  <c r="D62" i="56"/>
  <c r="D62" i="69"/>
  <c r="D67" i="56"/>
  <c r="D67" i="69"/>
  <c r="D72" i="56"/>
  <c r="D72" i="69"/>
  <c r="D34" i="56"/>
  <c r="D34" i="69"/>
  <c r="D28" i="59"/>
  <c r="D33" i="59"/>
  <c r="D38" i="59"/>
  <c r="D43" i="59"/>
  <c r="D64" i="59"/>
  <c r="D26" i="59"/>
  <c r="D63" i="59"/>
  <c r="D71" i="59"/>
  <c r="D31" i="59"/>
  <c r="D52" i="59"/>
  <c r="D57" i="59"/>
  <c r="D62" i="59"/>
  <c r="D67" i="59"/>
  <c r="D56" i="59"/>
  <c r="D18" i="59"/>
  <c r="D44" i="59"/>
  <c r="D49" i="59"/>
  <c r="D54" i="59"/>
  <c r="D59" i="59"/>
  <c r="D21" i="59"/>
  <c r="D58" i="59"/>
  <c r="D61" i="59"/>
  <c r="D32" i="59"/>
  <c r="D39" i="59"/>
  <c r="D68" i="59"/>
  <c r="D73" i="59"/>
  <c r="D19" i="59"/>
  <c r="D72" i="59"/>
  <c r="D34" i="59"/>
  <c r="D60" i="59"/>
  <c r="D65" i="59"/>
  <c r="D70" i="59"/>
  <c r="D16" i="59"/>
  <c r="D37" i="59"/>
  <c r="D74" i="59"/>
  <c r="D50" i="59"/>
  <c r="D69" i="59"/>
  <c r="D20" i="59"/>
  <c r="D25" i="59"/>
  <c r="D30" i="59"/>
  <c r="D35" i="59"/>
  <c r="D24" i="59"/>
  <c r="D29" i="59"/>
  <c r="D66" i="59"/>
  <c r="D17" i="59"/>
  <c r="D22" i="59"/>
  <c r="D27" i="59"/>
  <c r="D48" i="59"/>
  <c r="D53" i="59"/>
  <c r="D47" i="59"/>
  <c r="D23" i="59"/>
  <c r="D42" i="59"/>
  <c r="D36" i="59"/>
  <c r="D41" i="59"/>
  <c r="D46" i="59"/>
  <c r="D51" i="59"/>
  <c r="D40" i="59"/>
  <c r="D45" i="59"/>
  <c r="D55" i="59"/>
  <c r="D35" i="80"/>
  <c r="M22" i="80"/>
  <c r="C39" i="80"/>
  <c r="C43" i="80" s="1"/>
  <c r="C42" i="80"/>
  <c r="C45" i="80" l="1"/>
  <c r="H21" i="80"/>
  <c r="J21" i="80" s="1"/>
  <c r="H19" i="80"/>
  <c r="J19" i="80" s="1"/>
  <c r="H17" i="80"/>
  <c r="J17" i="80" s="1"/>
  <c r="H12" i="80"/>
  <c r="J12" i="80" s="1"/>
  <c r="H10" i="80"/>
  <c r="J10" i="80" s="1"/>
  <c r="H20" i="80"/>
  <c r="J20" i="80" s="1"/>
  <c r="H18" i="80"/>
  <c r="J18" i="80" s="1"/>
  <c r="H16" i="80"/>
  <c r="J16" i="80" s="1"/>
  <c r="H11" i="80"/>
  <c r="J11" i="80" s="1"/>
  <c r="H9" i="80"/>
  <c r="J9" i="80" s="1"/>
  <c r="C15" i="86"/>
  <c r="C12" i="86"/>
  <c r="C13" i="86"/>
  <c r="H13" i="80"/>
  <c r="J13" i="80" s="1"/>
  <c r="L20" i="80"/>
  <c r="N20" i="80" s="1"/>
  <c r="L18" i="80"/>
  <c r="N18" i="80" s="1"/>
  <c r="L16" i="80"/>
  <c r="N16" i="80" s="1"/>
  <c r="L21" i="80"/>
  <c r="N21" i="80" s="1"/>
  <c r="L19" i="80"/>
  <c r="N19" i="80" s="1"/>
  <c r="L17" i="80"/>
  <c r="N17" i="80" s="1"/>
  <c r="L15" i="80"/>
  <c r="N15" i="80" s="1"/>
  <c r="H8" i="80"/>
  <c r="J8" i="80" s="1"/>
  <c r="H14" i="80"/>
  <c r="J14" i="80" s="1"/>
  <c r="L11" i="80"/>
  <c r="N11" i="80" s="1"/>
  <c r="L9" i="80"/>
  <c r="N9" i="80" s="1"/>
  <c r="L10" i="80"/>
  <c r="N10" i="80" s="1"/>
  <c r="L14" i="80"/>
  <c r="N14" i="80" s="1"/>
  <c r="L8" i="80"/>
  <c r="L12" i="80"/>
  <c r="N12" i="80" s="1"/>
  <c r="H15" i="80"/>
  <c r="J15" i="80" s="1"/>
  <c r="L13" i="80"/>
  <c r="N13" i="80" s="1"/>
  <c r="G22" i="78"/>
  <c r="G23" i="103" s="1"/>
  <c r="G21" i="78"/>
  <c r="G22" i="103" s="1"/>
  <c r="G20" i="78"/>
  <c r="G21" i="103" s="1"/>
  <c r="G19" i="78"/>
  <c r="G20" i="103" s="1"/>
  <c r="G23" i="78"/>
  <c r="C17" i="86" l="1"/>
  <c r="F85" i="63" s="1"/>
  <c r="E85" i="63"/>
  <c r="E84" i="63"/>
  <c r="C47" i="80"/>
  <c r="F84" i="63" s="1"/>
  <c r="J27" i="80"/>
  <c r="L22" i="80"/>
  <c r="N8" i="80"/>
  <c r="N22" i="80" s="1"/>
  <c r="N24" i="80" s="1"/>
  <c r="D16" i="79"/>
  <c r="E12" i="79"/>
  <c r="E6" i="79"/>
  <c r="E8" i="79" s="1"/>
  <c r="E29" i="78" l="1"/>
  <c r="F183" i="92"/>
  <c r="F164" i="92"/>
  <c r="F88" i="92"/>
  <c r="F50" i="92"/>
  <c r="F202" i="92"/>
  <c r="F145" i="92"/>
  <c r="F126" i="92"/>
  <c r="F31" i="92"/>
  <c r="G5" i="93"/>
  <c r="F107" i="92"/>
  <c r="F69" i="92"/>
  <c r="F12" i="92"/>
  <c r="F204" i="87"/>
  <c r="F185" i="87"/>
  <c r="F147" i="87"/>
  <c r="F109" i="87"/>
  <c r="F71" i="87"/>
  <c r="F14" i="87"/>
  <c r="G7" i="88"/>
  <c r="F166" i="87"/>
  <c r="F128" i="87"/>
  <c r="F90" i="87"/>
  <c r="F52" i="87"/>
  <c r="F33" i="87"/>
  <c r="E31" i="78"/>
  <c r="G202" i="92"/>
  <c r="G145" i="92"/>
  <c r="G126" i="92"/>
  <c r="H5" i="93"/>
  <c r="G107" i="92"/>
  <c r="G183" i="92"/>
  <c r="G164" i="92"/>
  <c r="G88" i="92"/>
  <c r="G69" i="92"/>
  <c r="G12" i="92"/>
  <c r="G50" i="92"/>
  <c r="G31" i="92"/>
  <c r="G204" i="87"/>
  <c r="G185" i="87"/>
  <c r="G147" i="87"/>
  <c r="G109" i="87"/>
  <c r="G71" i="87"/>
  <c r="G33" i="87"/>
  <c r="H7" i="88"/>
  <c r="G166" i="87"/>
  <c r="G128" i="87"/>
  <c r="G90" i="87"/>
  <c r="G52" i="87"/>
  <c r="G14" i="87"/>
  <c r="E9" i="79"/>
  <c r="E10" i="79" s="1"/>
  <c r="E13" i="79" s="1"/>
  <c r="E16" i="79" s="1"/>
  <c r="E18" i="79" s="1"/>
  <c r="AX2" i="76"/>
  <c r="AW2" i="76"/>
  <c r="AV2" i="76"/>
  <c r="AU2" i="76"/>
  <c r="AT2" i="76"/>
  <c r="AS2" i="76"/>
  <c r="AR2" i="76"/>
  <c r="AQ2" i="76"/>
  <c r="AP2" i="76"/>
  <c r="AO2" i="76"/>
  <c r="AN2" i="76"/>
  <c r="AM2" i="76"/>
  <c r="AL2" i="76"/>
  <c r="AK2" i="76"/>
  <c r="AJ2" i="76"/>
  <c r="AI2" i="76"/>
  <c r="AH2" i="76"/>
  <c r="AG2" i="76"/>
  <c r="AF2" i="76"/>
  <c r="AE2" i="76"/>
  <c r="AD2" i="76"/>
  <c r="AC2" i="76"/>
  <c r="AB2" i="76"/>
  <c r="AA2" i="76"/>
  <c r="Z2" i="76"/>
  <c r="Y2" i="76"/>
  <c r="X2" i="76"/>
  <c r="W2" i="76"/>
  <c r="V2" i="76"/>
  <c r="U2" i="76"/>
  <c r="T2" i="76"/>
  <c r="S2" i="76"/>
  <c r="R2" i="76"/>
  <c r="Q2" i="76"/>
  <c r="P2" i="76"/>
  <c r="O2" i="76"/>
  <c r="N2" i="76"/>
  <c r="M2" i="76"/>
  <c r="L2" i="76"/>
  <c r="K2" i="76"/>
  <c r="J2" i="76"/>
  <c r="I2" i="76"/>
  <c r="H2" i="76"/>
  <c r="G2" i="76"/>
  <c r="F2" i="76"/>
  <c r="E2" i="76"/>
  <c r="D2" i="76"/>
  <c r="D32" i="76"/>
  <c r="E28" i="76"/>
  <c r="E22" i="76"/>
  <c r="E24" i="76" s="1"/>
  <c r="C13" i="76"/>
  <c r="C12" i="76"/>
  <c r="C11" i="76"/>
  <c r="C10" i="76"/>
  <c r="C9" i="76"/>
  <c r="C8" i="76"/>
  <c r="AX1" i="76"/>
  <c r="AW1" i="76"/>
  <c r="AV1" i="76"/>
  <c r="AU1" i="76"/>
  <c r="AT1" i="76"/>
  <c r="AS1" i="76"/>
  <c r="AR1" i="76"/>
  <c r="AP1" i="76"/>
  <c r="AO1" i="76"/>
  <c r="AN1" i="76"/>
  <c r="AH1" i="76"/>
  <c r="AG1" i="76"/>
  <c r="AF1" i="76"/>
  <c r="AE1" i="76"/>
  <c r="AC1" i="76"/>
  <c r="V1" i="76"/>
  <c r="M1" i="76"/>
  <c r="N1" i="76" l="1"/>
  <c r="E25" i="76"/>
  <c r="E26" i="76" s="1"/>
  <c r="E29" i="76" s="1"/>
  <c r="E32" i="76" s="1"/>
  <c r="E34" i="76" s="1"/>
  <c r="L67" i="70"/>
  <c r="BO10" i="78" s="1"/>
  <c r="L66" i="70"/>
  <c r="BN10" i="78" s="1"/>
  <c r="L65" i="70"/>
  <c r="BM10" i="78" s="1"/>
  <c r="L64" i="70"/>
  <c r="BL10" i="78" s="1"/>
  <c r="L63" i="70"/>
  <c r="BK10" i="78" s="1"/>
  <c r="L62" i="70"/>
  <c r="BJ10" i="78" s="1"/>
  <c r="L61" i="70"/>
  <c r="BI10" i="78" s="1"/>
  <c r="L60" i="70"/>
  <c r="BH10" i="78" s="1"/>
  <c r="L59" i="70"/>
  <c r="BG10" i="78" s="1"/>
  <c r="L58" i="70"/>
  <c r="BF10" i="78" s="1"/>
  <c r="L57" i="70"/>
  <c r="BE10" i="78" s="1"/>
  <c r="L56" i="70"/>
  <c r="BD10" i="78" s="1"/>
  <c r="L55" i="70"/>
  <c r="BC10" i="78" s="1"/>
  <c r="L54" i="70"/>
  <c r="BB10" i="78" s="1"/>
  <c r="L53" i="70"/>
  <c r="BA10" i="78" s="1"/>
  <c r="L52" i="70"/>
  <c r="AZ10" i="78" s="1"/>
  <c r="L51" i="70"/>
  <c r="AY10" i="78" s="1"/>
  <c r="L50" i="70"/>
  <c r="AX10" i="78" s="1"/>
  <c r="L49" i="70"/>
  <c r="AW10" i="78" s="1"/>
  <c r="L48" i="70"/>
  <c r="AV10" i="78" s="1"/>
  <c r="L47" i="70"/>
  <c r="AU10" i="78" s="1"/>
  <c r="L46" i="70"/>
  <c r="AT10" i="78" s="1"/>
  <c r="L45" i="70"/>
  <c r="AS10" i="78" s="1"/>
  <c r="L44" i="70"/>
  <c r="AR10" i="78" s="1"/>
  <c r="L43" i="70"/>
  <c r="AQ10" i="78" s="1"/>
  <c r="L42" i="70"/>
  <c r="AP10" i="78" s="1"/>
  <c r="L41" i="70"/>
  <c r="AO10" i="78" s="1"/>
  <c r="L40" i="70"/>
  <c r="AN10" i="78" s="1"/>
  <c r="L39" i="70"/>
  <c r="AM10" i="78" s="1"/>
  <c r="L38" i="70"/>
  <c r="AL10" i="78" s="1"/>
  <c r="L37" i="70"/>
  <c r="AK10" i="78" s="1"/>
  <c r="L36" i="70"/>
  <c r="AJ10" i="78" s="1"/>
  <c r="L35" i="70"/>
  <c r="AI10" i="78" s="1"/>
  <c r="L34" i="70"/>
  <c r="AH10" i="78" s="1"/>
  <c r="L33" i="70"/>
  <c r="AG10" i="78" s="1"/>
  <c r="L32" i="70"/>
  <c r="AF10" i="78" s="1"/>
  <c r="L31" i="70"/>
  <c r="AE10" i="78" s="1"/>
  <c r="L30" i="70"/>
  <c r="AD10" i="78" s="1"/>
  <c r="L29" i="70"/>
  <c r="AC10" i="78" s="1"/>
  <c r="L28" i="70"/>
  <c r="AB10" i="78" s="1"/>
  <c r="L27" i="70"/>
  <c r="AA10" i="78" s="1"/>
  <c r="L26" i="70"/>
  <c r="Z10" i="78" s="1"/>
  <c r="L25" i="70"/>
  <c r="Y10" i="78" s="1"/>
  <c r="L24" i="70"/>
  <c r="X10" i="78" s="1"/>
  <c r="L23" i="70"/>
  <c r="W10" i="78" s="1"/>
  <c r="L22" i="70"/>
  <c r="V10" i="78" s="1"/>
  <c r="L21" i="70"/>
  <c r="U10" i="78" s="1"/>
  <c r="L20" i="70"/>
  <c r="T10" i="78" s="1"/>
  <c r="L19" i="70"/>
  <c r="S10" i="78" s="1"/>
  <c r="L18" i="70"/>
  <c r="R10" i="78" s="1"/>
  <c r="L17" i="70"/>
  <c r="Q10" i="78" s="1"/>
  <c r="L16" i="70"/>
  <c r="P10" i="78" s="1"/>
  <c r="L15" i="70"/>
  <c r="O10" i="78" s="1"/>
  <c r="L14" i="70"/>
  <c r="N10" i="78" s="1"/>
  <c r="L13" i="70"/>
  <c r="M10" i="78" s="1"/>
  <c r="L12" i="70"/>
  <c r="L10" i="78" s="1"/>
  <c r="L11" i="70"/>
  <c r="K10" i="78" s="1"/>
  <c r="L10" i="70"/>
  <c r="J10" i="78" s="1"/>
  <c r="L9" i="70"/>
  <c r="I10" i="78" s="1"/>
  <c r="L8" i="70"/>
  <c r="H10" i="78" s="1"/>
  <c r="L7" i="70"/>
  <c r="G10" i="78" s="1"/>
  <c r="G11" i="103" s="1"/>
  <c r="H11" i="103" l="1"/>
  <c r="I11" i="103"/>
  <c r="J11" i="103"/>
  <c r="K11" i="103"/>
  <c r="L11" i="103"/>
  <c r="L69" i="70"/>
  <c r="AX1" i="54"/>
  <c r="Y68" i="54"/>
  <c r="Y67" i="54"/>
  <c r="Y66" i="54"/>
  <c r="Y65" i="54"/>
  <c r="Y64" i="54"/>
  <c r="Y63" i="54"/>
  <c r="Y61" i="54"/>
  <c r="Y59" i="54"/>
  <c r="Y58" i="54"/>
  <c r="Y57" i="54"/>
  <c r="Y56" i="54"/>
  <c r="Y55" i="54"/>
  <c r="Y54" i="54"/>
  <c r="Y53" i="54"/>
  <c r="Y52" i="54"/>
  <c r="Y51" i="54"/>
  <c r="Y49" i="54"/>
  <c r="Y47" i="54"/>
  <c r="Y46" i="54"/>
  <c r="Y45" i="54"/>
  <c r="Y44" i="54"/>
  <c r="Y43" i="54"/>
  <c r="Y42" i="54"/>
  <c r="Y41" i="54"/>
  <c r="Y40" i="54"/>
  <c r="Y39" i="54"/>
  <c r="Y37" i="54"/>
  <c r="Y35" i="54"/>
  <c r="Y34" i="54"/>
  <c r="Y33" i="54"/>
  <c r="Y32" i="54"/>
  <c r="Y31" i="54"/>
  <c r="Y30" i="54"/>
  <c r="Y29" i="54"/>
  <c r="Y28" i="54"/>
  <c r="Y27" i="54"/>
  <c r="Y25" i="54"/>
  <c r="Y23" i="54"/>
  <c r="Y22" i="54"/>
  <c r="Y21" i="54"/>
  <c r="Y20" i="54"/>
  <c r="Y19" i="54"/>
  <c r="Y18" i="54"/>
  <c r="Y17" i="54"/>
  <c r="Y16" i="54"/>
  <c r="Y15" i="54"/>
  <c r="Y13" i="54"/>
  <c r="Y11" i="54"/>
  <c r="Y10" i="54"/>
  <c r="Y9" i="54"/>
  <c r="Y8" i="54"/>
  <c r="P2" i="71"/>
  <c r="D7" i="70"/>
  <c r="G6" i="78" s="1"/>
  <c r="G7" i="103" s="1"/>
  <c r="AH9" i="58" l="1"/>
  <c r="AG1" i="54"/>
  <c r="AF1" i="54"/>
  <c r="AG3" i="58" l="1"/>
  <c r="AG9" i="58"/>
  <c r="S8" i="54" s="1"/>
  <c r="F7" i="70" l="1"/>
  <c r="AI9" i="58"/>
  <c r="U8" i="71" s="1"/>
  <c r="AV1" i="54"/>
  <c r="AA8" i="71"/>
  <c r="AW1" i="54"/>
  <c r="AU1" i="54"/>
  <c r="AT1" i="54"/>
  <c r="AS1" i="54"/>
  <c r="AR1" i="54"/>
  <c r="AP1" i="54"/>
  <c r="AO1" i="54"/>
  <c r="AN1" i="54"/>
  <c r="X8" i="71"/>
  <c r="AN8" i="54"/>
  <c r="AI3" i="58"/>
  <c r="AM8" i="54"/>
  <c r="AF3" i="58"/>
  <c r="AH3" i="58"/>
  <c r="AE3" i="58"/>
  <c r="I2" i="71"/>
  <c r="AD1" i="65"/>
  <c r="AC1" i="65"/>
  <c r="AG1" i="65"/>
  <c r="AF1" i="65"/>
  <c r="BJ1" i="67"/>
  <c r="BK1" i="67"/>
  <c r="BM1" i="67"/>
  <c r="BN1" i="67"/>
  <c r="L2" i="71"/>
  <c r="L1" i="71"/>
  <c r="I1" i="71"/>
  <c r="BN12" i="67"/>
  <c r="BN11" i="67"/>
  <c r="BN10" i="67"/>
  <c r="BN9" i="67"/>
  <c r="BN8" i="67"/>
  <c r="BN7" i="67"/>
  <c r="BM12" i="67"/>
  <c r="BM11" i="67"/>
  <c r="BM10" i="67"/>
  <c r="BM9" i="67"/>
  <c r="BM8" i="67"/>
  <c r="BM7" i="67"/>
  <c r="BK18" i="67"/>
  <c r="BK17" i="67"/>
  <c r="BK16" i="67"/>
  <c r="BK15" i="67"/>
  <c r="BK14" i="67"/>
  <c r="BK13" i="67"/>
  <c r="BK12" i="67"/>
  <c r="BK11" i="67"/>
  <c r="BK10" i="67"/>
  <c r="BK9" i="67"/>
  <c r="BK8" i="67"/>
  <c r="BK7" i="67"/>
  <c r="BJ18" i="67"/>
  <c r="BJ17" i="67"/>
  <c r="BJ16" i="67"/>
  <c r="BJ15" i="67"/>
  <c r="BJ14" i="67"/>
  <c r="BJ13" i="67"/>
  <c r="BJ12" i="67"/>
  <c r="BJ11" i="67"/>
  <c r="BJ10" i="67"/>
  <c r="BJ9" i="67"/>
  <c r="BP9" i="67" s="1"/>
  <c r="BS9" i="67" s="1"/>
  <c r="BJ8" i="67"/>
  <c r="BJ7" i="67"/>
  <c r="BG7" i="67"/>
  <c r="BP11" i="67"/>
  <c r="BS11" i="67" s="1"/>
  <c r="BF7" i="67"/>
  <c r="BL7" i="67"/>
  <c r="BQ12" i="67"/>
  <c r="BT12" i="67" s="1"/>
  <c r="BQ11" i="67"/>
  <c r="BT11" i="67" s="1"/>
  <c r="BQ10" i="67"/>
  <c r="BT10" i="67" s="1"/>
  <c r="BQ9" i="67"/>
  <c r="BT9" i="67" s="1"/>
  <c r="BQ8" i="67"/>
  <c r="BT8" i="67" s="1"/>
  <c r="BP8" i="67"/>
  <c r="BS8" i="67" s="1"/>
  <c r="BP10" i="67"/>
  <c r="BR10" i="67" s="1"/>
  <c r="BU10" i="67" s="1"/>
  <c r="BP12" i="67"/>
  <c r="BO7" i="67"/>
  <c r="BO12" i="67"/>
  <c r="BO11" i="67"/>
  <c r="BO10" i="67"/>
  <c r="BO9" i="67"/>
  <c r="BO8" i="67"/>
  <c r="BL8" i="67"/>
  <c r="BL10" i="67"/>
  <c r="BL11" i="67"/>
  <c r="BL12" i="67"/>
  <c r="BL14" i="67"/>
  <c r="BL15" i="67"/>
  <c r="BL16" i="67"/>
  <c r="BL18" i="67"/>
  <c r="B71" i="71"/>
  <c r="C11" i="74"/>
  <c r="M15" i="69"/>
  <c r="C4" i="69"/>
  <c r="M15" i="56"/>
  <c r="C4" i="56"/>
  <c r="M15" i="59"/>
  <c r="O75" i="59"/>
  <c r="O74" i="59"/>
  <c r="O73" i="59"/>
  <c r="O72" i="59"/>
  <c r="O71" i="59"/>
  <c r="O70" i="59"/>
  <c r="O69" i="59"/>
  <c r="O68" i="59"/>
  <c r="O67" i="59"/>
  <c r="O66" i="59"/>
  <c r="O65" i="59"/>
  <c r="O64" i="59"/>
  <c r="O63" i="59"/>
  <c r="O62" i="59"/>
  <c r="O61" i="59"/>
  <c r="O60" i="59"/>
  <c r="O59" i="59"/>
  <c r="O58" i="59"/>
  <c r="O57" i="59"/>
  <c r="O56" i="59"/>
  <c r="O55" i="59"/>
  <c r="O54" i="59"/>
  <c r="O53" i="59"/>
  <c r="O52" i="59"/>
  <c r="O51" i="59"/>
  <c r="O50" i="59"/>
  <c r="O49" i="59"/>
  <c r="O48" i="59"/>
  <c r="O47" i="59"/>
  <c r="O46" i="59"/>
  <c r="O45" i="59"/>
  <c r="O44" i="59"/>
  <c r="O43" i="59"/>
  <c r="O42" i="59"/>
  <c r="O41" i="59"/>
  <c r="O40" i="59"/>
  <c r="O39" i="59"/>
  <c r="O38" i="59"/>
  <c r="O37" i="59"/>
  <c r="O36" i="59"/>
  <c r="O35" i="59"/>
  <c r="O34" i="59"/>
  <c r="O33" i="59"/>
  <c r="O32" i="59"/>
  <c r="O31" i="59"/>
  <c r="O30" i="59"/>
  <c r="O29" i="59"/>
  <c r="O28" i="59"/>
  <c r="O27" i="59"/>
  <c r="O26" i="59"/>
  <c r="O25" i="59"/>
  <c r="O24" i="59"/>
  <c r="O23" i="59"/>
  <c r="O22" i="59"/>
  <c r="O21" i="59"/>
  <c r="O20" i="59"/>
  <c r="O19" i="59"/>
  <c r="O18" i="59"/>
  <c r="O17" i="59"/>
  <c r="O16" i="59"/>
  <c r="C4" i="59"/>
  <c r="C32" i="74" l="1"/>
  <c r="X9" i="71"/>
  <c r="G7" i="70"/>
  <c r="AG10" i="58"/>
  <c r="BS10" i="67"/>
  <c r="BR12" i="67"/>
  <c r="BU12" i="67" s="1"/>
  <c r="BL13" i="67"/>
  <c r="BL9" i="67"/>
  <c r="BL17" i="67"/>
  <c r="BR9" i="67"/>
  <c r="BU9" i="67" s="1"/>
  <c r="BS12" i="67"/>
  <c r="BR11" i="67"/>
  <c r="BU11" i="67" s="1"/>
  <c r="BP7" i="67"/>
  <c r="BS7" i="67" s="1"/>
  <c r="BQ7" i="67"/>
  <c r="BT7" i="67" s="1"/>
  <c r="BR8" i="67"/>
  <c r="BU8" i="67" s="1"/>
  <c r="X10" i="71" l="1"/>
  <c r="X11" i="71" s="1"/>
  <c r="X12" i="71" s="1"/>
  <c r="X13" i="71" s="1"/>
  <c r="X14" i="71" s="1"/>
  <c r="X15" i="71" s="1"/>
  <c r="X16" i="71" s="1"/>
  <c r="X17" i="71" s="1"/>
  <c r="X18" i="71" s="1"/>
  <c r="X19" i="71" s="1"/>
  <c r="X20" i="71" s="1"/>
  <c r="X21" i="71" s="1"/>
  <c r="X22" i="71" s="1"/>
  <c r="X23" i="71" s="1"/>
  <c r="X24" i="71" s="1"/>
  <c r="X25" i="71" s="1"/>
  <c r="X26" i="71" s="1"/>
  <c r="X27" i="71" s="1"/>
  <c r="X28" i="71" s="1"/>
  <c r="X29" i="71" s="1"/>
  <c r="X30" i="71" s="1"/>
  <c r="X31" i="71" s="1"/>
  <c r="X32" i="71" s="1"/>
  <c r="X33" i="71" s="1"/>
  <c r="X34" i="71" s="1"/>
  <c r="X35" i="71" s="1"/>
  <c r="X36" i="71" s="1"/>
  <c r="X37" i="71" s="1"/>
  <c r="X38" i="71" s="1"/>
  <c r="X39" i="71" s="1"/>
  <c r="X40" i="71" s="1"/>
  <c r="X41" i="71" s="1"/>
  <c r="X42" i="71" s="1"/>
  <c r="X43" i="71" s="1"/>
  <c r="X44" i="71" s="1"/>
  <c r="X45" i="71" s="1"/>
  <c r="X46" i="71" s="1"/>
  <c r="X47" i="71" s="1"/>
  <c r="X48" i="71" s="1"/>
  <c r="X49" i="71" s="1"/>
  <c r="X50" i="71" s="1"/>
  <c r="X51" i="71" s="1"/>
  <c r="X52" i="71" s="1"/>
  <c r="X53" i="71" s="1"/>
  <c r="X54" i="71" s="1"/>
  <c r="X55" i="71" s="1"/>
  <c r="X56" i="71" s="1"/>
  <c r="X57" i="71" s="1"/>
  <c r="X58" i="71" s="1"/>
  <c r="X59" i="71" s="1"/>
  <c r="X60" i="71" s="1"/>
  <c r="X61" i="71" s="1"/>
  <c r="X62" i="71" s="1"/>
  <c r="X63" i="71" s="1"/>
  <c r="X64" i="71" s="1"/>
  <c r="X65" i="71" s="1"/>
  <c r="X66" i="71" s="1"/>
  <c r="X67" i="71" s="1"/>
  <c r="X68" i="71" s="1"/>
  <c r="X77" i="71"/>
  <c r="X78" i="71" s="1"/>
  <c r="AG11" i="58"/>
  <c r="S10" i="54" s="1"/>
  <c r="F9" i="70" s="1"/>
  <c r="S9" i="54"/>
  <c r="BR7" i="67"/>
  <c r="BU7" i="67" s="1"/>
  <c r="H7" i="73" l="1"/>
  <c r="F8" i="70"/>
  <c r="AG12" i="58"/>
  <c r="S11" i="54" s="1"/>
  <c r="F10" i="70" s="1"/>
  <c r="F8" i="54"/>
  <c r="H8" i="73"/>
  <c r="AG13" i="58" l="1"/>
  <c r="H9" i="73"/>
  <c r="AE1" i="54"/>
  <c r="AG14" i="58" l="1"/>
  <c r="S13" i="54" s="1"/>
  <c r="F12" i="70" s="1"/>
  <c r="S12" i="54"/>
  <c r="H10" i="73"/>
  <c r="C19" i="63"/>
  <c r="C20" i="63"/>
  <c r="C68" i="71"/>
  <c r="C67" i="71"/>
  <c r="C66" i="71"/>
  <c r="C65" i="71"/>
  <c r="C64" i="71"/>
  <c r="C63" i="71"/>
  <c r="C62" i="71"/>
  <c r="C61" i="71"/>
  <c r="C60" i="71"/>
  <c r="C59" i="71"/>
  <c r="C58" i="71"/>
  <c r="C57" i="71"/>
  <c r="C56" i="71"/>
  <c r="C55" i="71"/>
  <c r="C54" i="71"/>
  <c r="C53" i="71"/>
  <c r="C52" i="71"/>
  <c r="C51" i="71"/>
  <c r="C50" i="71"/>
  <c r="C49" i="71"/>
  <c r="C48" i="71"/>
  <c r="C47" i="71"/>
  <c r="C46" i="71"/>
  <c r="C45" i="71"/>
  <c r="C44" i="71"/>
  <c r="C43" i="71"/>
  <c r="C42" i="71"/>
  <c r="C41" i="71"/>
  <c r="C40" i="71"/>
  <c r="C39" i="71"/>
  <c r="C38" i="71"/>
  <c r="C37" i="71"/>
  <c r="C36" i="71"/>
  <c r="C35" i="71"/>
  <c r="C34" i="71"/>
  <c r="C33" i="71"/>
  <c r="C32" i="71"/>
  <c r="C31" i="71"/>
  <c r="C30" i="71"/>
  <c r="C29" i="71"/>
  <c r="C28" i="71"/>
  <c r="C27" i="71"/>
  <c r="C26" i="71"/>
  <c r="C25" i="71"/>
  <c r="C24" i="71"/>
  <c r="C23" i="71"/>
  <c r="C22" i="71"/>
  <c r="C21" i="71"/>
  <c r="C20" i="71"/>
  <c r="C19" i="71"/>
  <c r="C18" i="71"/>
  <c r="C17" i="71"/>
  <c r="C16" i="71"/>
  <c r="C15" i="71"/>
  <c r="C14" i="71"/>
  <c r="C13" i="71"/>
  <c r="C12" i="71"/>
  <c r="C11" i="71"/>
  <c r="C10" i="71"/>
  <c r="C9" i="71"/>
  <c r="C8" i="71"/>
  <c r="F11" i="70" l="1"/>
  <c r="H11" i="73"/>
  <c r="N1" i="54"/>
  <c r="D87" i="54"/>
  <c r="E83" i="54"/>
  <c r="E77" i="54"/>
  <c r="E79" i="54" s="1"/>
  <c r="E80" i="54" s="1"/>
  <c r="B2" i="70"/>
  <c r="C67" i="70"/>
  <c r="C66" i="70"/>
  <c r="C65" i="70"/>
  <c r="C64" i="70"/>
  <c r="C63" i="70"/>
  <c r="C62" i="70"/>
  <c r="C61" i="70"/>
  <c r="C60" i="70"/>
  <c r="C59" i="70"/>
  <c r="C58" i="70"/>
  <c r="C57" i="70"/>
  <c r="C56" i="70"/>
  <c r="C55" i="70"/>
  <c r="C54" i="70"/>
  <c r="C53" i="70"/>
  <c r="C52" i="70"/>
  <c r="C51" i="70"/>
  <c r="C50" i="70"/>
  <c r="C49" i="70"/>
  <c r="C48" i="70"/>
  <c r="C47" i="70"/>
  <c r="C46" i="70"/>
  <c r="C45" i="70"/>
  <c r="C44" i="70"/>
  <c r="C43" i="70"/>
  <c r="C42" i="70"/>
  <c r="C41" i="70"/>
  <c r="C40" i="70"/>
  <c r="C39" i="70"/>
  <c r="C38" i="70"/>
  <c r="C37" i="70"/>
  <c r="C36" i="70"/>
  <c r="C35" i="70"/>
  <c r="C34" i="70"/>
  <c r="C33" i="70"/>
  <c r="C32" i="70"/>
  <c r="C31" i="70"/>
  <c r="C30" i="70"/>
  <c r="C29" i="70"/>
  <c r="C28" i="70"/>
  <c r="C27" i="70"/>
  <c r="C26" i="70"/>
  <c r="C25" i="70"/>
  <c r="C24" i="70"/>
  <c r="C23" i="70"/>
  <c r="C22" i="70"/>
  <c r="C21" i="70"/>
  <c r="C20" i="70"/>
  <c r="C19" i="70"/>
  <c r="C18" i="70"/>
  <c r="C17" i="70"/>
  <c r="C16" i="70"/>
  <c r="C15" i="70"/>
  <c r="C14" i="70"/>
  <c r="C13" i="70"/>
  <c r="C12" i="70"/>
  <c r="C11" i="70"/>
  <c r="C10" i="70"/>
  <c r="C9" i="70"/>
  <c r="C8" i="70"/>
  <c r="C7" i="70"/>
  <c r="C8" i="75" l="1"/>
  <c r="C12" i="75"/>
  <c r="E12" i="75"/>
  <c r="H12" i="75"/>
  <c r="D12" i="75"/>
  <c r="F12" i="75"/>
  <c r="G12" i="75"/>
  <c r="E2" i="70"/>
  <c r="G2" i="70"/>
  <c r="F2" i="70"/>
  <c r="H2" i="70"/>
  <c r="V2" i="70"/>
  <c r="N2" i="70"/>
  <c r="S2" i="70"/>
  <c r="U2" i="70"/>
  <c r="L2" i="70"/>
  <c r="P2" i="70"/>
  <c r="I2" i="70"/>
  <c r="K2" i="70"/>
  <c r="H12" i="73"/>
  <c r="E81" i="54"/>
  <c r="E84" i="54" s="1"/>
  <c r="E87" i="54" s="1"/>
  <c r="E89" i="54" s="1"/>
  <c r="D2" i="70"/>
  <c r="AC1" i="54"/>
  <c r="U1" i="54"/>
  <c r="B52" i="63"/>
  <c r="BE7" i="67"/>
  <c r="BD7" i="67"/>
  <c r="BB12" i="67"/>
  <c r="BB11" i="67"/>
  <c r="BB10" i="67"/>
  <c r="BB9" i="67"/>
  <c r="BB8" i="67"/>
  <c r="BB7" i="67"/>
  <c r="AG16" i="58" l="1"/>
  <c r="S15" i="54" s="1"/>
  <c r="H13" i="73"/>
  <c r="C3" i="69"/>
  <c r="C3" i="56"/>
  <c r="C3" i="59"/>
  <c r="C7" i="69"/>
  <c r="C6" i="69"/>
  <c r="C7" i="56"/>
  <c r="C6" i="56"/>
  <c r="C7" i="59"/>
  <c r="C6" i="59"/>
  <c r="C9" i="69" l="1"/>
  <c r="C8" i="69"/>
  <c r="C9" i="56"/>
  <c r="C8" i="56"/>
  <c r="F14" i="70"/>
  <c r="C9" i="59"/>
  <c r="C8" i="59"/>
  <c r="E22" i="69"/>
  <c r="H14" i="73"/>
  <c r="F75" i="69"/>
  <c r="F74" i="69"/>
  <c r="F73" i="69"/>
  <c r="F72" i="69"/>
  <c r="F71" i="69"/>
  <c r="F70" i="69"/>
  <c r="F69" i="69"/>
  <c r="F68" i="69"/>
  <c r="F67" i="69"/>
  <c r="F66" i="69"/>
  <c r="F65" i="69"/>
  <c r="F64" i="69"/>
  <c r="F63" i="69"/>
  <c r="F62" i="69"/>
  <c r="F61" i="69"/>
  <c r="F60" i="69"/>
  <c r="F59" i="69"/>
  <c r="F58" i="69"/>
  <c r="F57" i="69"/>
  <c r="F56" i="69"/>
  <c r="F55" i="69"/>
  <c r="F54" i="69"/>
  <c r="F53" i="69"/>
  <c r="F52" i="69"/>
  <c r="F51" i="69"/>
  <c r="F50" i="69"/>
  <c r="F49" i="69"/>
  <c r="F48" i="69"/>
  <c r="F47" i="69"/>
  <c r="F46" i="69"/>
  <c r="F45" i="69"/>
  <c r="F44" i="69"/>
  <c r="F43" i="69"/>
  <c r="F42" i="69"/>
  <c r="F41" i="69"/>
  <c r="F40" i="69"/>
  <c r="F39" i="69"/>
  <c r="F38" i="69"/>
  <c r="F37" i="69"/>
  <c r="F36" i="69"/>
  <c r="F35" i="69"/>
  <c r="F34" i="69"/>
  <c r="F33" i="69"/>
  <c r="F32" i="69"/>
  <c r="F31" i="69"/>
  <c r="F30" i="69"/>
  <c r="F29" i="69"/>
  <c r="F28" i="69"/>
  <c r="F27" i="69"/>
  <c r="F26" i="69"/>
  <c r="F25" i="69"/>
  <c r="F24" i="69"/>
  <c r="F23" i="69"/>
  <c r="F22" i="69"/>
  <c r="F21" i="69"/>
  <c r="E21" i="69"/>
  <c r="F20" i="69"/>
  <c r="E20" i="69"/>
  <c r="F19" i="69"/>
  <c r="E19" i="69"/>
  <c r="F18" i="69"/>
  <c r="E18" i="69"/>
  <c r="F17" i="69"/>
  <c r="E17" i="69"/>
  <c r="F16" i="69"/>
  <c r="E16" i="69"/>
  <c r="F15" i="69"/>
  <c r="E15" i="69"/>
  <c r="E16" i="55"/>
  <c r="E67" i="54"/>
  <c r="E66" i="54"/>
  <c r="E65" i="54"/>
  <c r="E64" i="54"/>
  <c r="E63" i="54"/>
  <c r="E62" i="54"/>
  <c r="E61" i="54"/>
  <c r="E60" i="54"/>
  <c r="E59" i="54"/>
  <c r="E58" i="54"/>
  <c r="E57" i="54"/>
  <c r="E55" i="54"/>
  <c r="E54" i="54"/>
  <c r="E53" i="54"/>
  <c r="E52" i="54"/>
  <c r="E51" i="54"/>
  <c r="E50" i="54"/>
  <c r="E49" i="54"/>
  <c r="E48" i="54"/>
  <c r="E47" i="54"/>
  <c r="E46" i="54"/>
  <c r="E45" i="54"/>
  <c r="E43" i="54"/>
  <c r="E42" i="54"/>
  <c r="E41" i="54"/>
  <c r="E40" i="54"/>
  <c r="E39" i="54"/>
  <c r="E38" i="54"/>
  <c r="E37" i="54"/>
  <c r="E36" i="54"/>
  <c r="E35" i="54"/>
  <c r="E34" i="54"/>
  <c r="E33" i="54"/>
  <c r="E31" i="54"/>
  <c r="E30" i="54"/>
  <c r="E29" i="54"/>
  <c r="E28" i="54"/>
  <c r="E27" i="54"/>
  <c r="E26" i="54"/>
  <c r="E25" i="54"/>
  <c r="E24" i="54"/>
  <c r="E23" i="54"/>
  <c r="E22" i="54"/>
  <c r="E21" i="54"/>
  <c r="E19" i="54"/>
  <c r="E18" i="54"/>
  <c r="E17" i="54"/>
  <c r="E16" i="54"/>
  <c r="E15" i="54"/>
  <c r="E14" i="54"/>
  <c r="E13" i="54"/>
  <c r="E12" i="54"/>
  <c r="E11" i="54"/>
  <c r="E10" i="54"/>
  <c r="E9" i="54"/>
  <c r="E8" i="54"/>
  <c r="C9" i="54"/>
  <c r="C10" i="54"/>
  <c r="C11" i="54"/>
  <c r="C12" i="54"/>
  <c r="C13" i="54"/>
  <c r="C14" i="54"/>
  <c r="C15" i="54"/>
  <c r="C16" i="54"/>
  <c r="C17" i="54"/>
  <c r="C18" i="54"/>
  <c r="C19" i="54"/>
  <c r="C20" i="54"/>
  <c r="C21" i="54"/>
  <c r="C22" i="54"/>
  <c r="C23" i="54"/>
  <c r="C24" i="54"/>
  <c r="C25" i="54"/>
  <c r="C26" i="54"/>
  <c r="C27" i="54"/>
  <c r="C28" i="54"/>
  <c r="C29" i="54"/>
  <c r="C30" i="54"/>
  <c r="C31" i="54"/>
  <c r="C32" i="54"/>
  <c r="C33" i="54"/>
  <c r="C34" i="54"/>
  <c r="C35" i="54"/>
  <c r="C36" i="54"/>
  <c r="C37" i="54"/>
  <c r="C38" i="54"/>
  <c r="C39" i="54"/>
  <c r="C40" i="54"/>
  <c r="C41" i="54"/>
  <c r="C42" i="54"/>
  <c r="C43" i="54"/>
  <c r="C44" i="54"/>
  <c r="C45" i="54"/>
  <c r="C46" i="54"/>
  <c r="C47" i="54"/>
  <c r="C48" i="54"/>
  <c r="C49" i="54"/>
  <c r="C50" i="54"/>
  <c r="C51" i="54"/>
  <c r="C52" i="54"/>
  <c r="C53" i="54"/>
  <c r="C54" i="54"/>
  <c r="C55" i="54"/>
  <c r="C56" i="54"/>
  <c r="C57" i="54"/>
  <c r="C58" i="54"/>
  <c r="C59" i="54"/>
  <c r="C60" i="54"/>
  <c r="C61" i="54"/>
  <c r="C62" i="54"/>
  <c r="C63" i="54"/>
  <c r="C64" i="54"/>
  <c r="C65" i="54"/>
  <c r="C66" i="54"/>
  <c r="C67" i="54"/>
  <c r="C68" i="54"/>
  <c r="C8" i="54"/>
  <c r="AJ13" i="54"/>
  <c r="AJ12" i="54"/>
  <c r="AJ11" i="54"/>
  <c r="AJ10" i="54"/>
  <c r="AJ9" i="54"/>
  <c r="AJ8" i="54"/>
  <c r="BB1" i="67"/>
  <c r="V10" i="76" l="1"/>
  <c r="V13" i="76"/>
  <c r="V9" i="76"/>
  <c r="O11" i="76"/>
  <c r="I13" i="76"/>
  <c r="I9" i="76"/>
  <c r="D10" i="76"/>
  <c r="V8" i="76"/>
  <c r="O10" i="76"/>
  <c r="D13" i="76"/>
  <c r="V12" i="76"/>
  <c r="I12" i="76"/>
  <c r="D9" i="76"/>
  <c r="V11" i="76"/>
  <c r="O13" i="76"/>
  <c r="O9" i="76"/>
  <c r="I11" i="76"/>
  <c r="D12" i="76"/>
  <c r="O12" i="76"/>
  <c r="O8" i="76"/>
  <c r="I10" i="76"/>
  <c r="D11" i="76"/>
  <c r="Y8" i="76"/>
  <c r="S8" i="76"/>
  <c r="AM8" i="76"/>
  <c r="AN8" i="76"/>
  <c r="F8" i="76"/>
  <c r="M8" i="76"/>
  <c r="E8" i="76"/>
  <c r="AJ8" i="76"/>
  <c r="AG17" i="58"/>
  <c r="S16" i="54" s="1"/>
  <c r="F15" i="70" s="1"/>
  <c r="E23" i="69"/>
  <c r="G23" i="69" s="1"/>
  <c r="H23" i="69" s="1"/>
  <c r="I23" i="69" s="1"/>
  <c r="J23" i="69" s="1"/>
  <c r="K23" i="69" s="1"/>
  <c r="H15" i="73"/>
  <c r="G16" i="69"/>
  <c r="H16" i="69" s="1"/>
  <c r="I16" i="69" s="1"/>
  <c r="J16" i="69" s="1"/>
  <c r="K16" i="69" s="1"/>
  <c r="G18" i="69"/>
  <c r="H18" i="69" s="1"/>
  <c r="I18" i="69" s="1"/>
  <c r="J18" i="69" s="1"/>
  <c r="K18" i="69" s="1"/>
  <c r="G20" i="69"/>
  <c r="H20" i="69" s="1"/>
  <c r="I20" i="69" s="1"/>
  <c r="J20" i="69" s="1"/>
  <c r="K20" i="69" s="1"/>
  <c r="G22" i="69"/>
  <c r="H22" i="69" s="1"/>
  <c r="I22" i="69" s="1"/>
  <c r="J22" i="69" s="1"/>
  <c r="K22" i="69" s="1"/>
  <c r="G17" i="69"/>
  <c r="H17" i="69" s="1"/>
  <c r="I17" i="69" s="1"/>
  <c r="J17" i="69" s="1"/>
  <c r="K17" i="69" s="1"/>
  <c r="G19" i="69"/>
  <c r="H19" i="69" s="1"/>
  <c r="I19" i="69" s="1"/>
  <c r="J19" i="69" s="1"/>
  <c r="K19" i="69" s="1"/>
  <c r="G21" i="69"/>
  <c r="H21" i="69" s="1"/>
  <c r="I21" i="69" s="1"/>
  <c r="J21" i="69" s="1"/>
  <c r="K21" i="69" s="1"/>
  <c r="G15" i="69"/>
  <c r="H15" i="69" s="1"/>
  <c r="I15" i="69" s="1"/>
  <c r="J15" i="69" s="1"/>
  <c r="K15" i="69" s="1"/>
  <c r="L15" i="69" s="1"/>
  <c r="N15" i="69" s="1"/>
  <c r="BC7" i="67"/>
  <c r="AZ55" i="67"/>
  <c r="BA54" i="67"/>
  <c r="AZ54" i="67"/>
  <c r="BA53" i="67"/>
  <c r="AZ53" i="67"/>
  <c r="BA52" i="67"/>
  <c r="AZ52" i="67"/>
  <c r="BA51" i="67"/>
  <c r="AZ51" i="67"/>
  <c r="BA50" i="67"/>
  <c r="AZ50" i="67"/>
  <c r="BA49" i="67"/>
  <c r="AZ49" i="67"/>
  <c r="BA48" i="67"/>
  <c r="AZ48" i="67"/>
  <c r="BA47" i="67"/>
  <c r="AZ47" i="67"/>
  <c r="BA46" i="67"/>
  <c r="AZ46" i="67"/>
  <c r="BA45" i="67"/>
  <c r="AZ45" i="67"/>
  <c r="BA44" i="67"/>
  <c r="AZ44" i="67"/>
  <c r="BA43" i="67"/>
  <c r="AZ43" i="67"/>
  <c r="BA42" i="67"/>
  <c r="AZ42" i="67"/>
  <c r="BA41" i="67"/>
  <c r="AZ41" i="67"/>
  <c r="BA40" i="67"/>
  <c r="AZ40" i="67"/>
  <c r="BA39" i="67"/>
  <c r="AZ39" i="67"/>
  <c r="BA38" i="67"/>
  <c r="AZ38" i="67"/>
  <c r="BA37" i="67"/>
  <c r="AZ37" i="67"/>
  <c r="BA36" i="67"/>
  <c r="AZ36" i="67"/>
  <c r="BA35" i="67"/>
  <c r="AZ35" i="67"/>
  <c r="BA34" i="67"/>
  <c r="AZ34" i="67"/>
  <c r="BA33" i="67"/>
  <c r="AZ33" i="67"/>
  <c r="BA32" i="67"/>
  <c r="AZ32" i="67"/>
  <c r="BA31" i="67"/>
  <c r="AZ31" i="67"/>
  <c r="BA30" i="67"/>
  <c r="AZ30" i="67"/>
  <c r="BA29" i="67"/>
  <c r="AZ29" i="67"/>
  <c r="BA28" i="67"/>
  <c r="AZ28" i="67"/>
  <c r="BA27" i="67"/>
  <c r="AZ27" i="67"/>
  <c r="BA26" i="67"/>
  <c r="AZ26" i="67"/>
  <c r="BA25" i="67"/>
  <c r="AZ25" i="67"/>
  <c r="BA24" i="67"/>
  <c r="AZ24" i="67"/>
  <c r="BA23" i="67"/>
  <c r="AZ23" i="67"/>
  <c r="BA22" i="67"/>
  <c r="AZ22" i="67"/>
  <c r="BA21" i="67"/>
  <c r="AZ21" i="67"/>
  <c r="BA20" i="67"/>
  <c r="AZ20" i="67"/>
  <c r="BA19" i="67"/>
  <c r="AZ19" i="67"/>
  <c r="BA18" i="67"/>
  <c r="AZ18" i="67"/>
  <c r="BA17" i="67"/>
  <c r="AZ17" i="67"/>
  <c r="BA16" i="67"/>
  <c r="AZ16" i="67"/>
  <c r="BA15" i="67"/>
  <c r="AZ15" i="67"/>
  <c r="BA14" i="67"/>
  <c r="AZ14" i="67"/>
  <c r="BA13" i="67"/>
  <c r="AZ13" i="67"/>
  <c r="BA12" i="67"/>
  <c r="AZ12" i="67"/>
  <c r="BA11" i="67"/>
  <c r="AZ11" i="67"/>
  <c r="BA10" i="67"/>
  <c r="AZ10" i="67"/>
  <c r="BA9" i="67"/>
  <c r="AZ9" i="67"/>
  <c r="BA8" i="67"/>
  <c r="AZ8" i="67"/>
  <c r="BA7" i="67"/>
  <c r="AZ7" i="67"/>
  <c r="AV61" i="67"/>
  <c r="AK31" i="67"/>
  <c r="AW37" i="67"/>
  <c r="AX36" i="67"/>
  <c r="AW36" i="67"/>
  <c r="AX35" i="67"/>
  <c r="AW35" i="67"/>
  <c r="AX34" i="67"/>
  <c r="AW34" i="67"/>
  <c r="AX33" i="67"/>
  <c r="AW33" i="67"/>
  <c r="AX32" i="67"/>
  <c r="AW32" i="67"/>
  <c r="AX31" i="67"/>
  <c r="AW31" i="67"/>
  <c r="AU31" i="67"/>
  <c r="AQ31" i="67"/>
  <c r="AO31" i="67"/>
  <c r="AN31" i="67"/>
  <c r="AL31" i="67"/>
  <c r="AX30" i="67"/>
  <c r="AW30" i="67"/>
  <c r="AR30" i="67"/>
  <c r="AQ30" i="67"/>
  <c r="AL30" i="67"/>
  <c r="AK30" i="67"/>
  <c r="AX29" i="67"/>
  <c r="AW29" i="67"/>
  <c r="AR29" i="67"/>
  <c r="AQ29" i="67"/>
  <c r="AL29" i="67"/>
  <c r="AK29" i="67"/>
  <c r="AX28" i="67"/>
  <c r="AW28" i="67"/>
  <c r="AR28" i="67"/>
  <c r="AQ28" i="67"/>
  <c r="AL28" i="67"/>
  <c r="AK28" i="67"/>
  <c r="AX27" i="67"/>
  <c r="AW27" i="67"/>
  <c r="AR27" i="67"/>
  <c r="AQ27" i="67"/>
  <c r="AL27" i="67"/>
  <c r="AK27" i="67"/>
  <c r="AX26" i="67"/>
  <c r="AW26" i="67"/>
  <c r="AR26" i="67"/>
  <c r="AQ26" i="67"/>
  <c r="AL26" i="67"/>
  <c r="AK26" i="67"/>
  <c r="AX25" i="67"/>
  <c r="AW25" i="67"/>
  <c r="AR25" i="67"/>
  <c r="AQ25" i="67"/>
  <c r="AL25" i="67"/>
  <c r="AK25" i="67"/>
  <c r="AX24" i="67"/>
  <c r="AW24" i="67"/>
  <c r="AR24" i="67"/>
  <c r="AQ24" i="67"/>
  <c r="AL24" i="67"/>
  <c r="AK24" i="67"/>
  <c r="AX23" i="67"/>
  <c r="AW23" i="67"/>
  <c r="AR23" i="67"/>
  <c r="AQ23" i="67"/>
  <c r="AL23" i="67"/>
  <c r="AK23" i="67"/>
  <c r="AX22" i="67"/>
  <c r="AW22" i="67"/>
  <c r="AR22" i="67"/>
  <c r="AQ22" i="67"/>
  <c r="AL22" i="67"/>
  <c r="AK22" i="67"/>
  <c r="AX21" i="67"/>
  <c r="AW21" i="67"/>
  <c r="AR21" i="67"/>
  <c r="AQ21" i="67"/>
  <c r="AL21" i="67"/>
  <c r="AK21" i="67"/>
  <c r="AX20" i="67"/>
  <c r="AW20" i="67"/>
  <c r="AR20" i="67"/>
  <c r="AQ20" i="67"/>
  <c r="AL20" i="67"/>
  <c r="AK20" i="67"/>
  <c r="AX19" i="67"/>
  <c r="AW19" i="67"/>
  <c r="AR19" i="67"/>
  <c r="AQ19" i="67"/>
  <c r="AL19" i="67"/>
  <c r="AK19" i="67"/>
  <c r="AX18" i="67"/>
  <c r="AW18" i="67"/>
  <c r="AR18" i="67"/>
  <c r="AQ18" i="67"/>
  <c r="AL18" i="67"/>
  <c r="AK18" i="67"/>
  <c r="AX17" i="67"/>
  <c r="AW17" i="67"/>
  <c r="AR17" i="67"/>
  <c r="AQ17" i="67"/>
  <c r="AL17" i="67"/>
  <c r="AK17" i="67"/>
  <c r="AX16" i="67"/>
  <c r="AW16" i="67"/>
  <c r="AR16" i="67"/>
  <c r="AQ16" i="67"/>
  <c r="AL16" i="67"/>
  <c r="AK16" i="67"/>
  <c r="AX15" i="67"/>
  <c r="AW15" i="67"/>
  <c r="AR15" i="67"/>
  <c r="AQ15" i="67"/>
  <c r="AL15" i="67"/>
  <c r="AK15" i="67"/>
  <c r="AX14" i="67"/>
  <c r="AW14" i="67"/>
  <c r="AR14" i="67"/>
  <c r="AQ14" i="67"/>
  <c r="AL14" i="67"/>
  <c r="AK14" i="67"/>
  <c r="AX13" i="67"/>
  <c r="AW13" i="67"/>
  <c r="AR13" i="67"/>
  <c r="AQ13" i="67"/>
  <c r="AL13" i="67"/>
  <c r="AK13" i="67"/>
  <c r="AX12" i="67"/>
  <c r="AW12" i="67"/>
  <c r="AR12" i="67"/>
  <c r="AQ12" i="67"/>
  <c r="AL12" i="67"/>
  <c r="AK12" i="67"/>
  <c r="AX11" i="67"/>
  <c r="AW11" i="67"/>
  <c r="AR11" i="67"/>
  <c r="AQ11" i="67"/>
  <c r="AL11" i="67"/>
  <c r="AK11" i="67"/>
  <c r="AX10" i="67"/>
  <c r="AW10" i="67"/>
  <c r="AR10" i="67"/>
  <c r="AQ10" i="67"/>
  <c r="AL10" i="67"/>
  <c r="AK10" i="67"/>
  <c r="AX9" i="67"/>
  <c r="AW9" i="67"/>
  <c r="AR9" i="67"/>
  <c r="AQ9" i="67"/>
  <c r="AL9" i="67"/>
  <c r="AK9" i="67"/>
  <c r="AX8" i="67"/>
  <c r="AW8" i="67"/>
  <c r="AT8" i="67"/>
  <c r="AR8" i="67"/>
  <c r="AQ8" i="67"/>
  <c r="AL8" i="67"/>
  <c r="AK8" i="67"/>
  <c r="AX7" i="67"/>
  <c r="AW7" i="67"/>
  <c r="AU7" i="67"/>
  <c r="AT7" i="67"/>
  <c r="AR7" i="67"/>
  <c r="AQ7" i="67"/>
  <c r="AO7" i="67"/>
  <c r="AN7" i="67"/>
  <c r="AL7" i="67"/>
  <c r="AK7" i="67"/>
  <c r="AG49" i="67"/>
  <c r="AI36" i="67"/>
  <c r="AH36" i="67"/>
  <c r="AI35" i="67"/>
  <c r="AH35" i="67"/>
  <c r="AI34" i="67"/>
  <c r="AH34" i="67"/>
  <c r="AI33" i="67"/>
  <c r="AH33" i="67"/>
  <c r="AI32" i="67"/>
  <c r="AH32" i="67"/>
  <c r="AI31" i="67"/>
  <c r="AH31" i="67"/>
  <c r="AE31" i="67"/>
  <c r="AF31" i="67"/>
  <c r="AI30" i="67"/>
  <c r="AH30" i="67"/>
  <c r="AI29" i="67"/>
  <c r="AH29" i="67"/>
  <c r="AI28" i="67"/>
  <c r="AH28" i="67"/>
  <c r="AI27" i="67"/>
  <c r="AH27" i="67"/>
  <c r="AI26" i="67"/>
  <c r="AH26" i="67"/>
  <c r="AI25" i="67"/>
  <c r="AH25" i="67"/>
  <c r="AI24" i="67"/>
  <c r="AH24" i="67"/>
  <c r="AI23" i="67"/>
  <c r="AH23" i="67"/>
  <c r="AI22" i="67"/>
  <c r="AH22" i="67"/>
  <c r="AI21" i="67"/>
  <c r="AH21" i="67"/>
  <c r="AI20" i="67"/>
  <c r="AH20" i="67"/>
  <c r="AI19" i="67"/>
  <c r="AH19" i="67"/>
  <c r="AI18" i="67"/>
  <c r="AH18" i="67"/>
  <c r="AI17" i="67"/>
  <c r="AH17" i="67"/>
  <c r="AI16" i="67"/>
  <c r="AH16" i="67"/>
  <c r="AI15" i="67"/>
  <c r="AH15" i="67"/>
  <c r="AI14" i="67"/>
  <c r="AH14" i="67"/>
  <c r="AI13" i="67"/>
  <c r="AH13" i="67"/>
  <c r="AI12" i="67"/>
  <c r="AH12" i="67"/>
  <c r="AI11" i="67"/>
  <c r="AH11" i="67"/>
  <c r="AI10" i="67"/>
  <c r="AH10" i="67"/>
  <c r="AI9" i="67"/>
  <c r="AH9" i="67"/>
  <c r="AI8" i="67"/>
  <c r="AH8" i="67"/>
  <c r="AI7" i="67"/>
  <c r="AH7" i="67"/>
  <c r="AF7" i="67"/>
  <c r="AE7" i="67"/>
  <c r="AA37" i="67"/>
  <c r="L25" i="67"/>
  <c r="M13" i="67"/>
  <c r="N13" i="67"/>
  <c r="N7" i="67"/>
  <c r="M7" i="67"/>
  <c r="I19" i="67"/>
  <c r="Z7" i="67"/>
  <c r="W30" i="67"/>
  <c r="W29" i="67"/>
  <c r="W28" i="67"/>
  <c r="W27" i="67"/>
  <c r="W26" i="67"/>
  <c r="W25" i="67"/>
  <c r="W24" i="67"/>
  <c r="W23" i="67"/>
  <c r="W22" i="67"/>
  <c r="W21" i="67"/>
  <c r="W20" i="67"/>
  <c r="W19" i="67"/>
  <c r="W18" i="67"/>
  <c r="W17" i="67"/>
  <c r="W16" i="67"/>
  <c r="W15" i="67"/>
  <c r="W14" i="67"/>
  <c r="W13" i="67"/>
  <c r="W12" i="67"/>
  <c r="W11" i="67"/>
  <c r="W10" i="67"/>
  <c r="W9" i="67"/>
  <c r="W8" i="67"/>
  <c r="W7" i="67"/>
  <c r="T7" i="67"/>
  <c r="Q7" i="67"/>
  <c r="K18" i="67"/>
  <c r="K17" i="67"/>
  <c r="K16" i="67"/>
  <c r="K15" i="67"/>
  <c r="K14" i="67"/>
  <c r="K13" i="67"/>
  <c r="K12" i="67"/>
  <c r="K11" i="67"/>
  <c r="K10" i="67"/>
  <c r="K9" i="67"/>
  <c r="K8" i="67"/>
  <c r="K7" i="67"/>
  <c r="H18" i="67"/>
  <c r="H17" i="67"/>
  <c r="H16" i="67"/>
  <c r="H15" i="67"/>
  <c r="H14" i="67"/>
  <c r="H13" i="67"/>
  <c r="H12" i="67"/>
  <c r="H11" i="67"/>
  <c r="H10" i="67"/>
  <c r="H9" i="67"/>
  <c r="H8" i="67"/>
  <c r="H7" i="67"/>
  <c r="Y7" i="67"/>
  <c r="V30" i="67"/>
  <c r="V29" i="67"/>
  <c r="V28" i="67"/>
  <c r="V27" i="67"/>
  <c r="V26" i="67"/>
  <c r="V25" i="67"/>
  <c r="V24" i="67"/>
  <c r="V23" i="67"/>
  <c r="V22" i="67"/>
  <c r="V21" i="67"/>
  <c r="V20" i="67"/>
  <c r="V19" i="67"/>
  <c r="V18" i="67"/>
  <c r="V17" i="67"/>
  <c r="V16" i="67"/>
  <c r="V15" i="67"/>
  <c r="V14" i="67"/>
  <c r="V13" i="67"/>
  <c r="V12" i="67"/>
  <c r="V11" i="67"/>
  <c r="V10" i="67"/>
  <c r="V9" i="67"/>
  <c r="V8" i="67"/>
  <c r="V7" i="67"/>
  <c r="S7" i="67"/>
  <c r="P7" i="67"/>
  <c r="J18" i="67"/>
  <c r="J17" i="67"/>
  <c r="J16" i="67"/>
  <c r="J15" i="67"/>
  <c r="J14" i="67"/>
  <c r="J13" i="67"/>
  <c r="J12" i="67"/>
  <c r="J11" i="67"/>
  <c r="J10" i="67"/>
  <c r="J9" i="67"/>
  <c r="J8" i="67"/>
  <c r="J7" i="67"/>
  <c r="G18" i="67"/>
  <c r="G17" i="67"/>
  <c r="G16" i="67"/>
  <c r="G15" i="67"/>
  <c r="G14" i="67"/>
  <c r="G13" i="67"/>
  <c r="G12" i="67"/>
  <c r="G11" i="67"/>
  <c r="G10" i="67"/>
  <c r="G9" i="67"/>
  <c r="G8" i="67"/>
  <c r="G7" i="67"/>
  <c r="D7" i="67"/>
  <c r="E7" i="67"/>
  <c r="C13" i="67"/>
  <c r="X8" i="67"/>
  <c r="Y8" i="67" s="1"/>
  <c r="O15" i="76" l="1"/>
  <c r="V15" i="76"/>
  <c r="BM13" i="67"/>
  <c r="BJ19" i="67"/>
  <c r="AG18" i="58"/>
  <c r="S17" i="54" s="1"/>
  <c r="F16" i="70" s="1"/>
  <c r="K19" i="67"/>
  <c r="E24" i="69"/>
  <c r="G24" i="69" s="1"/>
  <c r="H24" i="69" s="1"/>
  <c r="I24" i="69" s="1"/>
  <c r="J24" i="69" s="1"/>
  <c r="K24" i="69" s="1"/>
  <c r="H16" i="73"/>
  <c r="BA55" i="67"/>
  <c r="AU8" i="67"/>
  <c r="AN8" i="67"/>
  <c r="AO8" i="67"/>
  <c r="AR31" i="67"/>
  <c r="AT31" i="67"/>
  <c r="AX37" i="67"/>
  <c r="AE8" i="67"/>
  <c r="AH37" i="67"/>
  <c r="AI37" i="67"/>
  <c r="AF8" i="67"/>
  <c r="M8" i="67"/>
  <c r="N8" i="67"/>
  <c r="Q8" i="67"/>
  <c r="P8" i="67"/>
  <c r="J19" i="67"/>
  <c r="Z8" i="67"/>
  <c r="C8" i="67"/>
  <c r="R8" i="67"/>
  <c r="BK19" i="67" l="1"/>
  <c r="I20" i="67"/>
  <c r="J20" i="67" s="1"/>
  <c r="K20" i="67" s="1"/>
  <c r="AG19" i="58"/>
  <c r="S18" i="54" s="1"/>
  <c r="F17" i="70" s="1"/>
  <c r="BP13" i="67"/>
  <c r="E25" i="69"/>
  <c r="G25" i="69" s="1"/>
  <c r="H25" i="69" s="1"/>
  <c r="I25" i="69" s="1"/>
  <c r="J25" i="69" s="1"/>
  <c r="K25" i="69" s="1"/>
  <c r="H17" i="73"/>
  <c r="BF8" i="67"/>
  <c r="BC8" i="67"/>
  <c r="BA56" i="67"/>
  <c r="AZ56" i="67"/>
  <c r="AN9" i="67"/>
  <c r="AO9" i="67"/>
  <c r="AT9" i="67"/>
  <c r="AU9" i="67"/>
  <c r="AK32" i="67"/>
  <c r="AL32" i="67"/>
  <c r="AI38" i="67"/>
  <c r="AH38" i="67"/>
  <c r="AF9" i="67"/>
  <c r="AE9" i="67"/>
  <c r="N9" i="67"/>
  <c r="M9" i="67"/>
  <c r="AB7" i="67"/>
  <c r="AC7" i="67"/>
  <c r="Q9" i="67"/>
  <c r="P9" i="67"/>
  <c r="T8" i="67"/>
  <c r="S8" i="67"/>
  <c r="E8" i="67"/>
  <c r="D8" i="67"/>
  <c r="R9" i="67"/>
  <c r="AT8" i="54"/>
  <c r="AR8" i="54"/>
  <c r="E45" i="63"/>
  <c r="E44" i="63"/>
  <c r="E43" i="63"/>
  <c r="E42" i="63"/>
  <c r="E41" i="63"/>
  <c r="AT13" i="54" s="1"/>
  <c r="E36" i="63"/>
  <c r="AR57" i="54" s="1"/>
  <c r="E35" i="63"/>
  <c r="E34" i="63"/>
  <c r="AR42" i="54" s="1"/>
  <c r="E33" i="63"/>
  <c r="AR31" i="54" s="1"/>
  <c r="E32" i="63"/>
  <c r="AR17" i="54" s="1"/>
  <c r="C7" i="65"/>
  <c r="F7" i="65"/>
  <c r="I7" i="65"/>
  <c r="L7" i="65"/>
  <c r="O7" i="65"/>
  <c r="R7" i="65"/>
  <c r="U2" i="54"/>
  <c r="U8" i="54" s="1"/>
  <c r="O70" i="54"/>
  <c r="V70" i="54"/>
  <c r="I8" i="54"/>
  <c r="I8" i="76" s="1"/>
  <c r="I15" i="76" s="1"/>
  <c r="D24" i="55"/>
  <c r="L18" i="55"/>
  <c r="L24" i="55" s="1"/>
  <c r="J18" i="55"/>
  <c r="J24" i="55" s="1"/>
  <c r="H18" i="55"/>
  <c r="H24" i="55" s="1"/>
  <c r="F18" i="55"/>
  <c r="F24" i="55" s="1"/>
  <c r="D18" i="55"/>
  <c r="AH1" i="54"/>
  <c r="AR11" i="54" l="1"/>
  <c r="AR19" i="54"/>
  <c r="AR39" i="54"/>
  <c r="AR13" i="54"/>
  <c r="AR33" i="54"/>
  <c r="AR41" i="54"/>
  <c r="AR15" i="54"/>
  <c r="AR35" i="54"/>
  <c r="AR43" i="54"/>
  <c r="AR9" i="54"/>
  <c r="AR37" i="54"/>
  <c r="AR8" i="76"/>
  <c r="U7" i="70"/>
  <c r="BL19" i="67"/>
  <c r="BK20" i="67"/>
  <c r="BJ20" i="67"/>
  <c r="AF7" i="65"/>
  <c r="K8" i="71" s="1"/>
  <c r="Y7" i="65"/>
  <c r="AC7" i="65"/>
  <c r="H8" i="71" s="1"/>
  <c r="C14" i="74" s="1"/>
  <c r="E26" i="69"/>
  <c r="G26" i="69" s="1"/>
  <c r="H26" i="69" s="1"/>
  <c r="I26" i="69" s="1"/>
  <c r="J26" i="69" s="1"/>
  <c r="K26" i="69" s="1"/>
  <c r="H18" i="73"/>
  <c r="AR21" i="54"/>
  <c r="AR29" i="54"/>
  <c r="AR45" i="54"/>
  <c r="AR53" i="54"/>
  <c r="AR10" i="54"/>
  <c r="AR14" i="54"/>
  <c r="AR18" i="54"/>
  <c r="AR22" i="54"/>
  <c r="AR26" i="54"/>
  <c r="AR30" i="54"/>
  <c r="AR34" i="54"/>
  <c r="AR38" i="54"/>
  <c r="AR46" i="54"/>
  <c r="AR50" i="54"/>
  <c r="AR54" i="54"/>
  <c r="AR58" i="54"/>
  <c r="AR62" i="54"/>
  <c r="AR66" i="54"/>
  <c r="AT9" i="54"/>
  <c r="AT35" i="54"/>
  <c r="AR23" i="54"/>
  <c r="AR47" i="54"/>
  <c r="AR55" i="54"/>
  <c r="AR59" i="54"/>
  <c r="AR63" i="54"/>
  <c r="AR67" i="54"/>
  <c r="AR27" i="54"/>
  <c r="AR51" i="54"/>
  <c r="AR12" i="54"/>
  <c r="AR16" i="54"/>
  <c r="AR20" i="54"/>
  <c r="AR9" i="76" s="1"/>
  <c r="AR24" i="54"/>
  <c r="AR28" i="54"/>
  <c r="AR32" i="54"/>
  <c r="AR10" i="76" s="1"/>
  <c r="AR36" i="54"/>
  <c r="AR40" i="54"/>
  <c r="AR44" i="54"/>
  <c r="AR11" i="76" s="1"/>
  <c r="AR48" i="54"/>
  <c r="AR52" i="54"/>
  <c r="AR56" i="54"/>
  <c r="AR12" i="76" s="1"/>
  <c r="AR60" i="54"/>
  <c r="AR64" i="54"/>
  <c r="AR68" i="54"/>
  <c r="AR13" i="76" s="1"/>
  <c r="AT17" i="54"/>
  <c r="AR25" i="54"/>
  <c r="AR49" i="54"/>
  <c r="AR61" i="54"/>
  <c r="AR65" i="54"/>
  <c r="AT34" i="54"/>
  <c r="AT36" i="54"/>
  <c r="AT40" i="54"/>
  <c r="AT44" i="54"/>
  <c r="AT48" i="54"/>
  <c r="AT52" i="54"/>
  <c r="AT56" i="54"/>
  <c r="AT60" i="54"/>
  <c r="AT64" i="54"/>
  <c r="AT68" i="54"/>
  <c r="AT33" i="54"/>
  <c r="AT37" i="54"/>
  <c r="AT41" i="54"/>
  <c r="AT45" i="54"/>
  <c r="AT49" i="54"/>
  <c r="AT53" i="54"/>
  <c r="AT57" i="54"/>
  <c r="AT61" i="54"/>
  <c r="AT65" i="54"/>
  <c r="AT38" i="54"/>
  <c r="AT42" i="54"/>
  <c r="AT46" i="54"/>
  <c r="AT50" i="54"/>
  <c r="AT54" i="54"/>
  <c r="AT58" i="54"/>
  <c r="AT62" i="54"/>
  <c r="AT66" i="54"/>
  <c r="AT39" i="54"/>
  <c r="AT43" i="54"/>
  <c r="AT47" i="54"/>
  <c r="AT51" i="54"/>
  <c r="AT55" i="54"/>
  <c r="AT59" i="54"/>
  <c r="AT63" i="54"/>
  <c r="AT67" i="54"/>
  <c r="AT24" i="54"/>
  <c r="AT28" i="54"/>
  <c r="AT32" i="54"/>
  <c r="AT21" i="54"/>
  <c r="AT25" i="54"/>
  <c r="AT29" i="54"/>
  <c r="AT22" i="54"/>
  <c r="AT26" i="54"/>
  <c r="AT30" i="54"/>
  <c r="AT23" i="54"/>
  <c r="AT27" i="54"/>
  <c r="AT31" i="54"/>
  <c r="AT11" i="54"/>
  <c r="AT19" i="54"/>
  <c r="AT15" i="54"/>
  <c r="AT12" i="54"/>
  <c r="AT16" i="54"/>
  <c r="AT20" i="54"/>
  <c r="AT10" i="54"/>
  <c r="AT14" i="54"/>
  <c r="AT18" i="54"/>
  <c r="I70" i="54"/>
  <c r="C9" i="67"/>
  <c r="BH7" i="67"/>
  <c r="S7" i="65"/>
  <c r="T7" i="65"/>
  <c r="R8" i="65" s="1"/>
  <c r="G7" i="65"/>
  <c r="H7" i="65"/>
  <c r="P7" i="65"/>
  <c r="Q7" i="65"/>
  <c r="O8" i="65" s="1"/>
  <c r="V7" i="65"/>
  <c r="D7" i="65"/>
  <c r="E7" i="65"/>
  <c r="M7" i="65"/>
  <c r="N7" i="65"/>
  <c r="L8" i="65" s="1"/>
  <c r="K7" i="65"/>
  <c r="I8" i="65" s="1"/>
  <c r="J7" i="65"/>
  <c r="AZ57" i="67"/>
  <c r="BA57" i="67"/>
  <c r="AU10" i="67"/>
  <c r="AT10" i="67"/>
  <c r="AR32" i="67"/>
  <c r="AQ32" i="67"/>
  <c r="AL33" i="67"/>
  <c r="AK33" i="67"/>
  <c r="AX38" i="67"/>
  <c r="AW38" i="67"/>
  <c r="AO10" i="67"/>
  <c r="AN10" i="67"/>
  <c r="M10" i="67"/>
  <c r="N10" i="67"/>
  <c r="I21" i="67"/>
  <c r="Q10" i="67"/>
  <c r="P10" i="67"/>
  <c r="AB8" i="67"/>
  <c r="AC8" i="67" s="1"/>
  <c r="S9" i="67"/>
  <c r="T9" i="67"/>
  <c r="E9" i="67"/>
  <c r="D9" i="67"/>
  <c r="X9" i="67"/>
  <c r="B2" i="22"/>
  <c r="J8" i="65" l="1"/>
  <c r="BL20" i="67"/>
  <c r="C18" i="74"/>
  <c r="BJ21" i="67"/>
  <c r="AG20" i="58"/>
  <c r="S19" i="54" s="1"/>
  <c r="F18" i="70" s="1"/>
  <c r="AG7" i="65"/>
  <c r="L8" i="71" s="1"/>
  <c r="C19" i="74" s="1"/>
  <c r="Z7" i="65"/>
  <c r="F8" i="65"/>
  <c r="AD7" i="65"/>
  <c r="AE7" i="65" s="1"/>
  <c r="AI7" i="65"/>
  <c r="AH7" i="65"/>
  <c r="S8" i="65"/>
  <c r="T8" i="65" s="1"/>
  <c r="R9" i="65" s="1"/>
  <c r="S9" i="65" s="1"/>
  <c r="J21" i="67"/>
  <c r="K21" i="67" s="1"/>
  <c r="I22" i="67" s="1"/>
  <c r="J22" i="67" s="1"/>
  <c r="K22" i="67" s="1"/>
  <c r="I23" i="67" s="1"/>
  <c r="E27" i="69"/>
  <c r="G27" i="69" s="1"/>
  <c r="H27" i="69" s="1"/>
  <c r="I27" i="69" s="1"/>
  <c r="J27" i="69" s="1"/>
  <c r="K27" i="69" s="1"/>
  <c r="H19" i="73"/>
  <c r="BI7" i="67"/>
  <c r="BD8" i="67"/>
  <c r="BE8" i="67" s="1"/>
  <c r="C10" i="67"/>
  <c r="BG8" i="67"/>
  <c r="BH8" i="67" s="1"/>
  <c r="BC9" i="67"/>
  <c r="BF9" i="67"/>
  <c r="P8" i="65"/>
  <c r="Q8" i="65" s="1"/>
  <c r="O9" i="65" s="1"/>
  <c r="P9" i="65" s="1"/>
  <c r="M8" i="65"/>
  <c r="N8" i="65" s="1"/>
  <c r="L9" i="65" s="1"/>
  <c r="M9" i="65" s="1"/>
  <c r="G8" i="65"/>
  <c r="H8" i="65"/>
  <c r="F9" i="65" s="1"/>
  <c r="G9" i="65" s="1"/>
  <c r="K8" i="65"/>
  <c r="W7" i="65"/>
  <c r="X7" i="65" s="1"/>
  <c r="U7" i="65"/>
  <c r="C8" i="65"/>
  <c r="AW39" i="67"/>
  <c r="AX39" i="67"/>
  <c r="AT11" i="67"/>
  <c r="AU11" i="67"/>
  <c r="AQ33" i="67"/>
  <c r="AR33" i="67"/>
  <c r="AK34" i="67"/>
  <c r="AL34" i="67"/>
  <c r="AE10" i="67"/>
  <c r="AF10" i="67"/>
  <c r="AI39" i="67"/>
  <c r="AH39" i="67"/>
  <c r="N11" i="67"/>
  <c r="M11" i="67"/>
  <c r="Q11" i="67"/>
  <c r="P11" i="67"/>
  <c r="Y9" i="67"/>
  <c r="Z9" i="67"/>
  <c r="E10" i="67"/>
  <c r="D10" i="67"/>
  <c r="R10" i="67"/>
  <c r="Q25" i="22"/>
  <c r="M25" i="22"/>
  <c r="I25" i="22"/>
  <c r="E25" i="22"/>
  <c r="O24" i="22"/>
  <c r="K24" i="22"/>
  <c r="G24" i="22"/>
  <c r="Q23" i="22"/>
  <c r="M23" i="22"/>
  <c r="I23" i="22"/>
  <c r="O22" i="22"/>
  <c r="K22" i="22"/>
  <c r="Q21" i="22"/>
  <c r="M21" i="22"/>
  <c r="E21" i="22"/>
  <c r="K20" i="22"/>
  <c r="Q19" i="22"/>
  <c r="I19" i="22"/>
  <c r="O18" i="22"/>
  <c r="G18" i="22"/>
  <c r="M17" i="22"/>
  <c r="E17" i="22"/>
  <c r="K16" i="22"/>
  <c r="Q15" i="22"/>
  <c r="I15" i="22"/>
  <c r="O14" i="22"/>
  <c r="G14" i="22"/>
  <c r="M13" i="22"/>
  <c r="E13" i="22"/>
  <c r="K12" i="22"/>
  <c r="Q11" i="22"/>
  <c r="I11" i="22"/>
  <c r="O10" i="22"/>
  <c r="G10" i="22"/>
  <c r="P25" i="22"/>
  <c r="L25" i="22"/>
  <c r="H25" i="22"/>
  <c r="R24" i="22"/>
  <c r="N24" i="22"/>
  <c r="J24" i="22"/>
  <c r="F24" i="22"/>
  <c r="P23" i="22"/>
  <c r="L23" i="22"/>
  <c r="H23" i="22"/>
  <c r="R22" i="22"/>
  <c r="N22" i="22"/>
  <c r="J22" i="22"/>
  <c r="F22" i="22"/>
  <c r="P21" i="22"/>
  <c r="L21" i="22"/>
  <c r="H21" i="22"/>
  <c r="R20" i="22"/>
  <c r="N20" i="22"/>
  <c r="J20" i="22"/>
  <c r="F20" i="22"/>
  <c r="P19" i="22"/>
  <c r="L19" i="22"/>
  <c r="H19" i="22"/>
  <c r="R18" i="22"/>
  <c r="N18" i="22"/>
  <c r="J18" i="22"/>
  <c r="F18" i="22"/>
  <c r="P17" i="22"/>
  <c r="L17" i="22"/>
  <c r="H17" i="22"/>
  <c r="R16" i="22"/>
  <c r="N16" i="22"/>
  <c r="J16" i="22"/>
  <c r="F16" i="22"/>
  <c r="P15" i="22"/>
  <c r="L15" i="22"/>
  <c r="H15" i="22"/>
  <c r="R14" i="22"/>
  <c r="N14" i="22"/>
  <c r="J14" i="22"/>
  <c r="F14" i="22"/>
  <c r="P13" i="22"/>
  <c r="L13" i="22"/>
  <c r="H13" i="22"/>
  <c r="R12" i="22"/>
  <c r="N12" i="22"/>
  <c r="J12" i="22"/>
  <c r="F12" i="22"/>
  <c r="P11" i="22"/>
  <c r="L11" i="22"/>
  <c r="H11" i="22"/>
  <c r="R10" i="22"/>
  <c r="N10" i="22"/>
  <c r="J10" i="22"/>
  <c r="F10" i="22"/>
  <c r="P9" i="22"/>
  <c r="L9" i="22"/>
  <c r="H9" i="22"/>
  <c r="R8" i="22"/>
  <c r="N8" i="22"/>
  <c r="J8" i="22"/>
  <c r="F8" i="22"/>
  <c r="I24" i="22"/>
  <c r="E24" i="22"/>
  <c r="K23" i="22"/>
  <c r="Q22" i="22"/>
  <c r="I22" i="22"/>
  <c r="O21" i="22"/>
  <c r="G21" i="22"/>
  <c r="M20" i="22"/>
  <c r="E20" i="22"/>
  <c r="K19" i="22"/>
  <c r="Q18" i="22"/>
  <c r="I18" i="22"/>
  <c r="O17" i="22"/>
  <c r="G17" i="22"/>
  <c r="M16" i="22"/>
  <c r="I16" i="22"/>
  <c r="K15" i="22"/>
  <c r="Q14" i="22"/>
  <c r="M14" i="22"/>
  <c r="E14" i="22"/>
  <c r="K13" i="22"/>
  <c r="Q12" i="22"/>
  <c r="O25" i="22"/>
  <c r="K25" i="22"/>
  <c r="G25" i="22"/>
  <c r="Q24" i="22"/>
  <c r="M24" i="22"/>
  <c r="O23" i="22"/>
  <c r="G23" i="22"/>
  <c r="M22" i="22"/>
  <c r="E22" i="22"/>
  <c r="K21" i="22"/>
  <c r="Q20" i="22"/>
  <c r="I20" i="22"/>
  <c r="O19" i="22"/>
  <c r="G19" i="22"/>
  <c r="M18" i="22"/>
  <c r="E18" i="22"/>
  <c r="K17" i="22"/>
  <c r="Q16" i="22"/>
  <c r="E16" i="22"/>
  <c r="O15" i="22"/>
  <c r="G15" i="22"/>
  <c r="I14" i="22"/>
  <c r="O13" i="22"/>
  <c r="G13" i="22"/>
  <c r="M12" i="22"/>
  <c r="R25" i="22"/>
  <c r="N25" i="22"/>
  <c r="J25" i="22"/>
  <c r="F25" i="22"/>
  <c r="P24" i="22"/>
  <c r="L24" i="22"/>
  <c r="H24" i="22"/>
  <c r="R23" i="22"/>
  <c r="N23" i="22"/>
  <c r="J23" i="22"/>
  <c r="F23" i="22"/>
  <c r="P22" i="22"/>
  <c r="L22" i="22"/>
  <c r="H22" i="22"/>
  <c r="R21" i="22"/>
  <c r="N21" i="22"/>
  <c r="J21" i="22"/>
  <c r="F21" i="22"/>
  <c r="P20" i="22"/>
  <c r="L20" i="22"/>
  <c r="H20" i="22"/>
  <c r="R19" i="22"/>
  <c r="N19" i="22"/>
  <c r="J19" i="22"/>
  <c r="F19" i="22"/>
  <c r="P18" i="22"/>
  <c r="L18" i="22"/>
  <c r="H18" i="22"/>
  <c r="R17" i="22"/>
  <c r="N17" i="22"/>
  <c r="J17" i="22"/>
  <c r="F17" i="22"/>
  <c r="P16" i="22"/>
  <c r="L16" i="22"/>
  <c r="H16" i="22"/>
  <c r="R15" i="22"/>
  <c r="N15" i="22"/>
  <c r="J15" i="22"/>
  <c r="F15" i="22"/>
  <c r="P14" i="22"/>
  <c r="L14" i="22"/>
  <c r="H14" i="22"/>
  <c r="R13" i="22"/>
  <c r="N13" i="22"/>
  <c r="J13" i="22"/>
  <c r="F13" i="22"/>
  <c r="P12" i="22"/>
  <c r="L12" i="22"/>
  <c r="H12" i="22"/>
  <c r="R11" i="22"/>
  <c r="N11" i="22"/>
  <c r="J11" i="22"/>
  <c r="F11" i="22"/>
  <c r="P10" i="22"/>
  <c r="L10" i="22"/>
  <c r="H10" i="22"/>
  <c r="R9" i="22"/>
  <c r="N9" i="22"/>
  <c r="J9" i="22"/>
  <c r="F9" i="22"/>
  <c r="P8" i="22"/>
  <c r="L8" i="22"/>
  <c r="H8" i="22"/>
  <c r="E23" i="22"/>
  <c r="G22" i="22"/>
  <c r="I21" i="22"/>
  <c r="O20" i="22"/>
  <c r="G20" i="22"/>
  <c r="M19" i="22"/>
  <c r="E19" i="22"/>
  <c r="K18" i="22"/>
  <c r="Q17" i="22"/>
  <c r="I17" i="22"/>
  <c r="O16" i="22"/>
  <c r="G16" i="22"/>
  <c r="M15" i="22"/>
  <c r="E15" i="22"/>
  <c r="K14" i="22"/>
  <c r="Q13" i="22"/>
  <c r="I13" i="22"/>
  <c r="O12" i="22"/>
  <c r="G12" i="22"/>
  <c r="M11" i="22"/>
  <c r="E11" i="22"/>
  <c r="K10" i="22"/>
  <c r="E12" i="22"/>
  <c r="Q10" i="22"/>
  <c r="Q9" i="22"/>
  <c r="I9" i="22"/>
  <c r="O8" i="22"/>
  <c r="O11" i="22"/>
  <c r="M10" i="22"/>
  <c r="O9" i="22"/>
  <c r="G9" i="22"/>
  <c r="M8" i="22"/>
  <c r="E8" i="22"/>
  <c r="K11" i="22"/>
  <c r="I10" i="22"/>
  <c r="M9" i="22"/>
  <c r="E9" i="22"/>
  <c r="K8" i="22"/>
  <c r="I12" i="22"/>
  <c r="G11" i="22"/>
  <c r="E10" i="22"/>
  <c r="K9" i="22"/>
  <c r="Q8" i="22"/>
  <c r="I8" i="22"/>
  <c r="G8" i="22"/>
  <c r="I9" i="65"/>
  <c r="E7" i="22"/>
  <c r="I7" i="22"/>
  <c r="M7" i="22"/>
  <c r="Q7" i="22"/>
  <c r="J7" i="22"/>
  <c r="N7" i="22"/>
  <c r="R7" i="22"/>
  <c r="G7" i="22"/>
  <c r="K7" i="22"/>
  <c r="O7" i="22"/>
  <c r="F7" i="22"/>
  <c r="H7" i="22"/>
  <c r="L7" i="22"/>
  <c r="P7" i="22"/>
  <c r="F29" i="62"/>
  <c r="R31" i="62"/>
  <c r="Q31" i="62"/>
  <c r="P31" i="62"/>
  <c r="O31" i="62"/>
  <c r="N31" i="62"/>
  <c r="M31" i="62"/>
  <c r="L31" i="62"/>
  <c r="K31" i="62"/>
  <c r="J31" i="62"/>
  <c r="I31" i="62"/>
  <c r="H31" i="62"/>
  <c r="G31" i="62"/>
  <c r="F31" i="62"/>
  <c r="E31" i="62"/>
  <c r="R28" i="62"/>
  <c r="R29" i="62" s="1"/>
  <c r="P28" i="62"/>
  <c r="P29" i="62" s="1"/>
  <c r="N28" i="62"/>
  <c r="N29" i="62" s="1"/>
  <c r="L28" i="62"/>
  <c r="L29" i="62" s="1"/>
  <c r="J28" i="62"/>
  <c r="J29" i="62" s="1"/>
  <c r="H28" i="62"/>
  <c r="H29" i="62" s="1"/>
  <c r="F28" i="62"/>
  <c r="R27" i="62"/>
  <c r="Q27" i="62"/>
  <c r="P27" i="62"/>
  <c r="O27" i="62"/>
  <c r="O28" i="62" s="1"/>
  <c r="O29" i="62" s="1"/>
  <c r="N27" i="62"/>
  <c r="M27" i="62"/>
  <c r="L27" i="62"/>
  <c r="K27" i="62"/>
  <c r="K28" i="62" s="1"/>
  <c r="K29" i="62" s="1"/>
  <c r="J27" i="62"/>
  <c r="I27" i="62"/>
  <c r="H27" i="62"/>
  <c r="G27" i="62"/>
  <c r="G28" i="62" s="1"/>
  <c r="G29" i="62" s="1"/>
  <c r="F27" i="62"/>
  <c r="E27" i="62"/>
  <c r="S25" i="62"/>
  <c r="D25" i="62"/>
  <c r="S24" i="62"/>
  <c r="D24" i="62"/>
  <c r="S23" i="62"/>
  <c r="D23" i="62"/>
  <c r="S22" i="62"/>
  <c r="D22" i="62"/>
  <c r="S21" i="62"/>
  <c r="D21" i="62"/>
  <c r="S20" i="62"/>
  <c r="D20" i="62"/>
  <c r="S19" i="62"/>
  <c r="D19" i="62"/>
  <c r="S18" i="62"/>
  <c r="D18" i="62"/>
  <c r="S17" i="62"/>
  <c r="D17" i="62"/>
  <c r="S16" i="62"/>
  <c r="D16" i="62"/>
  <c r="S15" i="62"/>
  <c r="D15" i="62"/>
  <c r="S14" i="62"/>
  <c r="D14" i="62"/>
  <c r="S13" i="62"/>
  <c r="D13" i="62"/>
  <c r="S12" i="62"/>
  <c r="D12" i="62"/>
  <c r="S11" i="62"/>
  <c r="D11" i="62"/>
  <c r="S10" i="62"/>
  <c r="D10" i="62"/>
  <c r="S9" i="62"/>
  <c r="D9" i="62"/>
  <c r="S8" i="62"/>
  <c r="D8" i="62"/>
  <c r="S7" i="62"/>
  <c r="S27" i="62" s="1"/>
  <c r="T29" i="62" s="1"/>
  <c r="D7" i="62"/>
  <c r="R4" i="62"/>
  <c r="Q4" i="62"/>
  <c r="P4" i="62"/>
  <c r="O4" i="62"/>
  <c r="N4" i="62"/>
  <c r="M4" i="62"/>
  <c r="L4" i="62"/>
  <c r="K4" i="62"/>
  <c r="J4" i="62"/>
  <c r="I4" i="62"/>
  <c r="H4" i="62"/>
  <c r="G4" i="62"/>
  <c r="F4" i="62"/>
  <c r="E4" i="62"/>
  <c r="T2" i="62"/>
  <c r="E32" i="62" l="1"/>
  <c r="I32" i="62"/>
  <c r="M32" i="62"/>
  <c r="Q32" i="62"/>
  <c r="S23" i="22"/>
  <c r="H32" i="62"/>
  <c r="L32" i="62"/>
  <c r="P32" i="62"/>
  <c r="F32" i="62"/>
  <c r="J32" i="62"/>
  <c r="N32" i="62"/>
  <c r="R32" i="62"/>
  <c r="C20" i="74"/>
  <c r="AJ7" i="65"/>
  <c r="AM7" i="65" s="1"/>
  <c r="I8" i="71"/>
  <c r="C15" i="74" s="1"/>
  <c r="C16" i="74" s="1"/>
  <c r="M8" i="71"/>
  <c r="BK22" i="67"/>
  <c r="BK21" i="67"/>
  <c r="BJ22" i="67"/>
  <c r="BJ23" i="67"/>
  <c r="AF8" i="65"/>
  <c r="K9" i="71" s="1"/>
  <c r="AD8" i="65"/>
  <c r="I9" i="71" s="1"/>
  <c r="I77" i="71" s="1"/>
  <c r="I78" i="71" s="1"/>
  <c r="AC8" i="65"/>
  <c r="H9" i="71" s="1"/>
  <c r="AC9" i="65"/>
  <c r="H10" i="71" s="1"/>
  <c r="AL7" i="65"/>
  <c r="AK7" i="65"/>
  <c r="AA7" i="65"/>
  <c r="AB7" i="65" s="1"/>
  <c r="AI8" i="54"/>
  <c r="H9" i="65"/>
  <c r="E28" i="69"/>
  <c r="G28" i="69" s="1"/>
  <c r="H28" i="69" s="1"/>
  <c r="I28" i="69" s="1"/>
  <c r="J28" i="69" s="1"/>
  <c r="K28" i="69" s="1"/>
  <c r="H20" i="73"/>
  <c r="S15" i="22"/>
  <c r="C11" i="67"/>
  <c r="BI8" i="67"/>
  <c r="V8" i="65"/>
  <c r="Y8" i="65"/>
  <c r="D8" i="65"/>
  <c r="BA58" i="67"/>
  <c r="AZ58" i="67"/>
  <c r="AR34" i="67"/>
  <c r="AQ34" i="67"/>
  <c r="AL35" i="67"/>
  <c r="AK35" i="67"/>
  <c r="AN11" i="67"/>
  <c r="AO11" i="67"/>
  <c r="AT12" i="67"/>
  <c r="AU12" i="67"/>
  <c r="AX40" i="67"/>
  <c r="AW40" i="67"/>
  <c r="AI40" i="67"/>
  <c r="AH40" i="67"/>
  <c r="AE11" i="67"/>
  <c r="AF11" i="67"/>
  <c r="J9" i="65"/>
  <c r="K9" i="65" s="1"/>
  <c r="I10" i="65" s="1"/>
  <c r="J10" i="65" s="1"/>
  <c r="N12" i="67"/>
  <c r="M12" i="67"/>
  <c r="Q12" i="67"/>
  <c r="P12" i="67"/>
  <c r="J23" i="67"/>
  <c r="K23" i="67" s="1"/>
  <c r="I24" i="67" s="1"/>
  <c r="T9" i="65"/>
  <c r="Q9" i="65"/>
  <c r="O10" i="65" s="1"/>
  <c r="P10" i="65" s="1"/>
  <c r="N9" i="65"/>
  <c r="AB9" i="67"/>
  <c r="AC9" i="67"/>
  <c r="S10" i="67"/>
  <c r="T10" i="67"/>
  <c r="E11" i="67"/>
  <c r="X10" i="67"/>
  <c r="BF10" i="67" s="1"/>
  <c r="S10" i="22"/>
  <c r="S9" i="22"/>
  <c r="S8" i="22"/>
  <c r="S11" i="22"/>
  <c r="S22" i="22"/>
  <c r="S25" i="22"/>
  <c r="S18" i="22"/>
  <c r="S24" i="22"/>
  <c r="S21" i="22"/>
  <c r="S12" i="22"/>
  <c r="S19" i="22"/>
  <c r="S16" i="22"/>
  <c r="S20" i="22"/>
  <c r="S17" i="22"/>
  <c r="S14" i="22"/>
  <c r="S13" i="22"/>
  <c r="F10" i="65"/>
  <c r="G10" i="65" s="1"/>
  <c r="G32" i="62"/>
  <c r="K32" i="62"/>
  <c r="O32" i="62"/>
  <c r="E28" i="62"/>
  <c r="I28" i="62"/>
  <c r="I29" i="62" s="1"/>
  <c r="M28" i="62"/>
  <c r="M29" i="62" s="1"/>
  <c r="Q28" i="62"/>
  <c r="Q29" i="62" s="1"/>
  <c r="R30" i="62"/>
  <c r="H103" i="61"/>
  <c r="G103" i="61"/>
  <c r="F103" i="61"/>
  <c r="E103" i="61"/>
  <c r="D103" i="61"/>
  <c r="C103" i="61"/>
  <c r="AH9" i="71" l="1"/>
  <c r="H21" i="78" s="1"/>
  <c r="K77" i="71"/>
  <c r="K78" i="71" s="1"/>
  <c r="AG9" i="71"/>
  <c r="H20" i="78" s="1"/>
  <c r="H77" i="71"/>
  <c r="H78" i="71" s="1"/>
  <c r="C21" i="74"/>
  <c r="J8" i="71"/>
  <c r="N8" i="71" s="1"/>
  <c r="AG10" i="71"/>
  <c r="I20" i="78" s="1"/>
  <c r="AK8" i="54"/>
  <c r="H7" i="70" s="1"/>
  <c r="G16" i="78" s="1"/>
  <c r="G17" i="103" s="1"/>
  <c r="AI8" i="76"/>
  <c r="BK23" i="67"/>
  <c r="BL21" i="67"/>
  <c r="BJ24" i="67"/>
  <c r="AD9" i="65"/>
  <c r="I10" i="71" s="1"/>
  <c r="AN7" i="65"/>
  <c r="AI8" i="65"/>
  <c r="AE8" i="65"/>
  <c r="BL22" i="67"/>
  <c r="E29" i="69"/>
  <c r="G29" i="69" s="1"/>
  <c r="H29" i="69" s="1"/>
  <c r="I29" i="69" s="1"/>
  <c r="J29" i="69" s="1"/>
  <c r="K29" i="69" s="1"/>
  <c r="H21" i="73"/>
  <c r="C12" i="67"/>
  <c r="BC10" i="67"/>
  <c r="BD9" i="67"/>
  <c r="BE9" i="67" s="1"/>
  <c r="BG9" i="67"/>
  <c r="BH9" i="67" s="1"/>
  <c r="D11" i="67"/>
  <c r="E8" i="65"/>
  <c r="BA59" i="67"/>
  <c r="AZ59" i="67"/>
  <c r="AK36" i="67"/>
  <c r="AL36" i="67"/>
  <c r="AN12" i="67"/>
  <c r="AO12" i="67"/>
  <c r="AX41" i="67"/>
  <c r="AW41" i="67"/>
  <c r="AQ35" i="67"/>
  <c r="AR35" i="67"/>
  <c r="AT13" i="67"/>
  <c r="AU13" i="67"/>
  <c r="AF12" i="67"/>
  <c r="AE12" i="67"/>
  <c r="AI41" i="67"/>
  <c r="AH41" i="67"/>
  <c r="M14" i="67"/>
  <c r="N14" i="67"/>
  <c r="P13" i="67"/>
  <c r="Q13" i="67"/>
  <c r="J24" i="67"/>
  <c r="K24" i="67" s="1"/>
  <c r="Q10" i="65"/>
  <c r="Y10" i="67"/>
  <c r="Z10" i="67"/>
  <c r="E13" i="67"/>
  <c r="E12" i="67"/>
  <c r="R11" i="67"/>
  <c r="R10" i="65"/>
  <c r="S10" i="65" s="1"/>
  <c r="L10" i="65"/>
  <c r="M10" i="65" s="1"/>
  <c r="K10" i="65"/>
  <c r="S28" i="62"/>
  <c r="E29" i="62"/>
  <c r="AE9" i="65" l="1"/>
  <c r="BN13" i="67"/>
  <c r="AK8" i="76"/>
  <c r="BK24" i="67"/>
  <c r="BL24" i="67" s="1"/>
  <c r="AC10" i="65"/>
  <c r="H11" i="71" s="1"/>
  <c r="AG11" i="71" s="1"/>
  <c r="J20" i="78" s="1"/>
  <c r="AG8" i="65"/>
  <c r="L9" i="71" s="1"/>
  <c r="AL8" i="65"/>
  <c r="Z8" i="65"/>
  <c r="BL23" i="67"/>
  <c r="BB13" i="67"/>
  <c r="AJ14" i="54" s="1"/>
  <c r="E30" i="69"/>
  <c r="G30" i="69" s="1"/>
  <c r="H30" i="69" s="1"/>
  <c r="I30" i="69" s="1"/>
  <c r="J30" i="69" s="1"/>
  <c r="K30" i="69" s="1"/>
  <c r="H22" i="73"/>
  <c r="BG10" i="67"/>
  <c r="BH10" i="67" s="1"/>
  <c r="D12" i="67"/>
  <c r="D13" i="67" s="1"/>
  <c r="BI9" i="67"/>
  <c r="W8" i="65"/>
  <c r="X8" i="65" s="1"/>
  <c r="U8" i="65"/>
  <c r="C9" i="65"/>
  <c r="BA60" i="67"/>
  <c r="AZ60" i="67"/>
  <c r="AT14" i="67"/>
  <c r="AU14" i="67"/>
  <c r="AX42" i="67"/>
  <c r="AW42" i="67"/>
  <c r="AL37" i="67"/>
  <c r="AK37" i="67"/>
  <c r="AR36" i="67"/>
  <c r="AQ36" i="67"/>
  <c r="AO13" i="67"/>
  <c r="AN13" i="67"/>
  <c r="AI42" i="67"/>
  <c r="AH42" i="67"/>
  <c r="AF13" i="67"/>
  <c r="AE13" i="67"/>
  <c r="N15" i="67"/>
  <c r="M15" i="67"/>
  <c r="I25" i="67"/>
  <c r="BJ25" i="67" s="1"/>
  <c r="Q14" i="67"/>
  <c r="P14" i="67"/>
  <c r="T10" i="65"/>
  <c r="R11" i="65" s="1"/>
  <c r="S11" i="65" s="1"/>
  <c r="N10" i="65"/>
  <c r="H10" i="65"/>
  <c r="AB10" i="67"/>
  <c r="AC10" i="67" s="1"/>
  <c r="BD10" i="67" s="1"/>
  <c r="BE10" i="67" s="1"/>
  <c r="BI10" i="67" s="1"/>
  <c r="S11" i="67"/>
  <c r="T11" i="67"/>
  <c r="C14" i="67"/>
  <c r="X11" i="67"/>
  <c r="BF11" i="67" s="1"/>
  <c r="O11" i="65"/>
  <c r="P11" i="65" s="1"/>
  <c r="I11" i="65"/>
  <c r="J11" i="65" s="1"/>
  <c r="F75" i="59"/>
  <c r="F74" i="59"/>
  <c r="F73" i="59"/>
  <c r="F72" i="59"/>
  <c r="F71" i="59"/>
  <c r="F70" i="59"/>
  <c r="F69" i="59"/>
  <c r="F68" i="59"/>
  <c r="F67" i="59"/>
  <c r="F66" i="59"/>
  <c r="F65" i="59"/>
  <c r="F64" i="59"/>
  <c r="F63" i="59"/>
  <c r="F62" i="59"/>
  <c r="F61" i="59"/>
  <c r="F60" i="59"/>
  <c r="F59" i="59"/>
  <c r="F58" i="59"/>
  <c r="F57" i="59"/>
  <c r="F56" i="59"/>
  <c r="F55" i="59"/>
  <c r="F54" i="59"/>
  <c r="F53" i="59"/>
  <c r="F52" i="59"/>
  <c r="F51" i="59"/>
  <c r="F50" i="59"/>
  <c r="F49" i="59"/>
  <c r="F48" i="59"/>
  <c r="F47" i="59"/>
  <c r="F46" i="59"/>
  <c r="F45" i="59"/>
  <c r="F44" i="59"/>
  <c r="F43" i="59"/>
  <c r="F42" i="59"/>
  <c r="F41" i="59"/>
  <c r="F40" i="59"/>
  <c r="F39" i="59"/>
  <c r="F38" i="59"/>
  <c r="F37" i="59"/>
  <c r="F36" i="59"/>
  <c r="F35" i="59"/>
  <c r="F34" i="59"/>
  <c r="F33" i="59"/>
  <c r="F32" i="59"/>
  <c r="F31" i="59"/>
  <c r="F30" i="59"/>
  <c r="F29" i="59"/>
  <c r="F28" i="59"/>
  <c r="F27" i="59"/>
  <c r="E27" i="59"/>
  <c r="F26" i="59"/>
  <c r="E26" i="59"/>
  <c r="F25" i="59"/>
  <c r="E25" i="59"/>
  <c r="F24" i="59"/>
  <c r="E24" i="59"/>
  <c r="F23" i="59"/>
  <c r="E23" i="59"/>
  <c r="F22" i="59"/>
  <c r="E22" i="59"/>
  <c r="F21" i="59"/>
  <c r="E21" i="59"/>
  <c r="F20" i="59"/>
  <c r="E20" i="59"/>
  <c r="F19" i="59"/>
  <c r="E19" i="59"/>
  <c r="F18" i="59"/>
  <c r="E18" i="59"/>
  <c r="F17" i="59"/>
  <c r="E17" i="59"/>
  <c r="F16" i="59"/>
  <c r="E16" i="59"/>
  <c r="F15" i="59"/>
  <c r="E15" i="59"/>
  <c r="T8" i="76"/>
  <c r="D16" i="27"/>
  <c r="D15" i="27"/>
  <c r="B16" i="28" s="1"/>
  <c r="C16" i="28" s="1"/>
  <c r="D16" i="28" s="1"/>
  <c r="E16" i="28" s="1"/>
  <c r="F16" i="28" s="1"/>
  <c r="B13" i="28"/>
  <c r="B12" i="28"/>
  <c r="B11" i="28"/>
  <c r="B10" i="28"/>
  <c r="B9" i="28"/>
  <c r="B8" i="28"/>
  <c r="B7" i="28"/>
  <c r="B6" i="28"/>
  <c r="B14" i="28"/>
  <c r="C14" i="28" s="1"/>
  <c r="D14" i="28" s="1"/>
  <c r="E14" i="28" s="1"/>
  <c r="F14" i="28" s="1"/>
  <c r="D14" i="27"/>
  <c r="B15" i="28" s="1"/>
  <c r="C15" i="28" s="1"/>
  <c r="D15" i="28" s="1"/>
  <c r="E15" i="28" s="1"/>
  <c r="F15" i="28" s="1"/>
  <c r="D13" i="27"/>
  <c r="AD3" i="58"/>
  <c r="AC3" i="58"/>
  <c r="AB3" i="58"/>
  <c r="AA3" i="58"/>
  <c r="Z3" i="58"/>
  <c r="Y3" i="58"/>
  <c r="X3" i="58"/>
  <c r="W3" i="58"/>
  <c r="V3" i="58"/>
  <c r="U3" i="58"/>
  <c r="T3" i="58"/>
  <c r="S3" i="58"/>
  <c r="R3" i="58"/>
  <c r="Q3" i="58"/>
  <c r="P3" i="58"/>
  <c r="O3" i="58"/>
  <c r="N3" i="58"/>
  <c r="M3" i="58"/>
  <c r="L3" i="58"/>
  <c r="K3" i="58"/>
  <c r="J3" i="58"/>
  <c r="I3" i="58"/>
  <c r="H3" i="58"/>
  <c r="G3" i="58"/>
  <c r="F3" i="58"/>
  <c r="E3" i="58"/>
  <c r="D3" i="58"/>
  <c r="C3" i="58"/>
  <c r="B17" i="28" l="1"/>
  <c r="M9" i="71"/>
  <c r="M77" i="71" s="1"/>
  <c r="M78" i="71" s="1"/>
  <c r="L77" i="71"/>
  <c r="L78" i="71" s="1"/>
  <c r="BM14" i="67"/>
  <c r="F11" i="65"/>
  <c r="AD10" i="65"/>
  <c r="I11" i="71" s="1"/>
  <c r="AF9" i="65"/>
  <c r="K10" i="71" s="1"/>
  <c r="AH10" i="71" s="1"/>
  <c r="I21" i="78" s="1"/>
  <c r="AJ8" i="65"/>
  <c r="AH8" i="65"/>
  <c r="J9" i="71"/>
  <c r="AA8" i="65"/>
  <c r="AB8" i="65" s="1"/>
  <c r="AI9" i="54"/>
  <c r="BQ13" i="67"/>
  <c r="BO13" i="67"/>
  <c r="J25" i="67"/>
  <c r="K25" i="67" s="1"/>
  <c r="I26" i="67" s="1"/>
  <c r="BJ26" i="67" s="1"/>
  <c r="E31" i="69"/>
  <c r="G31" i="69" s="1"/>
  <c r="H31" i="69" s="1"/>
  <c r="I31" i="69" s="1"/>
  <c r="J31" i="69" s="1"/>
  <c r="K31" i="69" s="1"/>
  <c r="H23" i="73"/>
  <c r="G18" i="59"/>
  <c r="H18" i="59" s="1"/>
  <c r="I18" i="59" s="1"/>
  <c r="J18" i="59" s="1"/>
  <c r="K18" i="59" s="1"/>
  <c r="G22" i="59"/>
  <c r="H22" i="59" s="1"/>
  <c r="I22" i="59" s="1"/>
  <c r="J22" i="59" s="1"/>
  <c r="K22" i="59" s="1"/>
  <c r="G26" i="59"/>
  <c r="H26" i="59" s="1"/>
  <c r="I26" i="59" s="1"/>
  <c r="J26" i="59" s="1"/>
  <c r="K26" i="59" s="1"/>
  <c r="D10" i="60"/>
  <c r="G17" i="59"/>
  <c r="H17" i="59" s="1"/>
  <c r="I17" i="59" s="1"/>
  <c r="J17" i="59" s="1"/>
  <c r="K17" i="59" s="1"/>
  <c r="G19" i="59"/>
  <c r="H19" i="59" s="1"/>
  <c r="I19" i="59" s="1"/>
  <c r="J19" i="59" s="1"/>
  <c r="K19" i="59" s="1"/>
  <c r="G25" i="59"/>
  <c r="H25" i="59" s="1"/>
  <c r="I25" i="59" s="1"/>
  <c r="J25" i="59" s="1"/>
  <c r="K25" i="59" s="1"/>
  <c r="G27" i="59"/>
  <c r="H27" i="59" s="1"/>
  <c r="I27" i="59" s="1"/>
  <c r="J27" i="59" s="1"/>
  <c r="K27" i="59" s="1"/>
  <c r="D14" i="67"/>
  <c r="E14" i="67" s="1"/>
  <c r="R12" i="67"/>
  <c r="BC11" i="67"/>
  <c r="V9" i="65"/>
  <c r="Y9" i="65"/>
  <c r="D9" i="65"/>
  <c r="AZ61" i="67"/>
  <c r="BA61" i="67"/>
  <c r="AO14" i="67"/>
  <c r="AN14" i="67"/>
  <c r="AQ37" i="67"/>
  <c r="AR37" i="67"/>
  <c r="AL38" i="67"/>
  <c r="AK38" i="67"/>
  <c r="AT15" i="67"/>
  <c r="AU15" i="67"/>
  <c r="AW43" i="67"/>
  <c r="AX43" i="67"/>
  <c r="AI43" i="67"/>
  <c r="AH43" i="67"/>
  <c r="AF14" i="67"/>
  <c r="AE14" i="67"/>
  <c r="K11" i="65"/>
  <c r="N16" i="67"/>
  <c r="M16" i="67"/>
  <c r="Q15" i="67"/>
  <c r="P15" i="67"/>
  <c r="T11" i="65"/>
  <c r="R12" i="65" s="1"/>
  <c r="S12" i="65" s="1"/>
  <c r="Q11" i="65"/>
  <c r="Y11" i="67"/>
  <c r="Z11" i="67"/>
  <c r="S12" i="67"/>
  <c r="T12" i="67"/>
  <c r="L11" i="65"/>
  <c r="M11" i="65" s="1"/>
  <c r="G20" i="59"/>
  <c r="H20" i="59" s="1"/>
  <c r="I20" i="59" s="1"/>
  <c r="J20" i="59" s="1"/>
  <c r="K20" i="59" s="1"/>
  <c r="G16" i="59"/>
  <c r="H16" i="59" s="1"/>
  <c r="I16" i="59" s="1"/>
  <c r="J16" i="59" s="1"/>
  <c r="K16" i="59" s="1"/>
  <c r="G24" i="59"/>
  <c r="H24" i="59" s="1"/>
  <c r="I24" i="59" s="1"/>
  <c r="J24" i="59" s="1"/>
  <c r="K24" i="59" s="1"/>
  <c r="G15" i="59"/>
  <c r="H15" i="59" s="1"/>
  <c r="I15" i="59" s="1"/>
  <c r="J15" i="59" s="1"/>
  <c r="K15" i="59" s="1"/>
  <c r="L15" i="59" s="1"/>
  <c r="G21" i="59"/>
  <c r="H21" i="59" s="1"/>
  <c r="I21" i="59" s="1"/>
  <c r="J21" i="59" s="1"/>
  <c r="K21" i="59" s="1"/>
  <c r="G23" i="59"/>
  <c r="H23" i="59" s="1"/>
  <c r="I23" i="59" s="1"/>
  <c r="J23" i="59" s="1"/>
  <c r="K23" i="59" s="1"/>
  <c r="E29" i="59"/>
  <c r="G29" i="59" s="1"/>
  <c r="H29" i="59" s="1"/>
  <c r="I29" i="59" s="1"/>
  <c r="J29" i="59" s="1"/>
  <c r="K29" i="59" s="1"/>
  <c r="E28" i="59"/>
  <c r="G28" i="59" s="1"/>
  <c r="H28" i="59" s="1"/>
  <c r="I28" i="59" s="1"/>
  <c r="J28" i="59" s="1"/>
  <c r="K28" i="59" s="1"/>
  <c r="U9" i="58"/>
  <c r="V9" i="58" s="1"/>
  <c r="M9" i="58"/>
  <c r="AA7" i="58"/>
  <c r="Z7" i="58"/>
  <c r="Y7" i="58"/>
  <c r="X7" i="58"/>
  <c r="W7" i="58"/>
  <c r="V7" i="58"/>
  <c r="S7" i="58"/>
  <c r="R7" i="58"/>
  <c r="Q7" i="58"/>
  <c r="P7" i="58"/>
  <c r="O7" i="58"/>
  <c r="N7" i="58"/>
  <c r="E12" i="34"/>
  <c r="C12" i="34"/>
  <c r="K9" i="58"/>
  <c r="H9" i="58"/>
  <c r="O31" i="53"/>
  <c r="I31" i="98" s="1"/>
  <c r="N31" i="53"/>
  <c r="H31" i="98" s="1"/>
  <c r="M31" i="53"/>
  <c r="L31" i="53"/>
  <c r="K31" i="53"/>
  <c r="J31" i="53"/>
  <c r="I31" i="53"/>
  <c r="H31" i="53"/>
  <c r="G31" i="53"/>
  <c r="G31" i="98" s="1"/>
  <c r="F31" i="53"/>
  <c r="F31" i="98" s="1"/>
  <c r="E31" i="53"/>
  <c r="E31" i="98" s="1"/>
  <c r="O31" i="52"/>
  <c r="I31" i="97" s="1"/>
  <c r="N31" i="52"/>
  <c r="H31" i="97" s="1"/>
  <c r="M31" i="52"/>
  <c r="L31" i="52"/>
  <c r="K31" i="52"/>
  <c r="J31" i="52"/>
  <c r="I31" i="52"/>
  <c r="H31" i="52"/>
  <c r="G31" i="52"/>
  <c r="G31" i="97" s="1"/>
  <c r="F31" i="52"/>
  <c r="F31" i="97" s="1"/>
  <c r="E31" i="52"/>
  <c r="E31" i="97" s="1"/>
  <c r="O31" i="51"/>
  <c r="I31" i="96" s="1"/>
  <c r="N31" i="51"/>
  <c r="H31" i="96" s="1"/>
  <c r="M31" i="51"/>
  <c r="L31" i="51"/>
  <c r="K31" i="51"/>
  <c r="J31" i="51"/>
  <c r="I31" i="51"/>
  <c r="H31" i="51"/>
  <c r="G31" i="51"/>
  <c r="G31" i="96" s="1"/>
  <c r="F31" i="51"/>
  <c r="F31" i="96" s="1"/>
  <c r="E31" i="51"/>
  <c r="E31" i="96" s="1"/>
  <c r="O31" i="50"/>
  <c r="I31" i="95" s="1"/>
  <c r="N31" i="50"/>
  <c r="H31" i="95" s="1"/>
  <c r="M31" i="50"/>
  <c r="L31" i="50"/>
  <c r="K31" i="50"/>
  <c r="J31" i="50"/>
  <c r="I31" i="50"/>
  <c r="H31" i="50"/>
  <c r="G31" i="50"/>
  <c r="G31" i="95" s="1"/>
  <c r="F31" i="50"/>
  <c r="F31" i="95" s="1"/>
  <c r="E31" i="50"/>
  <c r="E31" i="95" s="1"/>
  <c r="O31" i="49"/>
  <c r="I31" i="94" s="1"/>
  <c r="N31" i="49"/>
  <c r="H31" i="94" s="1"/>
  <c r="M31" i="49"/>
  <c r="L31" i="49"/>
  <c r="K31" i="49"/>
  <c r="J31" i="49"/>
  <c r="I31" i="49"/>
  <c r="H31" i="49"/>
  <c r="G31" i="49"/>
  <c r="G31" i="94" s="1"/>
  <c r="F31" i="49"/>
  <c r="F31" i="94" s="1"/>
  <c r="E31" i="49"/>
  <c r="E31" i="94" s="1"/>
  <c r="L9" i="57"/>
  <c r="K9" i="57"/>
  <c r="J9" i="57"/>
  <c r="I9" i="57"/>
  <c r="H9" i="57"/>
  <c r="G9" i="57"/>
  <c r="F9" i="57"/>
  <c r="E9" i="57"/>
  <c r="D9" i="57"/>
  <c r="C9" i="57"/>
  <c r="K11" i="57"/>
  <c r="K13" i="57" s="1"/>
  <c r="I11" i="57"/>
  <c r="I13" i="57" s="1"/>
  <c r="G11" i="57"/>
  <c r="G13" i="57" s="1"/>
  <c r="E11" i="57"/>
  <c r="E13" i="57" s="1"/>
  <c r="D11" i="57"/>
  <c r="C11" i="57"/>
  <c r="C13" i="57" s="1"/>
  <c r="K4" i="57"/>
  <c r="I4" i="57"/>
  <c r="G4" i="57"/>
  <c r="E4" i="57"/>
  <c r="O75" i="56"/>
  <c r="O74" i="56"/>
  <c r="O73" i="56"/>
  <c r="O72" i="56"/>
  <c r="O71" i="56"/>
  <c r="O70" i="56"/>
  <c r="O69" i="56"/>
  <c r="O68" i="56"/>
  <c r="O67" i="56"/>
  <c r="O66" i="56"/>
  <c r="O65" i="56"/>
  <c r="O64" i="56"/>
  <c r="O63" i="56"/>
  <c r="O62" i="56"/>
  <c r="O61" i="56"/>
  <c r="O60" i="56"/>
  <c r="O59" i="56"/>
  <c r="O58" i="56"/>
  <c r="O57" i="56"/>
  <c r="O56" i="56"/>
  <c r="O55" i="56"/>
  <c r="O54" i="56"/>
  <c r="O53" i="56"/>
  <c r="O52" i="56"/>
  <c r="O51" i="56"/>
  <c r="O50" i="56"/>
  <c r="O49" i="56"/>
  <c r="O48" i="56"/>
  <c r="O47" i="56"/>
  <c r="O46" i="56"/>
  <c r="O45" i="56"/>
  <c r="O44" i="56"/>
  <c r="O43" i="56"/>
  <c r="O42" i="56"/>
  <c r="O41" i="56"/>
  <c r="O40" i="56"/>
  <c r="O39" i="56"/>
  <c r="O38" i="56"/>
  <c r="O37" i="56"/>
  <c r="O36" i="56"/>
  <c r="O35" i="56"/>
  <c r="O34" i="56"/>
  <c r="O33" i="56"/>
  <c r="O32" i="56"/>
  <c r="O31" i="56"/>
  <c r="O30" i="56"/>
  <c r="O29" i="56"/>
  <c r="O28" i="56"/>
  <c r="O26" i="56"/>
  <c r="O25" i="56"/>
  <c r="O24" i="56"/>
  <c r="O23" i="56"/>
  <c r="O22" i="56"/>
  <c r="O21" i="56"/>
  <c r="O20" i="56"/>
  <c r="O19" i="56"/>
  <c r="O18" i="56"/>
  <c r="O17" i="56"/>
  <c r="O16" i="56"/>
  <c r="O15" i="56"/>
  <c r="F75" i="56"/>
  <c r="F74" i="56"/>
  <c r="F73" i="56"/>
  <c r="F72" i="56"/>
  <c r="F71" i="56"/>
  <c r="F70" i="56"/>
  <c r="F69" i="56"/>
  <c r="F68" i="56"/>
  <c r="F67" i="56"/>
  <c r="F66" i="56"/>
  <c r="F65" i="56"/>
  <c r="F64" i="56"/>
  <c r="F63" i="56"/>
  <c r="F62" i="56"/>
  <c r="F61" i="56"/>
  <c r="F60" i="56"/>
  <c r="F59" i="56"/>
  <c r="F58" i="56"/>
  <c r="F57" i="56"/>
  <c r="F56" i="56"/>
  <c r="F55" i="56"/>
  <c r="F54" i="56"/>
  <c r="F53" i="56"/>
  <c r="F52" i="56"/>
  <c r="F51" i="56"/>
  <c r="F50" i="56"/>
  <c r="F49" i="56"/>
  <c r="F48" i="56"/>
  <c r="F47" i="56"/>
  <c r="F46" i="56"/>
  <c r="F45" i="56"/>
  <c r="F44" i="56"/>
  <c r="F43" i="56"/>
  <c r="F42" i="56"/>
  <c r="F41" i="56"/>
  <c r="F40" i="56"/>
  <c r="F39" i="56"/>
  <c r="F38" i="56"/>
  <c r="F37" i="56"/>
  <c r="F36" i="56"/>
  <c r="F35" i="56"/>
  <c r="F34" i="56"/>
  <c r="F33" i="56"/>
  <c r="F32" i="56"/>
  <c r="F31" i="56"/>
  <c r="F30" i="56"/>
  <c r="F29" i="56"/>
  <c r="F28" i="56"/>
  <c r="F27" i="56"/>
  <c r="F26" i="56"/>
  <c r="F25" i="56"/>
  <c r="F24" i="56"/>
  <c r="F23" i="56"/>
  <c r="F22" i="56"/>
  <c r="F21" i="56"/>
  <c r="F20" i="56"/>
  <c r="F19" i="56"/>
  <c r="F18" i="56"/>
  <c r="F17" i="56"/>
  <c r="F16" i="56"/>
  <c r="F15" i="56"/>
  <c r="E28" i="56"/>
  <c r="E24" i="56"/>
  <c r="E23" i="56"/>
  <c r="E20" i="56"/>
  <c r="E19" i="56"/>
  <c r="E16" i="56"/>
  <c r="E17" i="56"/>
  <c r="E18" i="56"/>
  <c r="E21" i="56"/>
  <c r="E22" i="56"/>
  <c r="E25" i="56"/>
  <c r="E26" i="56"/>
  <c r="E27" i="56"/>
  <c r="E15" i="56"/>
  <c r="L23" i="47"/>
  <c r="L22" i="47"/>
  <c r="L18" i="47"/>
  <c r="L17" i="47"/>
  <c r="L16" i="47"/>
  <c r="L15" i="47"/>
  <c r="L14" i="47"/>
  <c r="L13" i="47"/>
  <c r="L12" i="47"/>
  <c r="L11" i="47"/>
  <c r="L10" i="47"/>
  <c r="L23" i="45"/>
  <c r="L22" i="45"/>
  <c r="L18" i="45"/>
  <c r="L17" i="45"/>
  <c r="L16" i="45"/>
  <c r="L15" i="45"/>
  <c r="L14" i="45"/>
  <c r="L13" i="45"/>
  <c r="L12" i="45"/>
  <c r="L11" i="45"/>
  <c r="L10" i="45"/>
  <c r="L23" i="43"/>
  <c r="L22" i="43"/>
  <c r="L18" i="43"/>
  <c r="L17" i="43"/>
  <c r="L16" i="43"/>
  <c r="L15" i="43"/>
  <c r="L14" i="43"/>
  <c r="L13" i="43"/>
  <c r="L12" i="43"/>
  <c r="L11" i="43"/>
  <c r="L10" i="43"/>
  <c r="L23" i="41"/>
  <c r="L22" i="41"/>
  <c r="L18" i="41"/>
  <c r="L17" i="41"/>
  <c r="L16" i="41"/>
  <c r="L15" i="41"/>
  <c r="L14" i="41"/>
  <c r="L13" i="41"/>
  <c r="L12" i="41"/>
  <c r="L11" i="41"/>
  <c r="L10" i="41"/>
  <c r="T20" i="54" l="1"/>
  <c r="T13" i="54"/>
  <c r="T14" i="54"/>
  <c r="T18" i="54"/>
  <c r="T11" i="54"/>
  <c r="T9" i="54"/>
  <c r="T15" i="54"/>
  <c r="T17" i="54"/>
  <c r="T12" i="54"/>
  <c r="T16" i="54"/>
  <c r="T10" i="54"/>
  <c r="T19" i="54"/>
  <c r="N9" i="71"/>
  <c r="N77" i="71" s="1"/>
  <c r="N78" i="71" s="1"/>
  <c r="J77" i="71"/>
  <c r="J78" i="71" s="1"/>
  <c r="BN14" i="67"/>
  <c r="BQ14" i="67" s="1"/>
  <c r="AK9" i="54"/>
  <c r="H8" i="70" s="1"/>
  <c r="H16" i="78" s="1"/>
  <c r="BK25" i="67"/>
  <c r="AG23" i="58"/>
  <c r="S22" i="54" s="1"/>
  <c r="F21" i="70" s="1"/>
  <c r="W9" i="58"/>
  <c r="X9" i="58"/>
  <c r="AI9" i="65"/>
  <c r="AM8" i="65"/>
  <c r="AK8" i="65"/>
  <c r="AN8" i="65" s="1"/>
  <c r="AE10" i="65"/>
  <c r="G11" i="65"/>
  <c r="H11" i="65" s="1"/>
  <c r="AC11" i="65"/>
  <c r="H12" i="71" s="1"/>
  <c r="AG12" i="71" s="1"/>
  <c r="K20" i="78" s="1"/>
  <c r="BR13" i="67"/>
  <c r="J26" i="67"/>
  <c r="K26" i="67" s="1"/>
  <c r="BK26" i="67" s="1"/>
  <c r="BP14" i="67"/>
  <c r="BB14" i="67"/>
  <c r="AJ15" i="54" s="1"/>
  <c r="G21" i="56"/>
  <c r="H21" i="56" s="1"/>
  <c r="I21" i="56" s="1"/>
  <c r="J21" i="56" s="1"/>
  <c r="K21" i="56" s="1"/>
  <c r="E32" i="69"/>
  <c r="G32" i="69" s="1"/>
  <c r="H32" i="69" s="1"/>
  <c r="I32" i="69" s="1"/>
  <c r="J32" i="69" s="1"/>
  <c r="K32" i="69" s="1"/>
  <c r="H24" i="73"/>
  <c r="G15" i="56"/>
  <c r="H15" i="56" s="1"/>
  <c r="I15" i="56" s="1"/>
  <c r="J15" i="56" s="1"/>
  <c r="K15" i="56" s="1"/>
  <c r="L15" i="56" s="1"/>
  <c r="C10" i="60" s="1"/>
  <c r="G28" i="56"/>
  <c r="H28" i="56" s="1"/>
  <c r="I28" i="56" s="1"/>
  <c r="J28" i="56" s="1"/>
  <c r="K28" i="56" s="1"/>
  <c r="P15" i="56"/>
  <c r="N15" i="59"/>
  <c r="J8" i="54"/>
  <c r="J8" i="76" s="1"/>
  <c r="BG11" i="67"/>
  <c r="BH11" i="67" s="1"/>
  <c r="C15" i="67"/>
  <c r="BD11" i="67"/>
  <c r="BE11" i="67" s="1"/>
  <c r="BI11" i="67" s="1"/>
  <c r="E9" i="65"/>
  <c r="BA62" i="67"/>
  <c r="AZ62" i="67"/>
  <c r="AO15" i="67"/>
  <c r="AN15" i="67"/>
  <c r="AX44" i="67"/>
  <c r="AW44" i="67"/>
  <c r="AK39" i="67"/>
  <c r="AL39" i="67"/>
  <c r="AR38" i="67"/>
  <c r="AQ38" i="67"/>
  <c r="AT16" i="67"/>
  <c r="AU16" i="67"/>
  <c r="AE15" i="67"/>
  <c r="AF15" i="67"/>
  <c r="AI44" i="67"/>
  <c r="AH44" i="67"/>
  <c r="M17" i="67"/>
  <c r="N17" i="67"/>
  <c r="Q16" i="67"/>
  <c r="P16" i="67"/>
  <c r="T12" i="65"/>
  <c r="R13" i="65" s="1"/>
  <c r="S13" i="65" s="1"/>
  <c r="N11" i="65"/>
  <c r="AB11" i="67"/>
  <c r="AC11" i="67" s="1"/>
  <c r="X12" i="67"/>
  <c r="BF12" i="67" s="1"/>
  <c r="R13" i="67"/>
  <c r="O12" i="65"/>
  <c r="P12" i="65" s="1"/>
  <c r="I12" i="65"/>
  <c r="N15" i="56"/>
  <c r="Q15" i="56" s="1"/>
  <c r="G22" i="56"/>
  <c r="H22" i="56" s="1"/>
  <c r="I22" i="56" s="1"/>
  <c r="J22" i="56" s="1"/>
  <c r="K22" i="56" s="1"/>
  <c r="G16" i="56"/>
  <c r="H16" i="56" s="1"/>
  <c r="I16" i="56" s="1"/>
  <c r="J16" i="56" s="1"/>
  <c r="K16" i="56" s="1"/>
  <c r="G20" i="56"/>
  <c r="H20" i="56" s="1"/>
  <c r="I20" i="56" s="1"/>
  <c r="J20" i="56" s="1"/>
  <c r="K20" i="56" s="1"/>
  <c r="G26" i="56"/>
  <c r="H26" i="56" s="1"/>
  <c r="I26" i="56" s="1"/>
  <c r="J26" i="56" s="1"/>
  <c r="K26" i="56" s="1"/>
  <c r="G18" i="56"/>
  <c r="H18" i="56" s="1"/>
  <c r="I18" i="56" s="1"/>
  <c r="J18" i="56" s="1"/>
  <c r="K18" i="56" s="1"/>
  <c r="E30" i="59"/>
  <c r="G30" i="59" s="1"/>
  <c r="H30" i="59" s="1"/>
  <c r="I30" i="59" s="1"/>
  <c r="J30" i="59" s="1"/>
  <c r="K30" i="59" s="1"/>
  <c r="N9" i="58"/>
  <c r="L9" i="58"/>
  <c r="G24" i="56"/>
  <c r="H24" i="56" s="1"/>
  <c r="I24" i="56" s="1"/>
  <c r="J24" i="56" s="1"/>
  <c r="K24" i="56" s="1"/>
  <c r="G25" i="56"/>
  <c r="H25" i="56" s="1"/>
  <c r="I25" i="56" s="1"/>
  <c r="J25" i="56" s="1"/>
  <c r="K25" i="56" s="1"/>
  <c r="G27" i="56"/>
  <c r="H27" i="56" s="1"/>
  <c r="I27" i="56" s="1"/>
  <c r="J27" i="56" s="1"/>
  <c r="K27" i="56" s="1"/>
  <c r="G17" i="56"/>
  <c r="H17" i="56" s="1"/>
  <c r="I17" i="56" s="1"/>
  <c r="J17" i="56" s="1"/>
  <c r="K17" i="56" s="1"/>
  <c r="G19" i="56"/>
  <c r="H19" i="56" s="1"/>
  <c r="I19" i="56" s="1"/>
  <c r="J19" i="56" s="1"/>
  <c r="K19" i="56" s="1"/>
  <c r="G23" i="56"/>
  <c r="H23" i="56" s="1"/>
  <c r="I23" i="56" s="1"/>
  <c r="J23" i="56" s="1"/>
  <c r="K23" i="56" s="1"/>
  <c r="L23" i="29"/>
  <c r="L22" i="29"/>
  <c r="L18" i="29"/>
  <c r="L17" i="29"/>
  <c r="L16" i="29"/>
  <c r="L15" i="29"/>
  <c r="L14" i="29"/>
  <c r="L13" i="29"/>
  <c r="L12" i="29"/>
  <c r="L11" i="29"/>
  <c r="L10" i="29"/>
  <c r="K17" i="29"/>
  <c r="K12" i="29"/>
  <c r="D23" i="34"/>
  <c r="F23" i="34"/>
  <c r="F18" i="34"/>
  <c r="E11" i="34"/>
  <c r="E10" i="34"/>
  <c r="E9" i="34"/>
  <c r="F13" i="34" s="1"/>
  <c r="K13" i="29" s="1"/>
  <c r="D18" i="34"/>
  <c r="M22" i="55"/>
  <c r="L22" i="55"/>
  <c r="K22" i="55"/>
  <c r="J22" i="55"/>
  <c r="I22" i="55"/>
  <c r="H22" i="55"/>
  <c r="G22" i="55"/>
  <c r="F22" i="55"/>
  <c r="E22" i="55"/>
  <c r="D22" i="55"/>
  <c r="C22" i="55"/>
  <c r="M27" i="55"/>
  <c r="L27" i="55"/>
  <c r="K27" i="55"/>
  <c r="J27" i="55"/>
  <c r="I27" i="55"/>
  <c r="H27" i="55"/>
  <c r="G27" i="55"/>
  <c r="F27" i="55"/>
  <c r="E27" i="55"/>
  <c r="D27" i="55"/>
  <c r="C27" i="55"/>
  <c r="L29" i="55"/>
  <c r="L31" i="55" s="1"/>
  <c r="J29" i="55"/>
  <c r="J31" i="55" s="1"/>
  <c r="H29" i="55"/>
  <c r="H31" i="55" s="1"/>
  <c r="F29" i="55"/>
  <c r="F31" i="55" s="1"/>
  <c r="D29" i="55"/>
  <c r="D31" i="55" s="1"/>
  <c r="F14" i="55"/>
  <c r="C13" i="55"/>
  <c r="E13" i="55" s="1"/>
  <c r="C8" i="55"/>
  <c r="G8" i="55" s="1"/>
  <c r="C15" i="55"/>
  <c r="C14" i="55"/>
  <c r="C12" i="55"/>
  <c r="G12" i="55" s="1"/>
  <c r="K12" i="55" s="1"/>
  <c r="C11" i="55"/>
  <c r="G11" i="55" s="1"/>
  <c r="C10" i="55"/>
  <c r="G10" i="55" s="1"/>
  <c r="C9" i="55"/>
  <c r="C7" i="55"/>
  <c r="T9" i="76" l="1"/>
  <c r="BM15" i="67"/>
  <c r="AG24" i="58"/>
  <c r="S23" i="54" s="1"/>
  <c r="F22" i="70" s="1"/>
  <c r="C16" i="56"/>
  <c r="M16" i="56" s="1"/>
  <c r="P16" i="56" s="1"/>
  <c r="R8" i="71"/>
  <c r="C26" i="74" s="1"/>
  <c r="AG9" i="65"/>
  <c r="L10" i="71" s="1"/>
  <c r="M10" i="71" s="1"/>
  <c r="F12" i="65"/>
  <c r="AD11" i="65"/>
  <c r="I12" i="71" s="1"/>
  <c r="AL9" i="65"/>
  <c r="AE11" i="65"/>
  <c r="Z9" i="65"/>
  <c r="BR14" i="67"/>
  <c r="I27" i="67"/>
  <c r="BJ27" i="67" s="1"/>
  <c r="BL25" i="67"/>
  <c r="D15" i="67"/>
  <c r="E15" i="67" s="1"/>
  <c r="BO14" i="67"/>
  <c r="E33" i="69"/>
  <c r="G33" i="69" s="1"/>
  <c r="H33" i="69" s="1"/>
  <c r="I33" i="69" s="1"/>
  <c r="J33" i="69" s="1"/>
  <c r="K33" i="69" s="1"/>
  <c r="H25" i="73"/>
  <c r="C2" i="56"/>
  <c r="O27" i="56" s="1"/>
  <c r="K10" i="55"/>
  <c r="R31" i="67"/>
  <c r="K11" i="55"/>
  <c r="U31" i="67"/>
  <c r="W31" i="67" s="1"/>
  <c r="K8" i="54"/>
  <c r="E18" i="55"/>
  <c r="F19" i="67"/>
  <c r="BC12" i="67"/>
  <c r="C10" i="65"/>
  <c r="W9" i="65"/>
  <c r="X9" i="65" s="1"/>
  <c r="U9" i="65"/>
  <c r="BA63" i="67"/>
  <c r="AZ63" i="67"/>
  <c r="AR39" i="67"/>
  <c r="AQ39" i="67"/>
  <c r="AL40" i="67"/>
  <c r="AK40" i="67"/>
  <c r="AO16" i="67"/>
  <c r="AN16" i="67"/>
  <c r="AT17" i="67"/>
  <c r="AU17" i="67"/>
  <c r="AX45" i="67"/>
  <c r="AW45" i="67"/>
  <c r="AI45" i="67"/>
  <c r="AH45" i="67"/>
  <c r="AF16" i="67"/>
  <c r="AE16" i="67"/>
  <c r="J12" i="65"/>
  <c r="K12" i="65" s="1"/>
  <c r="I13" i="65" s="1"/>
  <c r="J13" i="65" s="1"/>
  <c r="N18" i="67"/>
  <c r="M18" i="67"/>
  <c r="Q17" i="67"/>
  <c r="P17" i="67"/>
  <c r="T13" i="65"/>
  <c r="Q12" i="65"/>
  <c r="Y12" i="67"/>
  <c r="Z12" i="67"/>
  <c r="S13" i="67"/>
  <c r="T13" i="67"/>
  <c r="L12" i="65"/>
  <c r="M12" i="65" s="1"/>
  <c r="K8" i="55"/>
  <c r="E10" i="60"/>
  <c r="E31" i="59"/>
  <c r="G31" i="59" s="1"/>
  <c r="H31" i="59" s="1"/>
  <c r="I31" i="59" s="1"/>
  <c r="J31" i="59" s="1"/>
  <c r="K31" i="59" s="1"/>
  <c r="AB9" i="58"/>
  <c r="F25" i="34"/>
  <c r="K30" i="53"/>
  <c r="K32" i="53" s="1"/>
  <c r="K30" i="52"/>
  <c r="K32" i="52" s="1"/>
  <c r="K30" i="51"/>
  <c r="K32" i="51" s="1"/>
  <c r="K30" i="50"/>
  <c r="K32" i="50" s="1"/>
  <c r="L30" i="49"/>
  <c r="L32" i="49" s="1"/>
  <c r="G30" i="49"/>
  <c r="L7" i="57"/>
  <c r="L15" i="57" s="1"/>
  <c r="K13" i="47"/>
  <c r="M13" i="47" s="1"/>
  <c r="K13" i="45"/>
  <c r="M13" i="45" s="1"/>
  <c r="K13" i="43"/>
  <c r="M13" i="43" s="1"/>
  <c r="K13" i="41"/>
  <c r="M13" i="41" s="1"/>
  <c r="J30" i="53"/>
  <c r="J32" i="53" s="1"/>
  <c r="J30" i="52"/>
  <c r="J32" i="52" s="1"/>
  <c r="J30" i="51"/>
  <c r="J32" i="51" s="1"/>
  <c r="J30" i="50"/>
  <c r="J32" i="50" s="1"/>
  <c r="K30" i="49"/>
  <c r="K32" i="49" s="1"/>
  <c r="F7" i="57"/>
  <c r="F15" i="57" s="1"/>
  <c r="K17" i="47"/>
  <c r="M17" i="47" s="1"/>
  <c r="K15" i="47"/>
  <c r="M15" i="47" s="1"/>
  <c r="K17" i="45"/>
  <c r="M17" i="45" s="1"/>
  <c r="K15" i="45"/>
  <c r="M15" i="45" s="1"/>
  <c r="K17" i="43"/>
  <c r="M17" i="43" s="1"/>
  <c r="K15" i="43"/>
  <c r="M15" i="43" s="1"/>
  <c r="K17" i="41"/>
  <c r="M17" i="41" s="1"/>
  <c r="H30" i="53"/>
  <c r="H32" i="53" s="1"/>
  <c r="H30" i="52"/>
  <c r="H32" i="52" s="1"/>
  <c r="H30" i="51"/>
  <c r="H32" i="51" s="1"/>
  <c r="H30" i="50"/>
  <c r="H32" i="50" s="1"/>
  <c r="J30" i="49"/>
  <c r="J32" i="49" s="1"/>
  <c r="H7" i="57"/>
  <c r="H15" i="57" s="1"/>
  <c r="K12" i="47"/>
  <c r="M12" i="47" s="1"/>
  <c r="K12" i="45"/>
  <c r="M12" i="45" s="1"/>
  <c r="K12" i="43"/>
  <c r="M12" i="43" s="1"/>
  <c r="K12" i="41"/>
  <c r="M12" i="41" s="1"/>
  <c r="K15" i="41"/>
  <c r="M15" i="41" s="1"/>
  <c r="L30" i="53"/>
  <c r="L32" i="53" s="1"/>
  <c r="G30" i="53"/>
  <c r="L30" i="52"/>
  <c r="L32" i="52" s="1"/>
  <c r="G30" i="52"/>
  <c r="L30" i="51"/>
  <c r="L32" i="51" s="1"/>
  <c r="G30" i="51"/>
  <c r="L30" i="50"/>
  <c r="L32" i="50" s="1"/>
  <c r="G30" i="50"/>
  <c r="H30" i="49"/>
  <c r="H32" i="49" s="1"/>
  <c r="J7" i="57"/>
  <c r="J15" i="57" s="1"/>
  <c r="D7" i="57"/>
  <c r="D15" i="57" s="1"/>
  <c r="K16" i="47"/>
  <c r="M16" i="47" s="1"/>
  <c r="K16" i="45"/>
  <c r="M16" i="45" s="1"/>
  <c r="K16" i="43"/>
  <c r="M16" i="43" s="1"/>
  <c r="K16" i="41"/>
  <c r="M16" i="41" s="1"/>
  <c r="K15" i="29"/>
  <c r="M15" i="29" s="1"/>
  <c r="K16" i="29"/>
  <c r="M16" i="29" s="1"/>
  <c r="M13" i="29"/>
  <c r="M17" i="29"/>
  <c r="M12" i="29"/>
  <c r="E29" i="56"/>
  <c r="G29" i="56" s="1"/>
  <c r="H29" i="56" s="1"/>
  <c r="I29" i="56" s="1"/>
  <c r="J29" i="56" s="1"/>
  <c r="K29" i="56" s="1"/>
  <c r="H14" i="55"/>
  <c r="J14" i="55" s="1"/>
  <c r="L14" i="55" s="1"/>
  <c r="G13" i="55"/>
  <c r="P4" i="29"/>
  <c r="B4" i="29" s="1"/>
  <c r="G32" i="53" l="1"/>
  <c r="G32" i="98" s="1"/>
  <c r="G30" i="98"/>
  <c r="G32" i="49"/>
  <c r="G32" i="94" s="1"/>
  <c r="G30" i="94"/>
  <c r="G32" i="51"/>
  <c r="G32" i="96" s="1"/>
  <c r="G30" i="96"/>
  <c r="G32" i="50"/>
  <c r="G32" i="95" s="1"/>
  <c r="G30" i="95"/>
  <c r="G32" i="52"/>
  <c r="G32" i="97" s="1"/>
  <c r="G30" i="97"/>
  <c r="O77" i="56"/>
  <c r="BN15" i="67"/>
  <c r="N7" i="70"/>
  <c r="C14" i="75" s="1"/>
  <c r="K8" i="76"/>
  <c r="AG25" i="58"/>
  <c r="S24" i="54" s="1"/>
  <c r="F23" i="70" s="1"/>
  <c r="H19" i="67"/>
  <c r="C17" i="56"/>
  <c r="M17" i="56" s="1"/>
  <c r="P17" i="56" s="1"/>
  <c r="R9" i="71"/>
  <c r="R77" i="71" s="1"/>
  <c r="R78" i="71" s="1"/>
  <c r="L16" i="56"/>
  <c r="N16" i="56" s="1"/>
  <c r="Q16" i="56" s="1"/>
  <c r="G12" i="65"/>
  <c r="H12" i="65" s="1"/>
  <c r="AC12" i="65"/>
  <c r="H13" i="71" s="1"/>
  <c r="AG13" i="71" s="1"/>
  <c r="L20" i="78" s="1"/>
  <c r="AJ9" i="65"/>
  <c r="AH9" i="65"/>
  <c r="AF10" i="65"/>
  <c r="K11" i="71" s="1"/>
  <c r="AH11" i="71" s="1"/>
  <c r="J21" i="78" s="1"/>
  <c r="AI10" i="54"/>
  <c r="J10" i="71"/>
  <c r="N10" i="71" s="1"/>
  <c r="AA9" i="65"/>
  <c r="AB9" i="65" s="1"/>
  <c r="J27" i="67"/>
  <c r="K27" i="67" s="1"/>
  <c r="BK27" i="67" s="1"/>
  <c r="BP15" i="67"/>
  <c r="BB15" i="67"/>
  <c r="BQ15" i="67"/>
  <c r="C16" i="67"/>
  <c r="BL26" i="67"/>
  <c r="AP55" i="67"/>
  <c r="AM55" i="67"/>
  <c r="E34" i="69"/>
  <c r="G34" i="69" s="1"/>
  <c r="H34" i="69" s="1"/>
  <c r="I34" i="69" s="1"/>
  <c r="J34" i="69" s="1"/>
  <c r="K34" i="69" s="1"/>
  <c r="H26" i="73"/>
  <c r="E24" i="55"/>
  <c r="E29" i="55" s="1"/>
  <c r="E31" i="55" s="1"/>
  <c r="E20" i="54"/>
  <c r="E9" i="76" s="1"/>
  <c r="I13" i="55"/>
  <c r="X31" i="67"/>
  <c r="BG12" i="67"/>
  <c r="BH12" i="67" s="1"/>
  <c r="V10" i="65"/>
  <c r="D10" i="65"/>
  <c r="E10" i="65" s="1"/>
  <c r="Y10" i="65"/>
  <c r="BA64" i="67"/>
  <c r="AZ64" i="67"/>
  <c r="AO17" i="67"/>
  <c r="AN17" i="67"/>
  <c r="AT18" i="67"/>
  <c r="AU18" i="67"/>
  <c r="AW46" i="67"/>
  <c r="AX46" i="67"/>
  <c r="AR40" i="67"/>
  <c r="AQ40" i="67"/>
  <c r="AL41" i="67"/>
  <c r="AK41" i="67"/>
  <c r="AI46" i="67"/>
  <c r="AH46" i="67"/>
  <c r="AF17" i="67"/>
  <c r="AE17" i="67"/>
  <c r="N19" i="67"/>
  <c r="M19" i="67"/>
  <c r="Q18" i="67"/>
  <c r="P18" i="67"/>
  <c r="AB12" i="67"/>
  <c r="AC12" i="67" s="1"/>
  <c r="BD12" i="67" s="1"/>
  <c r="BE12" i="67" s="1"/>
  <c r="BI12" i="67" s="1"/>
  <c r="N12" i="65"/>
  <c r="R14" i="65"/>
  <c r="S14" i="65" s="1"/>
  <c r="X13" i="67"/>
  <c r="R14" i="67"/>
  <c r="O13" i="65"/>
  <c r="P13" i="65" s="1"/>
  <c r="K13" i="65"/>
  <c r="E32" i="59"/>
  <c r="G32" i="59" s="1"/>
  <c r="H32" i="59" s="1"/>
  <c r="I32" i="59" s="1"/>
  <c r="J32" i="59" s="1"/>
  <c r="K32" i="59" s="1"/>
  <c r="E30" i="56"/>
  <c r="G30" i="56" s="1"/>
  <c r="H30" i="56" s="1"/>
  <c r="I30" i="56" s="1"/>
  <c r="J30" i="56" s="1"/>
  <c r="K30" i="56" s="1"/>
  <c r="G14" i="55"/>
  <c r="G9" i="55"/>
  <c r="BM16" i="67" l="1"/>
  <c r="AK10" i="54"/>
  <c r="H9" i="70" s="1"/>
  <c r="I16" i="78" s="1"/>
  <c r="G17" i="78"/>
  <c r="G18" i="103" s="1"/>
  <c r="G12" i="78"/>
  <c r="G13" i="103" s="1"/>
  <c r="AG26" i="58"/>
  <c r="S25" i="54" s="1"/>
  <c r="F24" i="70" s="1"/>
  <c r="L17" i="56"/>
  <c r="N17" i="56" s="1"/>
  <c r="Q17" i="56" s="1"/>
  <c r="C18" i="56"/>
  <c r="M18" i="56" s="1"/>
  <c r="R10" i="71"/>
  <c r="AG10" i="65"/>
  <c r="AM9" i="65"/>
  <c r="AK9" i="65"/>
  <c r="AN9" i="65" s="1"/>
  <c r="AH10" i="65"/>
  <c r="AI10" i="65"/>
  <c r="F13" i="65"/>
  <c r="AD12" i="65"/>
  <c r="I13" i="71" s="1"/>
  <c r="Z10" i="65"/>
  <c r="BR15" i="67"/>
  <c r="I28" i="67"/>
  <c r="BJ28" i="67" s="1"/>
  <c r="AJ16" i="54"/>
  <c r="BL27" i="67"/>
  <c r="D16" i="67"/>
  <c r="E16" i="67" s="1"/>
  <c r="C17" i="67"/>
  <c r="D17" i="67" s="1"/>
  <c r="E17" i="67" s="1"/>
  <c r="BB17" i="67" s="1"/>
  <c r="AJ18" i="54" s="1"/>
  <c r="BO15" i="67"/>
  <c r="AD43" i="67"/>
  <c r="O31" i="67"/>
  <c r="E35" i="69"/>
  <c r="G35" i="69" s="1"/>
  <c r="H35" i="69" s="1"/>
  <c r="I35" i="69" s="1"/>
  <c r="J35" i="69" s="1"/>
  <c r="K35" i="69" s="1"/>
  <c r="H27" i="73"/>
  <c r="I18" i="55"/>
  <c r="K13" i="55"/>
  <c r="BC13" i="67"/>
  <c r="BF13" i="67"/>
  <c r="BS13" i="67" s="1"/>
  <c r="C11" i="65"/>
  <c r="W10" i="65"/>
  <c r="X10" i="65" s="1"/>
  <c r="U10" i="65"/>
  <c r="AZ65" i="67"/>
  <c r="BA65" i="67"/>
  <c r="AT19" i="67"/>
  <c r="AU19" i="67"/>
  <c r="AO18" i="67"/>
  <c r="AN18" i="67"/>
  <c r="AX47" i="67"/>
  <c r="AW47" i="67"/>
  <c r="AQ41" i="67"/>
  <c r="AR41" i="67"/>
  <c r="AL42" i="67"/>
  <c r="AK42" i="67"/>
  <c r="AI47" i="67"/>
  <c r="AH47" i="67"/>
  <c r="AE18" i="67"/>
  <c r="AF18" i="67"/>
  <c r="N20" i="67"/>
  <c r="M20" i="67"/>
  <c r="Q19" i="67"/>
  <c r="P19" i="67"/>
  <c r="Q13" i="65"/>
  <c r="Y13" i="67"/>
  <c r="Z13" i="67"/>
  <c r="S14" i="67"/>
  <c r="T14" i="67"/>
  <c r="T14" i="65"/>
  <c r="R15" i="65" s="1"/>
  <c r="S15" i="65" s="1"/>
  <c r="L13" i="65"/>
  <c r="M13" i="65" s="1"/>
  <c r="G19" i="67"/>
  <c r="K9" i="55"/>
  <c r="G18" i="55"/>
  <c r="E33" i="59"/>
  <c r="G33" i="59" s="1"/>
  <c r="H33" i="59" s="1"/>
  <c r="I33" i="59" s="1"/>
  <c r="J33" i="59" s="1"/>
  <c r="K33" i="59" s="1"/>
  <c r="E31" i="56"/>
  <c r="G31" i="56" s="1"/>
  <c r="H31" i="56" s="1"/>
  <c r="I31" i="56" s="1"/>
  <c r="J31" i="56" s="1"/>
  <c r="K31" i="56" s="1"/>
  <c r="AE12" i="65" l="1"/>
  <c r="BN17" i="67"/>
  <c r="BQ17" i="67" s="1"/>
  <c r="BN16" i="67"/>
  <c r="BM17" i="67"/>
  <c r="C18" i="67"/>
  <c r="BM18" i="67" s="1"/>
  <c r="BP18" i="67" s="1"/>
  <c r="AJ10" i="65"/>
  <c r="L11" i="71"/>
  <c r="M11" i="71" s="1"/>
  <c r="P18" i="56"/>
  <c r="C19" i="56" s="1"/>
  <c r="L18" i="56"/>
  <c r="N18" i="56" s="1"/>
  <c r="Q18" i="56" s="1"/>
  <c r="AF11" i="65"/>
  <c r="K12" i="71" s="1"/>
  <c r="AH12" i="71" s="1"/>
  <c r="K21" i="78" s="1"/>
  <c r="G13" i="65"/>
  <c r="H13" i="65" s="1"/>
  <c r="AC13" i="65"/>
  <c r="H14" i="71" s="1"/>
  <c r="AG14" i="71" s="1"/>
  <c r="M20" i="78" s="1"/>
  <c r="AL10" i="65"/>
  <c r="AK10" i="65"/>
  <c r="AM10" i="65"/>
  <c r="J11" i="71"/>
  <c r="AI11" i="54"/>
  <c r="AA10" i="65"/>
  <c r="AB10" i="65" s="1"/>
  <c r="BP16" i="67"/>
  <c r="J28" i="67"/>
  <c r="K28" i="67" s="1"/>
  <c r="BK28" i="67" s="1"/>
  <c r="BB16" i="67"/>
  <c r="BQ16" i="67"/>
  <c r="AS55" i="67"/>
  <c r="E36" i="69"/>
  <c r="G36" i="69" s="1"/>
  <c r="H36" i="69" s="1"/>
  <c r="I36" i="69" s="1"/>
  <c r="J36" i="69" s="1"/>
  <c r="K36" i="69" s="1"/>
  <c r="H28" i="73"/>
  <c r="I24" i="55"/>
  <c r="I29" i="55" s="1"/>
  <c r="I31" i="55" s="1"/>
  <c r="E44" i="54"/>
  <c r="E11" i="76" s="1"/>
  <c r="M13" i="55"/>
  <c r="G24" i="55"/>
  <c r="G29" i="55" s="1"/>
  <c r="G31" i="55" s="1"/>
  <c r="E32" i="54"/>
  <c r="E10" i="76" s="1"/>
  <c r="K18" i="55"/>
  <c r="AJ55" i="67"/>
  <c r="D18" i="67"/>
  <c r="E18" i="67" s="1"/>
  <c r="BB18" i="67" s="1"/>
  <c r="X14" i="67"/>
  <c r="Z14" i="67" s="1"/>
  <c r="R15" i="67"/>
  <c r="V11" i="65"/>
  <c r="D11" i="65"/>
  <c r="Y11" i="65"/>
  <c r="BA66" i="67"/>
  <c r="AZ66" i="67"/>
  <c r="AW48" i="67"/>
  <c r="AX48" i="67"/>
  <c r="AR42" i="67"/>
  <c r="AQ42" i="67"/>
  <c r="AK43" i="67"/>
  <c r="AL43" i="67"/>
  <c r="AT20" i="67"/>
  <c r="AU20" i="67"/>
  <c r="AO19" i="67"/>
  <c r="AN19" i="67"/>
  <c r="AF19" i="67"/>
  <c r="AE19" i="67"/>
  <c r="AI48" i="67"/>
  <c r="AH48" i="67"/>
  <c r="M21" i="67"/>
  <c r="N21" i="67"/>
  <c r="Q20" i="67"/>
  <c r="P20" i="67"/>
  <c r="T15" i="65"/>
  <c r="N13" i="65"/>
  <c r="AB13" i="67"/>
  <c r="AC13" i="67" s="1"/>
  <c r="BD13" i="67" s="1"/>
  <c r="BE13" i="67" s="1"/>
  <c r="Y14" i="67"/>
  <c r="T15" i="67"/>
  <c r="F20" i="67"/>
  <c r="O14" i="65"/>
  <c r="P14" i="65" s="1"/>
  <c r="I14" i="65"/>
  <c r="J14" i="65" s="1"/>
  <c r="E34" i="59"/>
  <c r="G34" i="59" s="1"/>
  <c r="H34" i="59" s="1"/>
  <c r="I34" i="59" s="1"/>
  <c r="J34" i="59" s="1"/>
  <c r="K34" i="59" s="1"/>
  <c r="E32" i="56"/>
  <c r="G32" i="56" s="1"/>
  <c r="H32" i="56" s="1"/>
  <c r="I32" i="56" s="1"/>
  <c r="J32" i="56" s="1"/>
  <c r="K32" i="56" s="1"/>
  <c r="N11" i="71" l="1"/>
  <c r="BN18" i="67"/>
  <c r="AK11" i="54"/>
  <c r="H10" i="70" s="1"/>
  <c r="J16" i="78" s="1"/>
  <c r="AG28" i="58"/>
  <c r="S27" i="54" s="1"/>
  <c r="F26" i="70" s="1"/>
  <c r="M19" i="56"/>
  <c r="P19" i="56" s="1"/>
  <c r="L19" i="56"/>
  <c r="R11" i="71"/>
  <c r="F14" i="65"/>
  <c r="AD13" i="65"/>
  <c r="I14" i="71" s="1"/>
  <c r="AN10" i="65"/>
  <c r="AI11" i="65"/>
  <c r="AE13" i="65"/>
  <c r="I29" i="67"/>
  <c r="BR16" i="67"/>
  <c r="AJ17" i="54"/>
  <c r="BP17" i="67"/>
  <c r="BO17" i="67"/>
  <c r="BO16" i="67"/>
  <c r="AJ19" i="54"/>
  <c r="AY67" i="67"/>
  <c r="AZ67" i="67" s="1"/>
  <c r="E37" i="69"/>
  <c r="G37" i="69" s="1"/>
  <c r="H37" i="69" s="1"/>
  <c r="I37" i="69" s="1"/>
  <c r="J37" i="69" s="1"/>
  <c r="K37" i="69" s="1"/>
  <c r="H29" i="73"/>
  <c r="M18" i="55"/>
  <c r="K24" i="55"/>
  <c r="K29" i="55" s="1"/>
  <c r="K31" i="55" s="1"/>
  <c r="E56" i="54"/>
  <c r="E12" i="76" s="1"/>
  <c r="X15" i="67"/>
  <c r="S15" i="67"/>
  <c r="BG13" i="67"/>
  <c r="BT13" i="67" s="1"/>
  <c r="C19" i="67"/>
  <c r="BM19" i="67" s="1"/>
  <c r="BF15" i="67"/>
  <c r="BS15" i="67" s="1"/>
  <c r="BC15" i="67"/>
  <c r="BC14" i="67"/>
  <c r="BF14" i="67"/>
  <c r="BS14" i="67" s="1"/>
  <c r="E11" i="65"/>
  <c r="AT21" i="67"/>
  <c r="AU21" i="67"/>
  <c r="AL44" i="67"/>
  <c r="AK44" i="67"/>
  <c r="AX49" i="67"/>
  <c r="AW49" i="67"/>
  <c r="AO20" i="67"/>
  <c r="AN20" i="67"/>
  <c r="AR43" i="67"/>
  <c r="AQ43" i="67"/>
  <c r="AF20" i="67"/>
  <c r="AE20" i="67"/>
  <c r="AI49" i="67"/>
  <c r="AG50" i="67" s="1"/>
  <c r="AH49" i="67"/>
  <c r="K14" i="65"/>
  <c r="N22" i="67"/>
  <c r="M22" i="67"/>
  <c r="Q21" i="67"/>
  <c r="P21" i="67"/>
  <c r="Q14" i="65"/>
  <c r="L14" i="65"/>
  <c r="M14" i="65" s="1"/>
  <c r="Y15" i="67"/>
  <c r="Z15" i="67"/>
  <c r="G20" i="67"/>
  <c r="H20" i="67" s="1"/>
  <c r="R16" i="65"/>
  <c r="S16" i="65" s="1"/>
  <c r="R16" i="67"/>
  <c r="E35" i="59"/>
  <c r="G35" i="59" s="1"/>
  <c r="H35" i="59" s="1"/>
  <c r="I35" i="59" s="1"/>
  <c r="J35" i="59" s="1"/>
  <c r="K35" i="59" s="1"/>
  <c r="E33" i="56"/>
  <c r="G33" i="56" s="1"/>
  <c r="H33" i="56" s="1"/>
  <c r="I33" i="56" s="1"/>
  <c r="J33" i="56" s="1"/>
  <c r="K33" i="56" s="1"/>
  <c r="R9" i="53"/>
  <c r="O21" i="53" s="1"/>
  <c r="R9" i="52"/>
  <c r="O21" i="52" s="1"/>
  <c r="R9" i="51"/>
  <c r="O21" i="51" s="1"/>
  <c r="R6" i="49"/>
  <c r="R9" i="49" l="1"/>
  <c r="O21" i="49" s="1"/>
  <c r="I21" i="94" s="1"/>
  <c r="B4" i="49"/>
  <c r="O19" i="53"/>
  <c r="I19" i="98" s="1"/>
  <c r="I21" i="98"/>
  <c r="O19" i="51"/>
  <c r="I19" i="96" s="1"/>
  <c r="I21" i="96"/>
  <c r="O19" i="52"/>
  <c r="I19" i="97" s="1"/>
  <c r="I21" i="97"/>
  <c r="BJ29" i="67"/>
  <c r="AG29" i="58"/>
  <c r="S28" i="54" s="1"/>
  <c r="F27" i="70" s="1"/>
  <c r="R12" i="71"/>
  <c r="C20" i="56"/>
  <c r="N19" i="56"/>
  <c r="Q19" i="56" s="1"/>
  <c r="AG11" i="65"/>
  <c r="L12" i="71" s="1"/>
  <c r="M12" i="71" s="1"/>
  <c r="AL11" i="65"/>
  <c r="G14" i="65"/>
  <c r="H14" i="65" s="1"/>
  <c r="AC14" i="65"/>
  <c r="H15" i="71" s="1"/>
  <c r="AG15" i="71" s="1"/>
  <c r="N20" i="78" s="1"/>
  <c r="Z11" i="65"/>
  <c r="BR17" i="67"/>
  <c r="BQ18" i="67"/>
  <c r="BO18" i="67"/>
  <c r="BL28" i="67"/>
  <c r="J29" i="67"/>
  <c r="K29" i="67" s="1"/>
  <c r="BK29" i="67" s="1"/>
  <c r="BH13" i="67"/>
  <c r="BU13" i="67" s="1"/>
  <c r="BA67" i="67"/>
  <c r="BA69" i="67" s="1"/>
  <c r="E38" i="69"/>
  <c r="G38" i="69" s="1"/>
  <c r="H38" i="69" s="1"/>
  <c r="I38" i="69" s="1"/>
  <c r="J38" i="69" s="1"/>
  <c r="K38" i="69" s="1"/>
  <c r="H30" i="73"/>
  <c r="M24" i="55"/>
  <c r="M29" i="55" s="1"/>
  <c r="M31" i="55" s="1"/>
  <c r="E68" i="54"/>
  <c r="E13" i="76" s="1"/>
  <c r="E15" i="76" s="1"/>
  <c r="D19" i="67"/>
  <c r="E19" i="67" s="1"/>
  <c r="BN19" i="67" s="1"/>
  <c r="W11" i="65"/>
  <c r="X11" i="65" s="1"/>
  <c r="U11" i="65"/>
  <c r="C12" i="65"/>
  <c r="AF12" i="65" s="1"/>
  <c r="K13" i="71" s="1"/>
  <c r="AH13" i="71" s="1"/>
  <c r="L21" i="78" s="1"/>
  <c r="AR44" i="67"/>
  <c r="AQ44" i="67"/>
  <c r="AO21" i="67"/>
  <c r="AN21" i="67"/>
  <c r="AT22" i="67"/>
  <c r="AU22" i="67"/>
  <c r="AL45" i="67"/>
  <c r="AK45" i="67"/>
  <c r="AW50" i="67"/>
  <c r="AX50" i="67"/>
  <c r="AF21" i="67"/>
  <c r="AE21" i="67"/>
  <c r="AH50" i="67"/>
  <c r="AI50" i="67" s="1"/>
  <c r="AG51" i="67" s="1"/>
  <c r="N23" i="67"/>
  <c r="M23" i="67"/>
  <c r="Q22" i="67"/>
  <c r="P22" i="67"/>
  <c r="T16" i="65"/>
  <c r="N14" i="65"/>
  <c r="AB14" i="67"/>
  <c r="AC14" i="67" s="1"/>
  <c r="S16" i="67"/>
  <c r="T16" i="67"/>
  <c r="F21" i="67"/>
  <c r="O15" i="65"/>
  <c r="P15" i="65" s="1"/>
  <c r="I15" i="65"/>
  <c r="E36" i="59"/>
  <c r="G36" i="59" s="1"/>
  <c r="H36" i="59" s="1"/>
  <c r="I36" i="59" s="1"/>
  <c r="J36" i="59" s="1"/>
  <c r="K36" i="59" s="1"/>
  <c r="E34" i="56"/>
  <c r="G34" i="56" s="1"/>
  <c r="H34" i="56" s="1"/>
  <c r="I34" i="56" s="1"/>
  <c r="J34" i="56" s="1"/>
  <c r="K34" i="56" s="1"/>
  <c r="F13" i="53"/>
  <c r="F13" i="98" s="1"/>
  <c r="H13" i="53"/>
  <c r="J13" i="53"/>
  <c r="L13" i="53"/>
  <c r="N13" i="53"/>
  <c r="H13" i="98" s="1"/>
  <c r="G13" i="53"/>
  <c r="G13" i="98" s="1"/>
  <c r="K13" i="53"/>
  <c r="O13" i="53"/>
  <c r="I13" i="98" s="1"/>
  <c r="H21" i="53"/>
  <c r="H19" i="53" s="1"/>
  <c r="L21" i="53"/>
  <c r="L19" i="53" s="1"/>
  <c r="E21" i="53"/>
  <c r="I21" i="53"/>
  <c r="I19" i="53" s="1"/>
  <c r="M21" i="53"/>
  <c r="M19" i="53" s="1"/>
  <c r="E13" i="53"/>
  <c r="E13" i="98" s="1"/>
  <c r="I13" i="53"/>
  <c r="M13" i="53"/>
  <c r="F21" i="53"/>
  <c r="J21" i="53"/>
  <c r="J19" i="53" s="1"/>
  <c r="N21" i="53"/>
  <c r="G21" i="53"/>
  <c r="K21" i="53"/>
  <c r="K19" i="53" s="1"/>
  <c r="F13" i="52"/>
  <c r="F13" i="97" s="1"/>
  <c r="H13" i="52"/>
  <c r="J13" i="52"/>
  <c r="L13" i="52"/>
  <c r="N13" i="52"/>
  <c r="H13" i="97" s="1"/>
  <c r="G13" i="52"/>
  <c r="G13" i="97" s="1"/>
  <c r="K13" i="52"/>
  <c r="O13" i="52"/>
  <c r="I13" i="97" s="1"/>
  <c r="H21" i="52"/>
  <c r="H19" i="52" s="1"/>
  <c r="L21" i="52"/>
  <c r="L19" i="52" s="1"/>
  <c r="E21" i="52"/>
  <c r="I21" i="52"/>
  <c r="I19" i="52" s="1"/>
  <c r="M21" i="52"/>
  <c r="M19" i="52" s="1"/>
  <c r="E13" i="52"/>
  <c r="E13" i="97" s="1"/>
  <c r="I13" i="52"/>
  <c r="M13" i="52"/>
  <c r="F21" i="52"/>
  <c r="J21" i="52"/>
  <c r="J19" i="52" s="1"/>
  <c r="N21" i="52"/>
  <c r="G21" i="52"/>
  <c r="K21" i="52"/>
  <c r="K19" i="52" s="1"/>
  <c r="G13" i="51"/>
  <c r="G13" i="96" s="1"/>
  <c r="K13" i="51"/>
  <c r="O13" i="51"/>
  <c r="I13" i="96" s="1"/>
  <c r="H21" i="51"/>
  <c r="H19" i="51" s="1"/>
  <c r="L21" i="51"/>
  <c r="L19" i="51" s="1"/>
  <c r="H13" i="51"/>
  <c r="L13" i="51"/>
  <c r="E21" i="51"/>
  <c r="I21" i="51"/>
  <c r="I19" i="51" s="1"/>
  <c r="M21" i="51"/>
  <c r="M19" i="51" s="1"/>
  <c r="E13" i="51"/>
  <c r="E13" i="96" s="1"/>
  <c r="I13" i="51"/>
  <c r="M13" i="51"/>
  <c r="F21" i="51"/>
  <c r="J21" i="51"/>
  <c r="J19" i="51" s="1"/>
  <c r="N21" i="51"/>
  <c r="F13" i="51"/>
  <c r="F13" i="96" s="1"/>
  <c r="J13" i="51"/>
  <c r="N13" i="51"/>
  <c r="H13" i="96" s="1"/>
  <c r="G21" i="51"/>
  <c r="K21" i="51"/>
  <c r="K19" i="51" s="1"/>
  <c r="R9" i="50"/>
  <c r="O19" i="49"/>
  <c r="I19" i="94" s="1"/>
  <c r="H21" i="49"/>
  <c r="H19" i="49" s="1"/>
  <c r="I21" i="49"/>
  <c r="I19" i="49" s="1"/>
  <c r="K13" i="49"/>
  <c r="M21" i="49"/>
  <c r="M19" i="49" s="1"/>
  <c r="N21" i="49"/>
  <c r="H21" i="94" s="1"/>
  <c r="O13" i="49"/>
  <c r="I13" i="94" s="1"/>
  <c r="G21" i="49"/>
  <c r="G21" i="94" s="1"/>
  <c r="H13" i="49"/>
  <c r="J13" i="49"/>
  <c r="N13" i="49"/>
  <c r="H13" i="94" s="1"/>
  <c r="G13" i="49"/>
  <c r="G13" i="94" s="1"/>
  <c r="I13" i="49"/>
  <c r="L21" i="49"/>
  <c r="M13" i="49"/>
  <c r="K21" i="49"/>
  <c r="L13" i="49"/>
  <c r="F21" i="49"/>
  <c r="F13" i="49"/>
  <c r="F13" i="94" s="1"/>
  <c r="E21" i="49"/>
  <c r="E13" i="49"/>
  <c r="E13" i="94" s="1"/>
  <c r="E7" i="35"/>
  <c r="D13" i="23"/>
  <c r="D14" i="23"/>
  <c r="J21" i="49" l="1"/>
  <c r="F19" i="53"/>
  <c r="F19" i="98" s="1"/>
  <c r="F21" i="98"/>
  <c r="E19" i="49"/>
  <c r="E19" i="94" s="1"/>
  <c r="E21" i="94"/>
  <c r="G19" i="51"/>
  <c r="G19" i="96" s="1"/>
  <c r="G21" i="96"/>
  <c r="N19" i="51"/>
  <c r="H19" i="96" s="1"/>
  <c r="H21" i="96"/>
  <c r="E19" i="51"/>
  <c r="E19" i="96" s="1"/>
  <c r="E21" i="96"/>
  <c r="F19" i="52"/>
  <c r="F19" i="97" s="1"/>
  <c r="F21" i="97"/>
  <c r="F19" i="51"/>
  <c r="F19" i="96" s="1"/>
  <c r="F21" i="96"/>
  <c r="N19" i="52"/>
  <c r="H19" i="97" s="1"/>
  <c r="H21" i="97"/>
  <c r="E19" i="52"/>
  <c r="E19" i="97" s="1"/>
  <c r="E21" i="97"/>
  <c r="G19" i="53"/>
  <c r="G19" i="98" s="1"/>
  <c r="G21" i="98"/>
  <c r="G19" i="52"/>
  <c r="G19" i="97" s="1"/>
  <c r="G21" i="97"/>
  <c r="F19" i="49"/>
  <c r="F19" i="94" s="1"/>
  <c r="F21" i="94"/>
  <c r="N19" i="53"/>
  <c r="H19" i="98" s="1"/>
  <c r="H21" i="98"/>
  <c r="E19" i="53"/>
  <c r="E19" i="98" s="1"/>
  <c r="E21" i="98"/>
  <c r="M20" i="56"/>
  <c r="P20" i="56" s="1"/>
  <c r="C21" i="56" s="1"/>
  <c r="M21" i="56" s="1"/>
  <c r="P21" i="56" s="1"/>
  <c r="L20" i="56"/>
  <c r="AD14" i="65"/>
  <c r="F15" i="65"/>
  <c r="AI12" i="65"/>
  <c r="AJ11" i="65"/>
  <c r="AH11" i="65"/>
  <c r="AI12" i="54"/>
  <c r="AA11" i="65"/>
  <c r="AB11" i="65" s="1"/>
  <c r="J12" i="71"/>
  <c r="N12" i="71" s="1"/>
  <c r="BR18" i="67"/>
  <c r="BB19" i="67"/>
  <c r="BQ19" i="67"/>
  <c r="I30" i="67"/>
  <c r="BL29" i="67"/>
  <c r="BI13" i="67"/>
  <c r="BO19" i="67"/>
  <c r="BP19" i="67"/>
  <c r="E70" i="54"/>
  <c r="E39" i="69"/>
  <c r="G39" i="69" s="1"/>
  <c r="H39" i="69" s="1"/>
  <c r="I39" i="69" s="1"/>
  <c r="J39" i="69" s="1"/>
  <c r="K39" i="69" s="1"/>
  <c r="H31" i="73"/>
  <c r="BD14" i="67"/>
  <c r="BE14" i="67" s="1"/>
  <c r="BG14" i="67"/>
  <c r="BT14" i="67" s="1"/>
  <c r="C20" i="67"/>
  <c r="BM20" i="67" s="1"/>
  <c r="V12" i="65"/>
  <c r="D12" i="65"/>
  <c r="E12" i="65"/>
  <c r="Y12" i="65"/>
  <c r="AK46" i="67"/>
  <c r="AL46" i="67"/>
  <c r="AQ45" i="67"/>
  <c r="AR45" i="67"/>
  <c r="AX51" i="67"/>
  <c r="AW51" i="67"/>
  <c r="AO22" i="67"/>
  <c r="AN22" i="67"/>
  <c r="AT23" i="67"/>
  <c r="AU23" i="67"/>
  <c r="AF22" i="67"/>
  <c r="AE22" i="67"/>
  <c r="AH51" i="67"/>
  <c r="AI51" i="67" s="1"/>
  <c r="AG52" i="67" s="1"/>
  <c r="J15" i="65"/>
  <c r="K15" i="65" s="1"/>
  <c r="I16" i="65" s="1"/>
  <c r="J16" i="65" s="1"/>
  <c r="N24" i="67"/>
  <c r="M24" i="67"/>
  <c r="Q23" i="67"/>
  <c r="P23" i="67"/>
  <c r="Q15" i="65"/>
  <c r="L15" i="65"/>
  <c r="M15" i="65" s="1"/>
  <c r="G21" i="67"/>
  <c r="H21" i="67" s="1"/>
  <c r="R17" i="65"/>
  <c r="S17" i="65" s="1"/>
  <c r="X16" i="67"/>
  <c r="R17" i="67"/>
  <c r="E37" i="59"/>
  <c r="G37" i="59" s="1"/>
  <c r="H37" i="59" s="1"/>
  <c r="I37" i="59" s="1"/>
  <c r="J37" i="59" s="1"/>
  <c r="K37" i="59" s="1"/>
  <c r="E35" i="56"/>
  <c r="G35" i="56" s="1"/>
  <c r="H35" i="56" s="1"/>
  <c r="I35" i="56" s="1"/>
  <c r="J35" i="56" s="1"/>
  <c r="K35" i="56" s="1"/>
  <c r="O21" i="50"/>
  <c r="K21" i="50"/>
  <c r="K19" i="50" s="1"/>
  <c r="G21" i="50"/>
  <c r="N13" i="50"/>
  <c r="H13" i="95" s="1"/>
  <c r="J13" i="50"/>
  <c r="F13" i="50"/>
  <c r="F13" i="95" s="1"/>
  <c r="N21" i="50"/>
  <c r="J21" i="50"/>
  <c r="J19" i="50" s="1"/>
  <c r="F21" i="50"/>
  <c r="M13" i="50"/>
  <c r="I13" i="50"/>
  <c r="E13" i="50"/>
  <c r="E13" i="95" s="1"/>
  <c r="M21" i="50"/>
  <c r="M19" i="50" s="1"/>
  <c r="I21" i="50"/>
  <c r="I19" i="50" s="1"/>
  <c r="E21" i="50"/>
  <c r="L13" i="50"/>
  <c r="H13" i="50"/>
  <c r="L21" i="50"/>
  <c r="L19" i="50" s="1"/>
  <c r="H21" i="50"/>
  <c r="H19" i="50" s="1"/>
  <c r="O13" i="50"/>
  <c r="I13" i="95" s="1"/>
  <c r="K13" i="50"/>
  <c r="G13" i="50"/>
  <c r="G13" i="95" s="1"/>
  <c r="J19" i="49"/>
  <c r="L19" i="49"/>
  <c r="N19" i="49"/>
  <c r="H19" i="94" s="1"/>
  <c r="K19" i="49"/>
  <c r="G19" i="49"/>
  <c r="G19" i="94" s="1"/>
  <c r="C18" i="41"/>
  <c r="F18" i="41" s="1"/>
  <c r="H18" i="41" s="1"/>
  <c r="C17" i="41"/>
  <c r="C17" i="43" s="1"/>
  <c r="C16" i="41"/>
  <c r="F16" i="41" s="1"/>
  <c r="H16" i="41" s="1"/>
  <c r="C15" i="41"/>
  <c r="C15" i="43" s="1"/>
  <c r="C14" i="41"/>
  <c r="F14" i="41" s="1"/>
  <c r="H14" i="41" s="1"/>
  <c r="C13" i="41"/>
  <c r="C13" i="43" s="1"/>
  <c r="C12" i="41"/>
  <c r="F12" i="41" s="1"/>
  <c r="H12" i="41" s="1"/>
  <c r="C11" i="41"/>
  <c r="C11" i="43" s="1"/>
  <c r="C10" i="41"/>
  <c r="F10" i="41" s="1"/>
  <c r="H10" i="41" s="1"/>
  <c r="F6" i="37"/>
  <c r="E6" i="37"/>
  <c r="D6" i="37"/>
  <c r="C6" i="37"/>
  <c r="B6" i="37"/>
  <c r="E7" i="26"/>
  <c r="F7" i="26" s="1"/>
  <c r="G7" i="26" s="1"/>
  <c r="C7" i="26"/>
  <c r="D7" i="26" s="1"/>
  <c r="I23" i="47"/>
  <c r="J23" i="47" s="1"/>
  <c r="H23" i="47"/>
  <c r="I22" i="47"/>
  <c r="J22" i="47" s="1"/>
  <c r="H22" i="47"/>
  <c r="P4" i="47"/>
  <c r="B4" i="47" s="1"/>
  <c r="H22" i="46"/>
  <c r="G22" i="46"/>
  <c r="H21" i="46"/>
  <c r="G21" i="46"/>
  <c r="H17" i="46"/>
  <c r="I18" i="47" s="1"/>
  <c r="H13" i="46"/>
  <c r="I14" i="47" s="1"/>
  <c r="H10" i="46"/>
  <c r="I11" i="47" s="1"/>
  <c r="H9" i="46"/>
  <c r="I10" i="47" s="1"/>
  <c r="I23" i="45"/>
  <c r="J23" i="45" s="1"/>
  <c r="H23" i="45"/>
  <c r="I22" i="45"/>
  <c r="J22" i="45" s="1"/>
  <c r="H22" i="45"/>
  <c r="P4" i="45"/>
  <c r="B4" i="45" s="1"/>
  <c r="H22" i="44"/>
  <c r="G22" i="44"/>
  <c r="H21" i="44"/>
  <c r="G21" i="44"/>
  <c r="H17" i="44"/>
  <c r="I18" i="45" s="1"/>
  <c r="H13" i="44"/>
  <c r="I14" i="45" s="1"/>
  <c r="H10" i="44"/>
  <c r="I11" i="45" s="1"/>
  <c r="H9" i="44"/>
  <c r="I10" i="45" s="1"/>
  <c r="I23" i="43"/>
  <c r="J23" i="43" s="1"/>
  <c r="H23" i="43"/>
  <c r="I22" i="43"/>
  <c r="J22" i="43" s="1"/>
  <c r="H22" i="43"/>
  <c r="P4" i="43"/>
  <c r="B4" i="43" s="1"/>
  <c r="H22" i="42"/>
  <c r="G22" i="42"/>
  <c r="H21" i="42"/>
  <c r="G21" i="42"/>
  <c r="H17" i="42"/>
  <c r="I18" i="43" s="1"/>
  <c r="H13" i="42"/>
  <c r="I14" i="43" s="1"/>
  <c r="H10" i="42"/>
  <c r="I11" i="43" s="1"/>
  <c r="H9" i="42"/>
  <c r="I10" i="43" s="1"/>
  <c r="I23" i="41"/>
  <c r="J23" i="41" s="1"/>
  <c r="H23" i="41"/>
  <c r="I22" i="41"/>
  <c r="J22" i="41" s="1"/>
  <c r="H22" i="41"/>
  <c r="F17" i="41"/>
  <c r="H17" i="41" s="1"/>
  <c r="F15" i="41"/>
  <c r="H15" i="41" s="1"/>
  <c r="F13" i="41"/>
  <c r="H13" i="41" s="1"/>
  <c r="F11" i="41"/>
  <c r="H11" i="41" s="1"/>
  <c r="P4" i="41"/>
  <c r="B4" i="41" s="1"/>
  <c r="H22" i="40"/>
  <c r="G22" i="40"/>
  <c r="H21" i="40"/>
  <c r="G21" i="40"/>
  <c r="H17" i="40"/>
  <c r="I18" i="41" s="1"/>
  <c r="H13" i="40"/>
  <c r="I14" i="41" s="1"/>
  <c r="H10" i="40"/>
  <c r="I11" i="41" s="1"/>
  <c r="H9" i="40"/>
  <c r="I10" i="41" s="1"/>
  <c r="H9" i="36"/>
  <c r="H10" i="36"/>
  <c r="H13" i="36"/>
  <c r="H17" i="36"/>
  <c r="G21" i="36"/>
  <c r="H21" i="36"/>
  <c r="G22" i="36"/>
  <c r="H22" i="36"/>
  <c r="I23" i="29" s="1"/>
  <c r="I22" i="29"/>
  <c r="P19" i="53" l="1"/>
  <c r="P19" i="51"/>
  <c r="P19" i="52"/>
  <c r="E19" i="50"/>
  <c r="E19" i="95" s="1"/>
  <c r="E21" i="95"/>
  <c r="N19" i="50"/>
  <c r="H19" i="95" s="1"/>
  <c r="H21" i="95"/>
  <c r="G19" i="50"/>
  <c r="G19" i="95" s="1"/>
  <c r="G21" i="95"/>
  <c r="J19" i="98"/>
  <c r="G12" i="99" s="1"/>
  <c r="J19" i="94"/>
  <c r="C12" i="99" s="1"/>
  <c r="F19" i="50"/>
  <c r="F19" i="95" s="1"/>
  <c r="F21" i="95"/>
  <c r="O19" i="50"/>
  <c r="I19" i="95" s="1"/>
  <c r="I21" i="95"/>
  <c r="J19" i="97"/>
  <c r="F12" i="99" s="1"/>
  <c r="J19" i="96"/>
  <c r="E12" i="99" s="1"/>
  <c r="AE14" i="65"/>
  <c r="I15" i="71"/>
  <c r="AK12" i="54"/>
  <c r="H11" i="70" s="1"/>
  <c r="K16" i="78" s="1"/>
  <c r="BJ30" i="67"/>
  <c r="AG30" i="58"/>
  <c r="S29" i="54" s="1"/>
  <c r="F28" i="70" s="1"/>
  <c r="N20" i="56"/>
  <c r="Q20" i="56" s="1"/>
  <c r="R13" i="71"/>
  <c r="L21" i="56"/>
  <c r="N21" i="56" s="1"/>
  <c r="Q21" i="56" s="1"/>
  <c r="AJ20" i="54"/>
  <c r="C22" i="56"/>
  <c r="R14" i="71"/>
  <c r="AL12" i="65"/>
  <c r="AM11" i="65"/>
  <c r="AK11" i="65"/>
  <c r="AN11" i="65" s="1"/>
  <c r="G15" i="65"/>
  <c r="H15" i="65" s="1"/>
  <c r="AC15" i="65"/>
  <c r="H16" i="71" s="1"/>
  <c r="AG16" i="71" s="1"/>
  <c r="O20" i="78" s="1"/>
  <c r="Z12" i="65"/>
  <c r="AA12" i="65" s="1"/>
  <c r="AG12" i="65"/>
  <c r="L13" i="71" s="1"/>
  <c r="M13" i="71" s="1"/>
  <c r="C13" i="65"/>
  <c r="AF13" i="65" s="1"/>
  <c r="K14" i="71" s="1"/>
  <c r="AH14" i="71" s="1"/>
  <c r="M21" i="78" s="1"/>
  <c r="BP20" i="67"/>
  <c r="J30" i="67"/>
  <c r="K30" i="67" s="1"/>
  <c r="BK30" i="67" s="1"/>
  <c r="BR19" i="67"/>
  <c r="BH14" i="67"/>
  <c r="BU14" i="67" s="1"/>
  <c r="E40" i="69"/>
  <c r="G40" i="69" s="1"/>
  <c r="H40" i="69" s="1"/>
  <c r="I40" i="69" s="1"/>
  <c r="J40" i="69" s="1"/>
  <c r="K40" i="69" s="1"/>
  <c r="H32" i="73"/>
  <c r="BF16" i="67"/>
  <c r="BS16" i="67" s="1"/>
  <c r="BC16" i="67"/>
  <c r="D20" i="67"/>
  <c r="E20" i="67" s="1"/>
  <c r="BN20" i="67" s="1"/>
  <c r="W12" i="65"/>
  <c r="U12" i="65"/>
  <c r="X12" i="65"/>
  <c r="AQ46" i="67"/>
  <c r="AR46" i="67"/>
  <c r="AO23" i="67"/>
  <c r="AN23" i="67"/>
  <c r="AL47" i="67"/>
  <c r="AK47" i="67"/>
  <c r="AT24" i="67"/>
  <c r="AU24" i="67"/>
  <c r="AX52" i="67"/>
  <c r="AW52" i="67"/>
  <c r="AE23" i="67"/>
  <c r="AF23" i="67"/>
  <c r="AH52" i="67"/>
  <c r="AI52" i="67" s="1"/>
  <c r="AG53" i="67" s="1"/>
  <c r="M25" i="67"/>
  <c r="N25" i="67"/>
  <c r="L26" i="67" s="1"/>
  <c r="Q24" i="67"/>
  <c r="P24" i="67"/>
  <c r="N15" i="65"/>
  <c r="K16" i="65"/>
  <c r="AB15" i="67"/>
  <c r="AC15" i="67" s="1"/>
  <c r="Y16" i="67"/>
  <c r="Z16" i="67"/>
  <c r="S17" i="67"/>
  <c r="T17" i="67"/>
  <c r="F22" i="67"/>
  <c r="T17" i="65"/>
  <c r="R18" i="65" s="1"/>
  <c r="S18" i="65" s="1"/>
  <c r="O16" i="65"/>
  <c r="P16" i="65" s="1"/>
  <c r="E38" i="59"/>
  <c r="G38" i="59" s="1"/>
  <c r="H38" i="59" s="1"/>
  <c r="I38" i="59" s="1"/>
  <c r="J38" i="59" s="1"/>
  <c r="K38" i="59" s="1"/>
  <c r="E36" i="56"/>
  <c r="G36" i="56" s="1"/>
  <c r="H36" i="56" s="1"/>
  <c r="I36" i="56" s="1"/>
  <c r="J36" i="56" s="1"/>
  <c r="K36" i="56" s="1"/>
  <c r="P19" i="49"/>
  <c r="I18" i="29"/>
  <c r="J18" i="29" s="1"/>
  <c r="I14" i="29"/>
  <c r="J14" i="29" s="1"/>
  <c r="I10" i="29"/>
  <c r="J10" i="29" s="1"/>
  <c r="C11" i="45"/>
  <c r="F11" i="43"/>
  <c r="H11" i="43" s="1"/>
  <c r="J11" i="43" s="1"/>
  <c r="C15" i="45"/>
  <c r="F15" i="43"/>
  <c r="H15" i="43" s="1"/>
  <c r="C13" i="45"/>
  <c r="F13" i="43"/>
  <c r="H13" i="43" s="1"/>
  <c r="C17" i="45"/>
  <c r="F17" i="43"/>
  <c r="H17" i="43" s="1"/>
  <c r="C12" i="43"/>
  <c r="C16" i="43"/>
  <c r="C10" i="43"/>
  <c r="F10" i="43" s="1"/>
  <c r="H10" i="43" s="1"/>
  <c r="J10" i="43" s="1"/>
  <c r="C14" i="43"/>
  <c r="F14" i="43" s="1"/>
  <c r="H14" i="43" s="1"/>
  <c r="J14" i="43" s="1"/>
  <c r="C18" i="43"/>
  <c r="F18" i="43" s="1"/>
  <c r="H18" i="43" s="1"/>
  <c r="J18" i="43" s="1"/>
  <c r="J11" i="41"/>
  <c r="J14" i="41"/>
  <c r="P6" i="29"/>
  <c r="P6" i="41"/>
  <c r="J10" i="41"/>
  <c r="J18" i="41"/>
  <c r="I11" i="29"/>
  <c r="J11" i="29" s="1"/>
  <c r="F35" i="35"/>
  <c r="E35" i="35"/>
  <c r="D35" i="35"/>
  <c r="C35" i="35"/>
  <c r="F34" i="35"/>
  <c r="E34" i="35"/>
  <c r="D34" i="35"/>
  <c r="C34" i="35"/>
  <c r="F32" i="35"/>
  <c r="E32" i="35"/>
  <c r="D32" i="35"/>
  <c r="C32" i="35"/>
  <c r="F30" i="35"/>
  <c r="F36" i="35" s="1"/>
  <c r="E30" i="35"/>
  <c r="E36" i="35" s="1"/>
  <c r="D30" i="35"/>
  <c r="D36" i="35" s="1"/>
  <c r="C30" i="35"/>
  <c r="C36" i="35" s="1"/>
  <c r="F29" i="35"/>
  <c r="E29" i="35"/>
  <c r="D29" i="35"/>
  <c r="C29" i="35"/>
  <c r="F18" i="35"/>
  <c r="F17" i="35" s="1"/>
  <c r="F16" i="35"/>
  <c r="F21" i="35" s="1"/>
  <c r="D16" i="35"/>
  <c r="D21" i="35" s="1"/>
  <c r="G15" i="35"/>
  <c r="G16" i="35" s="1"/>
  <c r="F15" i="35"/>
  <c r="D15" i="35"/>
  <c r="C15" i="35"/>
  <c r="C16" i="35" s="1"/>
  <c r="G14" i="35"/>
  <c r="F14" i="35"/>
  <c r="E14" i="35"/>
  <c r="D14" i="35"/>
  <c r="C14" i="35"/>
  <c r="G12" i="35"/>
  <c r="F12" i="35"/>
  <c r="E12" i="35"/>
  <c r="E15" i="35" s="1"/>
  <c r="E16" i="35" s="1"/>
  <c r="D12" i="35"/>
  <c r="C12" i="35"/>
  <c r="G10" i="35"/>
  <c r="F10" i="35"/>
  <c r="E10" i="35"/>
  <c r="D10" i="35"/>
  <c r="C10" i="35"/>
  <c r="C11" i="34"/>
  <c r="C10" i="34"/>
  <c r="C9" i="34"/>
  <c r="P19" i="50" l="1"/>
  <c r="C17" i="47"/>
  <c r="F17" i="47" s="1"/>
  <c r="H17" i="47" s="1"/>
  <c r="C15" i="100"/>
  <c r="F13" i="45"/>
  <c r="H13" i="45" s="1"/>
  <c r="C11" i="100"/>
  <c r="C11" i="47"/>
  <c r="F11" i="47" s="1"/>
  <c r="H11" i="47" s="1"/>
  <c r="J11" i="47" s="1"/>
  <c r="C9" i="100"/>
  <c r="C15" i="47"/>
  <c r="F15" i="47" s="1"/>
  <c r="H15" i="47" s="1"/>
  <c r="C13" i="100"/>
  <c r="BI14" i="67"/>
  <c r="J19" i="95"/>
  <c r="D12" i="99" s="1"/>
  <c r="C14" i="45"/>
  <c r="AB12" i="65"/>
  <c r="D13" i="65"/>
  <c r="E13" i="65" s="1"/>
  <c r="AG31" i="58"/>
  <c r="S30" i="54" s="1"/>
  <c r="F29" i="70" s="1"/>
  <c r="M22" i="56"/>
  <c r="P22" i="56" s="1"/>
  <c r="L22" i="56"/>
  <c r="F16" i="65"/>
  <c r="AD15" i="65"/>
  <c r="I16" i="71" s="1"/>
  <c r="Y13" i="65"/>
  <c r="J13" i="71"/>
  <c r="N13" i="71" s="1"/>
  <c r="Z13" i="65"/>
  <c r="AG13" i="65"/>
  <c r="AH13" i="65" s="1"/>
  <c r="AI13" i="65"/>
  <c r="V13" i="65"/>
  <c r="AJ12" i="65"/>
  <c r="AH12" i="65"/>
  <c r="AI13" i="54"/>
  <c r="BB20" i="67"/>
  <c r="I31" i="67"/>
  <c r="BJ31" i="67" s="1"/>
  <c r="E41" i="69"/>
  <c r="G41" i="69" s="1"/>
  <c r="H41" i="69" s="1"/>
  <c r="I41" i="69" s="1"/>
  <c r="J41" i="69" s="1"/>
  <c r="K41" i="69" s="1"/>
  <c r="H33" i="73"/>
  <c r="X17" i="67"/>
  <c r="BD15" i="67"/>
  <c r="BE15" i="67" s="1"/>
  <c r="BG15" i="67"/>
  <c r="BT15" i="67" s="1"/>
  <c r="C21" i="67"/>
  <c r="BM21" i="67" s="1"/>
  <c r="W13" i="65"/>
  <c r="X13" i="65" s="1"/>
  <c r="U13" i="65"/>
  <c r="C14" i="65"/>
  <c r="AF14" i="65" s="1"/>
  <c r="K15" i="71" s="1"/>
  <c r="AH15" i="71" s="1"/>
  <c r="N21" i="78" s="1"/>
  <c r="AK48" i="67"/>
  <c r="AL48" i="67"/>
  <c r="AT25" i="67"/>
  <c r="AU25" i="67"/>
  <c r="AW53" i="67"/>
  <c r="AX53" i="67"/>
  <c r="AR47" i="67"/>
  <c r="AQ47" i="67"/>
  <c r="AO24" i="67"/>
  <c r="AN24" i="67"/>
  <c r="AF24" i="67"/>
  <c r="AE24" i="67"/>
  <c r="AH53" i="67"/>
  <c r="AI53" i="67" s="1"/>
  <c r="AG54" i="67" s="1"/>
  <c r="M26" i="67"/>
  <c r="N26" i="67" s="1"/>
  <c r="L27" i="67" s="1"/>
  <c r="Q25" i="67"/>
  <c r="P25" i="67"/>
  <c r="T18" i="65"/>
  <c r="R19" i="65" s="1"/>
  <c r="S19" i="65" s="1"/>
  <c r="Q16" i="65"/>
  <c r="L16" i="65"/>
  <c r="M16" i="65" s="1"/>
  <c r="Y17" i="67"/>
  <c r="Z17" i="67"/>
  <c r="X18" i="67" s="1"/>
  <c r="G22" i="67"/>
  <c r="H22" i="67" s="1"/>
  <c r="R18" i="67"/>
  <c r="I17" i="65"/>
  <c r="J17" i="65" s="1"/>
  <c r="E39" i="59"/>
  <c r="G39" i="59" s="1"/>
  <c r="H39" i="59" s="1"/>
  <c r="I39" i="59" s="1"/>
  <c r="J39" i="59" s="1"/>
  <c r="K39" i="59" s="1"/>
  <c r="E37" i="56"/>
  <c r="G37" i="56" s="1"/>
  <c r="H37" i="56" s="1"/>
  <c r="I37" i="56" s="1"/>
  <c r="J37" i="56" s="1"/>
  <c r="K37" i="56" s="1"/>
  <c r="F15" i="45"/>
  <c r="H15" i="45" s="1"/>
  <c r="C13" i="47"/>
  <c r="F13" i="47" s="1"/>
  <c r="H13" i="47" s="1"/>
  <c r="F11" i="45"/>
  <c r="H11" i="45" s="1"/>
  <c r="J11" i="45" s="1"/>
  <c r="F17" i="45"/>
  <c r="H17" i="45" s="1"/>
  <c r="C18" i="45"/>
  <c r="C14" i="47"/>
  <c r="F14" i="47" s="1"/>
  <c r="H14" i="47" s="1"/>
  <c r="J14" i="47" s="1"/>
  <c r="C10" i="45"/>
  <c r="D13" i="34"/>
  <c r="C16" i="45"/>
  <c r="C14" i="100" s="1"/>
  <c r="F16" i="43"/>
  <c r="H16" i="43" s="1"/>
  <c r="C12" i="45"/>
  <c r="C10" i="100" s="1"/>
  <c r="F12" i="43"/>
  <c r="H12" i="43" s="1"/>
  <c r="E41" i="35"/>
  <c r="E38" i="35"/>
  <c r="F41" i="35"/>
  <c r="F38" i="35"/>
  <c r="C21" i="35"/>
  <c r="C18" i="35"/>
  <c r="G21" i="35"/>
  <c r="G18" i="35"/>
  <c r="C41" i="35"/>
  <c r="C38" i="35"/>
  <c r="E18" i="35"/>
  <c r="E21" i="35"/>
  <c r="D41" i="35"/>
  <c r="D38" i="35"/>
  <c r="F20" i="35"/>
  <c r="D18" i="35"/>
  <c r="C10" i="47" l="1"/>
  <c r="F10" i="47" s="1"/>
  <c r="H10" i="47" s="1"/>
  <c r="J10" i="47" s="1"/>
  <c r="C8" i="100"/>
  <c r="C18" i="47"/>
  <c r="F18" i="47" s="1"/>
  <c r="H18" i="47" s="1"/>
  <c r="J18" i="47" s="1"/>
  <c r="C16" i="100"/>
  <c r="AA13" i="65"/>
  <c r="F14" i="45"/>
  <c r="H14" i="45" s="1"/>
  <c r="J14" i="45" s="1"/>
  <c r="C12" i="100"/>
  <c r="AE15" i="65"/>
  <c r="AB13" i="65"/>
  <c r="F18" i="45"/>
  <c r="H18" i="45" s="1"/>
  <c r="J18" i="45" s="1"/>
  <c r="AJ13" i="65"/>
  <c r="L14" i="71"/>
  <c r="M14" i="71" s="1"/>
  <c r="AK13" i="54"/>
  <c r="H12" i="70" s="1"/>
  <c r="L16" i="78" s="1"/>
  <c r="AG32" i="58"/>
  <c r="S31" i="54" s="1"/>
  <c r="F30" i="70" s="1"/>
  <c r="AJ21" i="54"/>
  <c r="N22" i="56"/>
  <c r="Q22" i="56" s="1"/>
  <c r="C23" i="56"/>
  <c r="R15" i="71"/>
  <c r="AK13" i="65"/>
  <c r="AN13" i="65" s="1"/>
  <c r="AL13" i="65"/>
  <c r="AI14" i="65"/>
  <c r="J14" i="71"/>
  <c r="AM12" i="65"/>
  <c r="AK12" i="65"/>
  <c r="AN12" i="65" s="1"/>
  <c r="AM13" i="65"/>
  <c r="G16" i="65"/>
  <c r="H16" i="65" s="1"/>
  <c r="AC16" i="65"/>
  <c r="H17" i="71" s="1"/>
  <c r="AG17" i="71" s="1"/>
  <c r="P20" i="78" s="1"/>
  <c r="AI14" i="54"/>
  <c r="AK14" i="54" s="1"/>
  <c r="H13" i="70" s="1"/>
  <c r="M16" i="78" s="1"/>
  <c r="BP21" i="67"/>
  <c r="J31" i="67"/>
  <c r="K31" i="67" s="1"/>
  <c r="BL30" i="67"/>
  <c r="BQ20" i="67"/>
  <c r="BO20" i="67"/>
  <c r="BH15" i="67"/>
  <c r="BU15" i="67" s="1"/>
  <c r="E42" i="69"/>
  <c r="G42" i="69" s="1"/>
  <c r="H42" i="69" s="1"/>
  <c r="I42" i="69" s="1"/>
  <c r="J42" i="69" s="1"/>
  <c r="K42" i="69" s="1"/>
  <c r="H34" i="73"/>
  <c r="F23" i="67"/>
  <c r="D21" i="67"/>
  <c r="E21" i="67" s="1"/>
  <c r="BN21" i="67" s="1"/>
  <c r="BC18" i="67"/>
  <c r="BF18" i="67"/>
  <c r="BS18" i="67" s="1"/>
  <c r="BC17" i="67"/>
  <c r="BF17" i="67"/>
  <c r="BS17" i="67" s="1"/>
  <c r="V14" i="65"/>
  <c r="D14" i="65"/>
  <c r="Y14" i="65"/>
  <c r="AT26" i="67"/>
  <c r="AU26" i="67"/>
  <c r="AO25" i="67"/>
  <c r="AN25" i="67"/>
  <c r="AQ48" i="67"/>
  <c r="AR48" i="67"/>
  <c r="AL49" i="67"/>
  <c r="AK49" i="67"/>
  <c r="AX54" i="67"/>
  <c r="AW54" i="67"/>
  <c r="AF25" i="67"/>
  <c r="AE25" i="67"/>
  <c r="AH54" i="67"/>
  <c r="AI54" i="67" s="1"/>
  <c r="AG55" i="67" s="1"/>
  <c r="K17" i="65"/>
  <c r="I18" i="65" s="1"/>
  <c r="J18" i="65" s="1"/>
  <c r="M27" i="67"/>
  <c r="N27" i="67" s="1"/>
  <c r="L28" i="67" s="1"/>
  <c r="Q26" i="67"/>
  <c r="P26" i="67"/>
  <c r="T19" i="65"/>
  <c r="N16" i="65"/>
  <c r="L17" i="65" s="1"/>
  <c r="M17" i="65" s="1"/>
  <c r="AB16" i="67"/>
  <c r="AC16" i="67" s="1"/>
  <c r="Y18" i="67"/>
  <c r="Z18" i="67"/>
  <c r="S18" i="67"/>
  <c r="T18" i="67"/>
  <c r="O17" i="65"/>
  <c r="P17" i="65" s="1"/>
  <c r="E40" i="59"/>
  <c r="G40" i="59" s="1"/>
  <c r="H40" i="59" s="1"/>
  <c r="I40" i="59" s="1"/>
  <c r="J40" i="59" s="1"/>
  <c r="K40" i="59" s="1"/>
  <c r="D25" i="34"/>
  <c r="N30" i="53"/>
  <c r="F30" i="53"/>
  <c r="N30" i="51"/>
  <c r="F30" i="51"/>
  <c r="K23" i="47"/>
  <c r="M23" i="47" s="1"/>
  <c r="N23" i="47" s="1"/>
  <c r="K23" i="43"/>
  <c r="M23" i="43" s="1"/>
  <c r="N23" i="43" s="1"/>
  <c r="M30" i="53"/>
  <c r="M32" i="53" s="1"/>
  <c r="I30" i="53"/>
  <c r="I32" i="53" s="1"/>
  <c r="E30" i="53"/>
  <c r="O30" i="52"/>
  <c r="M30" i="51"/>
  <c r="M32" i="51" s="1"/>
  <c r="I30" i="51"/>
  <c r="I32" i="51" s="1"/>
  <c r="N30" i="52"/>
  <c r="F30" i="52"/>
  <c r="O30" i="53"/>
  <c r="M30" i="52"/>
  <c r="M32" i="52" s="1"/>
  <c r="I30" i="52"/>
  <c r="I32" i="52" s="1"/>
  <c r="E30" i="52"/>
  <c r="O30" i="51"/>
  <c r="M30" i="50"/>
  <c r="M32" i="50" s="1"/>
  <c r="I30" i="50"/>
  <c r="I32" i="50" s="1"/>
  <c r="E30" i="50"/>
  <c r="K22" i="45"/>
  <c r="M22" i="45" s="1"/>
  <c r="N22" i="45" s="1"/>
  <c r="N30" i="50"/>
  <c r="K23" i="45"/>
  <c r="M23" i="45" s="1"/>
  <c r="N23" i="45" s="1"/>
  <c r="K23" i="29"/>
  <c r="M23" i="29" s="1"/>
  <c r="K7" i="57"/>
  <c r="K15" i="57" s="1"/>
  <c r="I7" i="57"/>
  <c r="I15" i="57" s="1"/>
  <c r="G7" i="57"/>
  <c r="G15" i="57" s="1"/>
  <c r="E7" i="57"/>
  <c r="E15" i="57" s="1"/>
  <c r="C7" i="57"/>
  <c r="C15" i="57" s="1"/>
  <c r="K11" i="47"/>
  <c r="M11" i="47" s="1"/>
  <c r="N11" i="47" s="1"/>
  <c r="K18" i="45"/>
  <c r="M18" i="45" s="1"/>
  <c r="N18" i="45" s="1"/>
  <c r="K14" i="45"/>
  <c r="M14" i="45" s="1"/>
  <c r="N14" i="45" s="1"/>
  <c r="K10" i="45"/>
  <c r="M10" i="45" s="1"/>
  <c r="K11" i="41"/>
  <c r="M11" i="41" s="1"/>
  <c r="N11" i="41" s="1"/>
  <c r="K22" i="43"/>
  <c r="M22" i="43" s="1"/>
  <c r="N22" i="43" s="1"/>
  <c r="K22" i="29"/>
  <c r="M22" i="29" s="1"/>
  <c r="O30" i="49"/>
  <c r="K18" i="41"/>
  <c r="M18" i="41" s="1"/>
  <c r="N18" i="41" s="1"/>
  <c r="F30" i="50"/>
  <c r="K23" i="41"/>
  <c r="M23" i="41" s="1"/>
  <c r="N23" i="41" s="1"/>
  <c r="O23" i="41" s="1"/>
  <c r="F21" i="100" s="1"/>
  <c r="N30" i="49"/>
  <c r="F30" i="49"/>
  <c r="E30" i="49"/>
  <c r="K18" i="47"/>
  <c r="M18" i="47" s="1"/>
  <c r="N18" i="47" s="1"/>
  <c r="K14" i="47"/>
  <c r="M14" i="47" s="1"/>
  <c r="N14" i="47" s="1"/>
  <c r="K10" i="47"/>
  <c r="M10" i="47" s="1"/>
  <c r="N10" i="47" s="1"/>
  <c r="K11" i="45"/>
  <c r="M11" i="45" s="1"/>
  <c r="N11" i="45" s="1"/>
  <c r="K18" i="43"/>
  <c r="M18" i="43" s="1"/>
  <c r="N18" i="43" s="1"/>
  <c r="K14" i="43"/>
  <c r="M14" i="43" s="1"/>
  <c r="N14" i="43" s="1"/>
  <c r="K10" i="43"/>
  <c r="M10" i="43" s="1"/>
  <c r="N10" i="43" s="1"/>
  <c r="K14" i="41"/>
  <c r="M14" i="41" s="1"/>
  <c r="N14" i="41" s="1"/>
  <c r="E30" i="51"/>
  <c r="O30" i="50"/>
  <c r="K22" i="47"/>
  <c r="M22" i="47" s="1"/>
  <c r="N22" i="47" s="1"/>
  <c r="K22" i="41"/>
  <c r="M22" i="41" s="1"/>
  <c r="N22" i="41" s="1"/>
  <c r="O22" i="41" s="1"/>
  <c r="F20" i="100" s="1"/>
  <c r="M30" i="49"/>
  <c r="M32" i="49" s="1"/>
  <c r="I30" i="49"/>
  <c r="I32" i="49" s="1"/>
  <c r="K11" i="43"/>
  <c r="M11" i="43" s="1"/>
  <c r="N11" i="43" s="1"/>
  <c r="K10" i="41"/>
  <c r="M10" i="41" s="1"/>
  <c r="N10" i="41" s="1"/>
  <c r="K10" i="29"/>
  <c r="M10" i="29" s="1"/>
  <c r="N10" i="29" s="1"/>
  <c r="K18" i="29"/>
  <c r="M18" i="29" s="1"/>
  <c r="N18" i="29" s="1"/>
  <c r="K11" i="29"/>
  <c r="M11" i="29" s="1"/>
  <c r="N11" i="29" s="1"/>
  <c r="K14" i="29"/>
  <c r="M14" i="29" s="1"/>
  <c r="N14" i="29" s="1"/>
  <c r="E38" i="56"/>
  <c r="G38" i="56" s="1"/>
  <c r="H38" i="56" s="1"/>
  <c r="I38" i="56" s="1"/>
  <c r="J38" i="56" s="1"/>
  <c r="K38" i="56" s="1"/>
  <c r="F10" i="45"/>
  <c r="H10" i="45" s="1"/>
  <c r="J10" i="45" s="1"/>
  <c r="F12" i="45"/>
  <c r="H12" i="45" s="1"/>
  <c r="C12" i="47"/>
  <c r="F12" i="47" s="1"/>
  <c r="H12" i="47" s="1"/>
  <c r="C16" i="47"/>
  <c r="F16" i="47" s="1"/>
  <c r="H16" i="47" s="1"/>
  <c r="F16" i="45"/>
  <c r="H16" i="45" s="1"/>
  <c r="D20" i="35"/>
  <c r="D17" i="35"/>
  <c r="G20" i="35"/>
  <c r="G17" i="35"/>
  <c r="F40" i="35"/>
  <c r="F37" i="35"/>
  <c r="E17" i="35"/>
  <c r="E20" i="35"/>
  <c r="D40" i="35"/>
  <c r="D37" i="35"/>
  <c r="C40" i="35"/>
  <c r="C37" i="35"/>
  <c r="C20" i="35"/>
  <c r="C17" i="35"/>
  <c r="E40" i="35"/>
  <c r="E37" i="35"/>
  <c r="O32" i="50" l="1"/>
  <c r="I32" i="95" s="1"/>
  <c r="I30" i="95"/>
  <c r="N32" i="49"/>
  <c r="H32" i="94" s="1"/>
  <c r="H30" i="94"/>
  <c r="O32" i="49"/>
  <c r="I32" i="94" s="1"/>
  <c r="I30" i="94"/>
  <c r="O32" i="51"/>
  <c r="I32" i="96" s="1"/>
  <c r="I30" i="96"/>
  <c r="O32" i="53"/>
  <c r="I32" i="98" s="1"/>
  <c r="I30" i="98"/>
  <c r="N32" i="51"/>
  <c r="H32" i="96" s="1"/>
  <c r="H30" i="96"/>
  <c r="E32" i="51"/>
  <c r="E32" i="96" s="1"/>
  <c r="E30" i="96"/>
  <c r="E32" i="50"/>
  <c r="E32" i="95" s="1"/>
  <c r="E30" i="95"/>
  <c r="E32" i="52"/>
  <c r="E32" i="97" s="1"/>
  <c r="E30" i="97"/>
  <c r="F32" i="52"/>
  <c r="F32" i="97" s="1"/>
  <c r="F30" i="97"/>
  <c r="O32" i="52"/>
  <c r="I32" i="97" s="1"/>
  <c r="I30" i="97"/>
  <c r="F32" i="53"/>
  <c r="F32" i="98" s="1"/>
  <c r="F30" i="98"/>
  <c r="E32" i="49"/>
  <c r="E32" i="94" s="1"/>
  <c r="E30" i="94"/>
  <c r="F32" i="50"/>
  <c r="F32" i="95" s="1"/>
  <c r="F30" i="95"/>
  <c r="N32" i="52"/>
  <c r="H32" i="97" s="1"/>
  <c r="H30" i="97"/>
  <c r="E32" i="53"/>
  <c r="E32" i="98" s="1"/>
  <c r="E30" i="98"/>
  <c r="N32" i="53"/>
  <c r="H32" i="98" s="1"/>
  <c r="H30" i="98"/>
  <c r="F32" i="49"/>
  <c r="F32" i="94" s="1"/>
  <c r="F30" i="94"/>
  <c r="N32" i="50"/>
  <c r="H32" i="95" s="1"/>
  <c r="H30" i="95"/>
  <c r="F32" i="51"/>
  <c r="F32" i="96" s="1"/>
  <c r="F30" i="96"/>
  <c r="N14" i="71"/>
  <c r="M23" i="56"/>
  <c r="P23" i="56" s="1"/>
  <c r="L23" i="56"/>
  <c r="G23" i="67"/>
  <c r="H23" i="67" s="1"/>
  <c r="F24" i="67" s="1"/>
  <c r="G24" i="67" s="1"/>
  <c r="H24" i="67" s="1"/>
  <c r="AD16" i="65"/>
  <c r="F17" i="65"/>
  <c r="AL14" i="65"/>
  <c r="BR20" i="67"/>
  <c r="BB21" i="67"/>
  <c r="BI15" i="67"/>
  <c r="I32" i="67"/>
  <c r="E43" i="69"/>
  <c r="G43" i="69" s="1"/>
  <c r="H43" i="69" s="1"/>
  <c r="I43" i="69" s="1"/>
  <c r="J43" i="69" s="1"/>
  <c r="K43" i="69" s="1"/>
  <c r="H35" i="73"/>
  <c r="R19" i="67"/>
  <c r="BD16" i="67"/>
  <c r="BE16" i="67" s="1"/>
  <c r="BG16" i="67"/>
  <c r="BT16" i="67" s="1"/>
  <c r="C22" i="67"/>
  <c r="BM22" i="67" s="1"/>
  <c r="E14" i="65"/>
  <c r="AR49" i="67"/>
  <c r="AQ49" i="67"/>
  <c r="AK50" i="67"/>
  <c r="AL50" i="67"/>
  <c r="AX55" i="67"/>
  <c r="AW55" i="67"/>
  <c r="AT27" i="67"/>
  <c r="AU27" i="67"/>
  <c r="AO26" i="67"/>
  <c r="AN26" i="67"/>
  <c r="AF26" i="67"/>
  <c r="AE26" i="67"/>
  <c r="AH55" i="67"/>
  <c r="AI55" i="67" s="1"/>
  <c r="AG56" i="67" s="1"/>
  <c r="K18" i="65"/>
  <c r="I19" i="65" s="1"/>
  <c r="J19" i="65" s="1"/>
  <c r="M28" i="67"/>
  <c r="N28" i="67" s="1"/>
  <c r="L29" i="67" s="1"/>
  <c r="P27" i="67"/>
  <c r="Q27" i="67"/>
  <c r="Q17" i="65"/>
  <c r="N17" i="65"/>
  <c r="L18" i="65" s="1"/>
  <c r="M18" i="65" s="1"/>
  <c r="S19" i="67"/>
  <c r="T19" i="67"/>
  <c r="R20" i="65"/>
  <c r="S20" i="65" s="1"/>
  <c r="N10" i="45"/>
  <c r="E31" i="58"/>
  <c r="E27" i="58"/>
  <c r="E23" i="58"/>
  <c r="E30" i="58"/>
  <c r="E26" i="58"/>
  <c r="E22" i="58"/>
  <c r="E33" i="58"/>
  <c r="E29" i="58"/>
  <c r="E25" i="58"/>
  <c r="E32" i="58"/>
  <c r="E28" i="58"/>
  <c r="E24" i="58"/>
  <c r="E41" i="59"/>
  <c r="G41" i="59" s="1"/>
  <c r="H41" i="59" s="1"/>
  <c r="I41" i="59" s="1"/>
  <c r="J41" i="59" s="1"/>
  <c r="K41" i="59" s="1"/>
  <c r="E39" i="56"/>
  <c r="G39" i="56" s="1"/>
  <c r="H39" i="56" s="1"/>
  <c r="I39" i="56" s="1"/>
  <c r="J39" i="56" s="1"/>
  <c r="K39" i="56" s="1"/>
  <c r="H23" i="29"/>
  <c r="H22" i="29"/>
  <c r="J22" i="29" s="1"/>
  <c r="N22" i="29" s="1"/>
  <c r="O22" i="29" s="1"/>
  <c r="E20" i="100" s="1"/>
  <c r="D20" i="31"/>
  <c r="D19" i="31"/>
  <c r="D18" i="31"/>
  <c r="D17" i="31"/>
  <c r="D16" i="31"/>
  <c r="D15" i="31"/>
  <c r="D14" i="31"/>
  <c r="D13" i="31"/>
  <c r="D12" i="31"/>
  <c r="D11" i="31"/>
  <c r="D10" i="31"/>
  <c r="D9" i="31"/>
  <c r="D8" i="31"/>
  <c r="D7" i="31"/>
  <c r="AE16" i="65" l="1"/>
  <c r="I17" i="71"/>
  <c r="C24" i="56"/>
  <c r="R16" i="71"/>
  <c r="N23" i="56"/>
  <c r="Q23" i="56" s="1"/>
  <c r="AJ22" i="54"/>
  <c r="Z14" i="65"/>
  <c r="J15" i="71" s="1"/>
  <c r="AG14" i="65"/>
  <c r="L15" i="71" s="1"/>
  <c r="M15" i="71" s="1"/>
  <c r="G17" i="65"/>
  <c r="H17" i="65" s="1"/>
  <c r="AD17" i="65" s="1"/>
  <c r="I18" i="71" s="1"/>
  <c r="AC17" i="65"/>
  <c r="H18" i="71" s="1"/>
  <c r="AG18" i="71" s="1"/>
  <c r="Q20" i="78" s="1"/>
  <c r="AA14" i="65"/>
  <c r="BP22" i="67"/>
  <c r="J32" i="67"/>
  <c r="K32" i="67" s="1"/>
  <c r="BQ21" i="67"/>
  <c r="BO21" i="67"/>
  <c r="BH16" i="67"/>
  <c r="BU16" i="67" s="1"/>
  <c r="E44" i="69"/>
  <c r="G44" i="69" s="1"/>
  <c r="H44" i="69" s="1"/>
  <c r="I44" i="69" s="1"/>
  <c r="J44" i="69" s="1"/>
  <c r="K44" i="69" s="1"/>
  <c r="H36" i="73"/>
  <c r="F25" i="67"/>
  <c r="D22" i="67"/>
  <c r="E22" i="67" s="1"/>
  <c r="BF19" i="67"/>
  <c r="BS19" i="67" s="1"/>
  <c r="W14" i="65"/>
  <c r="X14" i="65" s="1"/>
  <c r="AB14" i="65" s="1"/>
  <c r="U14" i="65"/>
  <c r="C15" i="65"/>
  <c r="AF15" i="65" s="1"/>
  <c r="K16" i="71" s="1"/>
  <c r="AH16" i="71" s="1"/>
  <c r="O21" i="78" s="1"/>
  <c r="AT28" i="67"/>
  <c r="AU28" i="67"/>
  <c r="AO27" i="67"/>
  <c r="AN27" i="67"/>
  <c r="AQ50" i="67"/>
  <c r="AR50" i="67"/>
  <c r="AL51" i="67"/>
  <c r="AK51" i="67"/>
  <c r="AX56" i="67"/>
  <c r="AW56" i="67"/>
  <c r="AF27" i="67"/>
  <c r="AE27" i="67"/>
  <c r="AH56" i="67"/>
  <c r="AI56" i="67" s="1"/>
  <c r="AG57" i="67" s="1"/>
  <c r="M29" i="67"/>
  <c r="N29" i="67" s="1"/>
  <c r="L30" i="67" s="1"/>
  <c r="Q28" i="67"/>
  <c r="P28" i="67"/>
  <c r="N18" i="65"/>
  <c r="AB17" i="67"/>
  <c r="AC17" i="67" s="1"/>
  <c r="T20" i="65"/>
  <c r="R21" i="65" s="1"/>
  <c r="S21" i="65" s="1"/>
  <c r="X19" i="67"/>
  <c r="BC19" i="67" s="1"/>
  <c r="R20" i="67"/>
  <c r="O18" i="65"/>
  <c r="P18" i="65" s="1"/>
  <c r="K19" i="65"/>
  <c r="E42" i="59"/>
  <c r="G42" i="59" s="1"/>
  <c r="H42" i="59" s="1"/>
  <c r="I42" i="59" s="1"/>
  <c r="J42" i="59" s="1"/>
  <c r="K42" i="59" s="1"/>
  <c r="E40" i="56"/>
  <c r="G40" i="56" s="1"/>
  <c r="H40" i="56" s="1"/>
  <c r="I40" i="56" s="1"/>
  <c r="J40" i="56" s="1"/>
  <c r="K40" i="56" s="1"/>
  <c r="J23" i="29"/>
  <c r="N23" i="29" s="1"/>
  <c r="O23" i="29" s="1"/>
  <c r="D18" i="24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F18" i="29"/>
  <c r="H18" i="29" s="1"/>
  <c r="F17" i="29"/>
  <c r="H17" i="29" s="1"/>
  <c r="F16" i="29"/>
  <c r="H16" i="29" s="1"/>
  <c r="F15" i="29"/>
  <c r="H15" i="29" s="1"/>
  <c r="F14" i="29"/>
  <c r="H14" i="29" s="1"/>
  <c r="F13" i="29"/>
  <c r="H13" i="29" s="1"/>
  <c r="F12" i="29"/>
  <c r="H12" i="29" s="1"/>
  <c r="F11" i="29"/>
  <c r="H11" i="29" s="1"/>
  <c r="F10" i="29"/>
  <c r="H10" i="29" s="1"/>
  <c r="E19" i="58" l="1"/>
  <c r="E21" i="100"/>
  <c r="BN22" i="67"/>
  <c r="BQ22" i="67" s="1"/>
  <c r="BR22" i="67" s="1"/>
  <c r="N15" i="71"/>
  <c r="M24" i="56"/>
  <c r="P24" i="56" s="1"/>
  <c r="L24" i="56"/>
  <c r="G25" i="67"/>
  <c r="H25" i="67" s="1"/>
  <c r="AE17" i="65"/>
  <c r="AI15" i="65"/>
  <c r="F18" i="65"/>
  <c r="AJ14" i="65"/>
  <c r="AH14" i="65"/>
  <c r="AI15" i="54"/>
  <c r="AK15" i="54" s="1"/>
  <c r="H14" i="70" s="1"/>
  <c r="N16" i="78" s="1"/>
  <c r="BR21" i="67"/>
  <c r="I33" i="67"/>
  <c r="BI16" i="67"/>
  <c r="C23" i="67"/>
  <c r="BB22" i="67"/>
  <c r="E45" i="69"/>
  <c r="G45" i="69" s="1"/>
  <c r="H45" i="69" s="1"/>
  <c r="I45" i="69" s="1"/>
  <c r="J45" i="69" s="1"/>
  <c r="K45" i="69" s="1"/>
  <c r="H37" i="73"/>
  <c r="BG17" i="67"/>
  <c r="BT17" i="67" s="1"/>
  <c r="BD17" i="67"/>
  <c r="BE17" i="67" s="1"/>
  <c r="V15" i="65"/>
  <c r="Y15" i="65"/>
  <c r="D15" i="65"/>
  <c r="E15" i="65" s="1"/>
  <c r="AR51" i="67"/>
  <c r="AQ51" i="67"/>
  <c r="AK52" i="67"/>
  <c r="AL52" i="67"/>
  <c r="AT29" i="67"/>
  <c r="AU29" i="67"/>
  <c r="AW57" i="67"/>
  <c r="AX57" i="67"/>
  <c r="AO28" i="67"/>
  <c r="AN28" i="67"/>
  <c r="AF28" i="67"/>
  <c r="AE28" i="67"/>
  <c r="AH57" i="67"/>
  <c r="AI57" i="67" s="1"/>
  <c r="AG58" i="67" s="1"/>
  <c r="M30" i="67"/>
  <c r="N30" i="67" s="1"/>
  <c r="L31" i="67" s="1"/>
  <c r="P29" i="67"/>
  <c r="Q29" i="67"/>
  <c r="T21" i="65"/>
  <c r="Q18" i="65"/>
  <c r="Y19" i="67"/>
  <c r="Z19" i="67"/>
  <c r="S20" i="67"/>
  <c r="T20" i="67"/>
  <c r="L19" i="65"/>
  <c r="M19" i="65" s="1"/>
  <c r="R21" i="67"/>
  <c r="E13" i="58"/>
  <c r="E18" i="58"/>
  <c r="E16" i="58"/>
  <c r="E21" i="58"/>
  <c r="E12" i="58"/>
  <c r="E17" i="58"/>
  <c r="E10" i="58"/>
  <c r="E11" i="58"/>
  <c r="E20" i="58"/>
  <c r="E14" i="58"/>
  <c r="E15" i="58"/>
  <c r="E43" i="59"/>
  <c r="G43" i="59" s="1"/>
  <c r="H43" i="59" s="1"/>
  <c r="I43" i="59" s="1"/>
  <c r="J43" i="59" s="1"/>
  <c r="K43" i="59" s="1"/>
  <c r="E41" i="56"/>
  <c r="G41" i="56" s="1"/>
  <c r="H41" i="56" s="1"/>
  <c r="I41" i="56" s="1"/>
  <c r="J41" i="56" s="1"/>
  <c r="K41" i="56" s="1"/>
  <c r="BO22" i="67" l="1"/>
  <c r="BM23" i="67"/>
  <c r="AG35" i="58"/>
  <c r="S34" i="54" s="1"/>
  <c r="F33" i="70" s="1"/>
  <c r="C25" i="56"/>
  <c r="R17" i="71"/>
  <c r="N24" i="56"/>
  <c r="Q24" i="56" s="1"/>
  <c r="F26" i="67"/>
  <c r="Z15" i="65"/>
  <c r="AA15" i="65" s="1"/>
  <c r="AG15" i="65"/>
  <c r="L16" i="71" s="1"/>
  <c r="M16" i="71" s="1"/>
  <c r="AL15" i="65"/>
  <c r="AM14" i="65"/>
  <c r="AK14" i="65"/>
  <c r="AN14" i="65" s="1"/>
  <c r="G18" i="65"/>
  <c r="H18" i="65" s="1"/>
  <c r="AD18" i="65" s="1"/>
  <c r="I19" i="71" s="1"/>
  <c r="AC18" i="65"/>
  <c r="H19" i="71" s="1"/>
  <c r="AG19" i="71" s="1"/>
  <c r="R20" i="78" s="1"/>
  <c r="D23" i="67"/>
  <c r="E23" i="67" s="1"/>
  <c r="J33" i="67"/>
  <c r="K33" i="67" s="1"/>
  <c r="BH17" i="67"/>
  <c r="BU17" i="67" s="1"/>
  <c r="AJ23" i="54"/>
  <c r="E46" i="69"/>
  <c r="G46" i="69" s="1"/>
  <c r="H46" i="69" s="1"/>
  <c r="I46" i="69" s="1"/>
  <c r="J46" i="69" s="1"/>
  <c r="K46" i="69" s="1"/>
  <c r="H38" i="73"/>
  <c r="C16" i="65"/>
  <c r="AF16" i="65" s="1"/>
  <c r="K17" i="71" s="1"/>
  <c r="AH17" i="71" s="1"/>
  <c r="P21" i="78" s="1"/>
  <c r="W15" i="65"/>
  <c r="X15" i="65" s="1"/>
  <c r="AB15" i="65" s="1"/>
  <c r="U15" i="65"/>
  <c r="AX58" i="67"/>
  <c r="AW58" i="67"/>
  <c r="AO29" i="67"/>
  <c r="AN29" i="67"/>
  <c r="AR52" i="67"/>
  <c r="AQ52" i="67"/>
  <c r="AK53" i="67"/>
  <c r="AL53" i="67"/>
  <c r="AT30" i="67"/>
  <c r="AU30" i="67"/>
  <c r="AF29" i="67"/>
  <c r="AE29" i="67"/>
  <c r="AH58" i="67"/>
  <c r="AI58" i="67" s="1"/>
  <c r="AG59" i="67" s="1"/>
  <c r="M31" i="67"/>
  <c r="N31" i="67" s="1"/>
  <c r="L32" i="67" s="1"/>
  <c r="Q30" i="67"/>
  <c r="P30" i="67"/>
  <c r="N19" i="65"/>
  <c r="AB18" i="67"/>
  <c r="AC18" i="67" s="1"/>
  <c r="S21" i="67"/>
  <c r="T21" i="67"/>
  <c r="X20" i="67"/>
  <c r="R22" i="65"/>
  <c r="S22" i="65" s="1"/>
  <c r="O19" i="65"/>
  <c r="P19" i="65" s="1"/>
  <c r="I20" i="65"/>
  <c r="E44" i="59"/>
  <c r="G44" i="59" s="1"/>
  <c r="H44" i="59" s="1"/>
  <c r="I44" i="59" s="1"/>
  <c r="J44" i="59" s="1"/>
  <c r="K44" i="59" s="1"/>
  <c r="E42" i="56"/>
  <c r="G42" i="56" s="1"/>
  <c r="H42" i="56" s="1"/>
  <c r="I42" i="56" s="1"/>
  <c r="J42" i="56" s="1"/>
  <c r="K42" i="56" s="1"/>
  <c r="BI17" i="67" l="1"/>
  <c r="BN23" i="67"/>
  <c r="BQ23" i="67" s="1"/>
  <c r="AG36" i="58"/>
  <c r="S35" i="54" s="1"/>
  <c r="F34" i="70" s="1"/>
  <c r="M25" i="56"/>
  <c r="P25" i="56" s="1"/>
  <c r="L25" i="56"/>
  <c r="G26" i="67"/>
  <c r="H26" i="67" s="1"/>
  <c r="AI16" i="65"/>
  <c r="J16" i="71"/>
  <c r="N16" i="71" s="1"/>
  <c r="AE18" i="65"/>
  <c r="F19" i="65"/>
  <c r="AJ15" i="65"/>
  <c r="AH15" i="65"/>
  <c r="AI16" i="54"/>
  <c r="AK16" i="54" s="1"/>
  <c r="H15" i="70" s="1"/>
  <c r="O16" i="78" s="1"/>
  <c r="I34" i="67"/>
  <c r="BB23" i="67"/>
  <c r="C24" i="67"/>
  <c r="BP23" i="67"/>
  <c r="E47" i="69"/>
  <c r="G47" i="69" s="1"/>
  <c r="H47" i="69" s="1"/>
  <c r="I47" i="69" s="1"/>
  <c r="J47" i="69" s="1"/>
  <c r="K47" i="69" s="1"/>
  <c r="H39" i="73"/>
  <c r="Z20" i="67"/>
  <c r="BF20" i="67"/>
  <c r="BS20" i="67" s="1"/>
  <c r="BC20" i="67"/>
  <c r="BD18" i="67"/>
  <c r="BE18" i="67" s="1"/>
  <c r="BG18" i="67"/>
  <c r="BT18" i="67" s="1"/>
  <c r="V16" i="65"/>
  <c r="Y16" i="65"/>
  <c r="D16" i="65"/>
  <c r="AR53" i="67"/>
  <c r="AQ53" i="67"/>
  <c r="AL54" i="67"/>
  <c r="AK54" i="67"/>
  <c r="AU32" i="67"/>
  <c r="AT32" i="67"/>
  <c r="AX59" i="67"/>
  <c r="AW59" i="67"/>
  <c r="AO30" i="67"/>
  <c r="AN30" i="67"/>
  <c r="AF30" i="67"/>
  <c r="AE30" i="67"/>
  <c r="AH59" i="67"/>
  <c r="AI59" i="67" s="1"/>
  <c r="AG60" i="67" s="1"/>
  <c r="J20" i="65"/>
  <c r="K20" i="65" s="1"/>
  <c r="M32" i="67"/>
  <c r="N32" i="67" s="1"/>
  <c r="L33" i="67" s="1"/>
  <c r="Q31" i="67"/>
  <c r="T22" i="65"/>
  <c r="Q19" i="65"/>
  <c r="Y20" i="67"/>
  <c r="L20" i="65"/>
  <c r="M20" i="65" s="1"/>
  <c r="R22" i="67"/>
  <c r="E45" i="59"/>
  <c r="G45" i="59" s="1"/>
  <c r="H45" i="59" s="1"/>
  <c r="I45" i="59" s="1"/>
  <c r="J45" i="59" s="1"/>
  <c r="K45" i="59" s="1"/>
  <c r="E43" i="56"/>
  <c r="G43" i="56" s="1"/>
  <c r="H43" i="56" s="1"/>
  <c r="I43" i="56" s="1"/>
  <c r="J43" i="56" s="1"/>
  <c r="K43" i="56" s="1"/>
  <c r="D4" i="28"/>
  <c r="E4" i="28" s="1"/>
  <c r="F4" i="28" s="1"/>
  <c r="C4" i="28"/>
  <c r="C13" i="28"/>
  <c r="D13" i="28" s="1"/>
  <c r="E13" i="28" s="1"/>
  <c r="F13" i="28" s="1"/>
  <c r="C12" i="28"/>
  <c r="D12" i="28" s="1"/>
  <c r="E12" i="28" s="1"/>
  <c r="F12" i="28" s="1"/>
  <c r="C11" i="28"/>
  <c r="D11" i="28" s="1"/>
  <c r="E11" i="28" s="1"/>
  <c r="F11" i="28" s="1"/>
  <c r="C10" i="28"/>
  <c r="D10" i="28" s="1"/>
  <c r="E10" i="28" s="1"/>
  <c r="F10" i="28" s="1"/>
  <c r="C9" i="28"/>
  <c r="D9" i="28" s="1"/>
  <c r="E9" i="28" s="1"/>
  <c r="F9" i="28" s="1"/>
  <c r="C8" i="28"/>
  <c r="D8" i="28" s="1"/>
  <c r="E8" i="28" s="1"/>
  <c r="F8" i="28" s="1"/>
  <c r="C7" i="28"/>
  <c r="D7" i="28" s="1"/>
  <c r="E7" i="28" s="1"/>
  <c r="F7" i="28" s="1"/>
  <c r="C6" i="28"/>
  <c r="D8" i="27"/>
  <c r="D12" i="27"/>
  <c r="C7" i="27"/>
  <c r="D7" i="27" s="1"/>
  <c r="D11" i="27"/>
  <c r="D10" i="27"/>
  <c r="D9" i="27"/>
  <c r="D6" i="27"/>
  <c r="D5" i="27"/>
  <c r="G14" i="26"/>
  <c r="F14" i="26"/>
  <c r="E14" i="26"/>
  <c r="D14" i="26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8" i="25"/>
  <c r="T2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D7" i="22"/>
  <c r="D12" i="23"/>
  <c r="D11" i="23"/>
  <c r="D8" i="23"/>
  <c r="D10" i="23"/>
  <c r="D9" i="23"/>
  <c r="D7" i="23"/>
  <c r="C17" i="28" l="1"/>
  <c r="BO23" i="67"/>
  <c r="D6" i="28"/>
  <c r="D17" i="28" s="1"/>
  <c r="BM24" i="67"/>
  <c r="AG37" i="58"/>
  <c r="S36" i="54" s="1"/>
  <c r="F35" i="70" s="1"/>
  <c r="AJ24" i="54"/>
  <c r="N25" i="56"/>
  <c r="Q25" i="56" s="1"/>
  <c r="R18" i="71"/>
  <c r="C26" i="56"/>
  <c r="F27" i="67"/>
  <c r="AM15" i="65"/>
  <c r="AK15" i="65"/>
  <c r="AN15" i="65" s="1"/>
  <c r="G19" i="65"/>
  <c r="H19" i="65" s="1"/>
  <c r="AC19" i="65"/>
  <c r="H20" i="71" s="1"/>
  <c r="AL16" i="65"/>
  <c r="BR23" i="67"/>
  <c r="D24" i="67"/>
  <c r="E24" i="67" s="1"/>
  <c r="J34" i="67"/>
  <c r="K34" i="67" s="1"/>
  <c r="BH18" i="67"/>
  <c r="BU18" i="67" s="1"/>
  <c r="E48" i="69"/>
  <c r="G48" i="69" s="1"/>
  <c r="H48" i="69" s="1"/>
  <c r="I48" i="69" s="1"/>
  <c r="J48" i="69" s="1"/>
  <c r="K48" i="69" s="1"/>
  <c r="H40" i="73"/>
  <c r="O32" i="67"/>
  <c r="X21" i="67"/>
  <c r="E16" i="65"/>
  <c r="AU33" i="67"/>
  <c r="AT33" i="67"/>
  <c r="AX60" i="67"/>
  <c r="AW60" i="67"/>
  <c r="AO32" i="67"/>
  <c r="AN32" i="67"/>
  <c r="AR54" i="67"/>
  <c r="AQ54" i="67"/>
  <c r="AL55" i="67"/>
  <c r="AJ56" i="67" s="1"/>
  <c r="AK55" i="67"/>
  <c r="AF32" i="67"/>
  <c r="AE32" i="67"/>
  <c r="AH60" i="67"/>
  <c r="AI60" i="67" s="1"/>
  <c r="AG61" i="67" s="1"/>
  <c r="M33" i="67"/>
  <c r="N33" i="67" s="1"/>
  <c r="L34" i="67" s="1"/>
  <c r="N20" i="65"/>
  <c r="AB19" i="67"/>
  <c r="AC19" i="67" s="1"/>
  <c r="S22" i="67"/>
  <c r="T22" i="67"/>
  <c r="R23" i="65"/>
  <c r="S23" i="65" s="1"/>
  <c r="O20" i="65"/>
  <c r="P20" i="65" s="1"/>
  <c r="R23" i="67"/>
  <c r="I21" i="65"/>
  <c r="E46" i="59"/>
  <c r="G46" i="59" s="1"/>
  <c r="H46" i="59" s="1"/>
  <c r="I46" i="59" s="1"/>
  <c r="J46" i="59" s="1"/>
  <c r="K46" i="59" s="1"/>
  <c r="E44" i="56"/>
  <c r="G44" i="56" s="1"/>
  <c r="H44" i="56" s="1"/>
  <c r="I44" i="56" s="1"/>
  <c r="J44" i="56" s="1"/>
  <c r="K44" i="56" s="1"/>
  <c r="P6" i="43"/>
  <c r="E25" i="25"/>
  <c r="F25" i="25" s="1"/>
  <c r="E24" i="25"/>
  <c r="F24" i="25" s="1"/>
  <c r="R27" i="22"/>
  <c r="Q27" i="22"/>
  <c r="P27" i="22"/>
  <c r="P28" i="22" s="1"/>
  <c r="P29" i="22" s="1"/>
  <c r="O27" i="22"/>
  <c r="N27" i="22"/>
  <c r="M27" i="22"/>
  <c r="L27" i="22"/>
  <c r="L28" i="22" s="1"/>
  <c r="L29" i="22" s="1"/>
  <c r="K27" i="22"/>
  <c r="J27" i="22"/>
  <c r="I27" i="22"/>
  <c r="H27" i="22"/>
  <c r="G27" i="22"/>
  <c r="F27" i="22"/>
  <c r="F28" i="22" s="1"/>
  <c r="F29" i="22" s="1"/>
  <c r="E27" i="22"/>
  <c r="E26" i="25"/>
  <c r="F26" i="25" s="1"/>
  <c r="E23" i="25"/>
  <c r="F23" i="25" s="1"/>
  <c r="E22" i="25"/>
  <c r="F22" i="25" s="1"/>
  <c r="E21" i="25"/>
  <c r="F21" i="25" s="1"/>
  <c r="E20" i="25"/>
  <c r="F20" i="25" s="1"/>
  <c r="E19" i="25"/>
  <c r="F19" i="25" s="1"/>
  <c r="E18" i="25"/>
  <c r="F18" i="25" s="1"/>
  <c r="E17" i="25"/>
  <c r="F17" i="25" s="1"/>
  <c r="E16" i="25"/>
  <c r="F16" i="25" s="1"/>
  <c r="E15" i="25"/>
  <c r="F15" i="25" s="1"/>
  <c r="E14" i="25"/>
  <c r="F14" i="25" s="1"/>
  <c r="E13" i="25"/>
  <c r="F13" i="25" s="1"/>
  <c r="E12" i="25"/>
  <c r="F12" i="25" s="1"/>
  <c r="E11" i="25"/>
  <c r="F11" i="25" s="1"/>
  <c r="E10" i="25"/>
  <c r="F10" i="25" s="1"/>
  <c r="S7" i="22"/>
  <c r="E9" i="25" s="1"/>
  <c r="F9" i="25" s="1"/>
  <c r="T28" i="54" l="1"/>
  <c r="T24" i="54"/>
  <c r="T30" i="54"/>
  <c r="T23" i="54"/>
  <c r="T21" i="54"/>
  <c r="T32" i="54"/>
  <c r="T27" i="54"/>
  <c r="T29" i="54"/>
  <c r="T25" i="54"/>
  <c r="T22" i="54"/>
  <c r="T31" i="54"/>
  <c r="T26" i="54"/>
  <c r="T42" i="54"/>
  <c r="T37" i="54"/>
  <c r="T43" i="54"/>
  <c r="T40" i="54"/>
  <c r="T44" i="54"/>
  <c r="T36" i="54"/>
  <c r="T41" i="54"/>
  <c r="T34" i="54"/>
  <c r="T35" i="54"/>
  <c r="T38" i="54"/>
  <c r="T33" i="54"/>
  <c r="T39" i="54"/>
  <c r="BN24" i="67"/>
  <c r="BO24" i="67" s="1"/>
  <c r="D14" i="74"/>
  <c r="AG20" i="71"/>
  <c r="S20" i="78" s="1"/>
  <c r="AG38" i="58"/>
  <c r="S37" i="54" s="1"/>
  <c r="F36" i="70" s="1"/>
  <c r="L26" i="56"/>
  <c r="M26" i="56"/>
  <c r="P26" i="56" s="1"/>
  <c r="G27" i="67"/>
  <c r="H27" i="67" s="1"/>
  <c r="F20" i="65"/>
  <c r="AD19" i="65"/>
  <c r="Z16" i="65"/>
  <c r="J17" i="71" s="1"/>
  <c r="AG16" i="65"/>
  <c r="L17" i="71" s="1"/>
  <c r="M17" i="71" s="1"/>
  <c r="BB24" i="67"/>
  <c r="C25" i="67"/>
  <c r="BI18" i="67"/>
  <c r="BP24" i="67"/>
  <c r="I35" i="67"/>
  <c r="E49" i="69"/>
  <c r="G49" i="69" s="1"/>
  <c r="H49" i="69" s="1"/>
  <c r="I49" i="69" s="1"/>
  <c r="J49" i="69" s="1"/>
  <c r="K49" i="69" s="1"/>
  <c r="H41" i="73"/>
  <c r="Z21" i="67"/>
  <c r="BC21" i="67"/>
  <c r="BF21" i="67"/>
  <c r="BS21" i="67" s="1"/>
  <c r="Y21" i="67"/>
  <c r="BD19" i="67"/>
  <c r="BE19" i="67" s="1"/>
  <c r="BG19" i="67"/>
  <c r="BT19" i="67" s="1"/>
  <c r="W16" i="65"/>
  <c r="X16" i="65" s="1"/>
  <c r="U16" i="65"/>
  <c r="C17" i="65"/>
  <c r="AF17" i="65" s="1"/>
  <c r="K18" i="71" s="1"/>
  <c r="AO33" i="67"/>
  <c r="AN33" i="67"/>
  <c r="AQ55" i="67"/>
  <c r="AR55" i="67"/>
  <c r="AP56" i="67" s="1"/>
  <c r="AK56" i="67"/>
  <c r="AL56" i="67" s="1"/>
  <c r="AJ57" i="67" s="1"/>
  <c r="AU34" i="67"/>
  <c r="AT34" i="67"/>
  <c r="AW61" i="67"/>
  <c r="AX61" i="67"/>
  <c r="AV62" i="67" s="1"/>
  <c r="AF33" i="67"/>
  <c r="AE33" i="67"/>
  <c r="AH61" i="67"/>
  <c r="AI61" i="67" s="1"/>
  <c r="AG62" i="67" s="1"/>
  <c r="J21" i="65"/>
  <c r="K21" i="65" s="1"/>
  <c r="I22" i="65" s="1"/>
  <c r="J22" i="65" s="1"/>
  <c r="M34" i="67"/>
  <c r="N34" i="67" s="1"/>
  <c r="L35" i="67" s="1"/>
  <c r="T23" i="65"/>
  <c r="Q20" i="65"/>
  <c r="S23" i="67"/>
  <c r="T23" i="67"/>
  <c r="L21" i="65"/>
  <c r="M21" i="65" s="1"/>
  <c r="E8" i="25"/>
  <c r="E28" i="25" s="1"/>
  <c r="C10" i="26" s="1"/>
  <c r="D10" i="26" s="1"/>
  <c r="E8" i="31"/>
  <c r="F8" i="31" s="1"/>
  <c r="F32" i="22"/>
  <c r="E12" i="31"/>
  <c r="F12" i="31" s="1"/>
  <c r="J32" i="22"/>
  <c r="N28" i="22"/>
  <c r="N29" i="22" s="1"/>
  <c r="E16" i="31"/>
  <c r="F16" i="31" s="1"/>
  <c r="N32" i="22"/>
  <c r="R28" i="22"/>
  <c r="R29" i="22" s="1"/>
  <c r="E20" i="31"/>
  <c r="F20" i="31" s="1"/>
  <c r="R32" i="22"/>
  <c r="R30" i="22"/>
  <c r="G28" i="22"/>
  <c r="G29" i="22" s="1"/>
  <c r="E9" i="31"/>
  <c r="F9" i="31" s="1"/>
  <c r="G32" i="22"/>
  <c r="K28" i="22"/>
  <c r="K29" i="22" s="1"/>
  <c r="E13" i="31"/>
  <c r="F13" i="31" s="1"/>
  <c r="K32" i="22"/>
  <c r="O28" i="22"/>
  <c r="O29" i="22" s="1"/>
  <c r="E17" i="31"/>
  <c r="F17" i="31" s="1"/>
  <c r="O32" i="22"/>
  <c r="E10" i="31"/>
  <c r="F10" i="31" s="1"/>
  <c r="H32" i="22"/>
  <c r="E14" i="31"/>
  <c r="F14" i="31" s="1"/>
  <c r="L32" i="22"/>
  <c r="E18" i="31"/>
  <c r="F18" i="31" s="1"/>
  <c r="P32" i="22"/>
  <c r="H28" i="22"/>
  <c r="H29" i="22" s="1"/>
  <c r="I28" i="22"/>
  <c r="I29" i="22" s="1"/>
  <c r="E11" i="31"/>
  <c r="F11" i="31" s="1"/>
  <c r="I32" i="22"/>
  <c r="M28" i="22"/>
  <c r="M29" i="22" s="1"/>
  <c r="E15" i="31"/>
  <c r="F15" i="31" s="1"/>
  <c r="M32" i="22"/>
  <c r="Q28" i="22"/>
  <c r="Q29" i="22" s="1"/>
  <c r="E19" i="31"/>
  <c r="F19" i="31" s="1"/>
  <c r="Q32" i="22"/>
  <c r="J28" i="22"/>
  <c r="J29" i="22" s="1"/>
  <c r="E28" i="22"/>
  <c r="E7" i="31"/>
  <c r="F7" i="31" s="1"/>
  <c r="E32" i="22"/>
  <c r="O23" i="43"/>
  <c r="G21" i="100" s="1"/>
  <c r="O22" i="43"/>
  <c r="G20" i="100" s="1"/>
  <c r="E47" i="59"/>
  <c r="G47" i="59" s="1"/>
  <c r="H47" i="59" s="1"/>
  <c r="I47" i="59" s="1"/>
  <c r="J47" i="59" s="1"/>
  <c r="K47" i="59" s="1"/>
  <c r="E6" i="28"/>
  <c r="E17" i="28" s="1"/>
  <c r="E45" i="56"/>
  <c r="G45" i="56" s="1"/>
  <c r="H45" i="56" s="1"/>
  <c r="I45" i="56" s="1"/>
  <c r="J45" i="56" s="1"/>
  <c r="K45" i="56" s="1"/>
  <c r="P6" i="45"/>
  <c r="S27" i="22"/>
  <c r="T29" i="22" s="1"/>
  <c r="R4" i="22"/>
  <c r="Q4" i="22"/>
  <c r="P4" i="22"/>
  <c r="O4" i="22"/>
  <c r="N4" i="22"/>
  <c r="M4" i="22"/>
  <c r="L4" i="22"/>
  <c r="K4" i="22"/>
  <c r="J4" i="22"/>
  <c r="I4" i="22"/>
  <c r="H4" i="22"/>
  <c r="G4" i="22"/>
  <c r="F4" i="22"/>
  <c r="E4" i="22"/>
  <c r="T53" i="54" l="1"/>
  <c r="T56" i="54"/>
  <c r="T46" i="54"/>
  <c r="T47" i="54"/>
  <c r="T48" i="54"/>
  <c r="T52" i="54"/>
  <c r="T50" i="54"/>
  <c r="T45" i="54"/>
  <c r="T51" i="54"/>
  <c r="T54" i="54"/>
  <c r="T49" i="54"/>
  <c r="T55" i="54"/>
  <c r="T11" i="76"/>
  <c r="T10" i="76"/>
  <c r="N17" i="71"/>
  <c r="BQ24" i="67"/>
  <c r="BR24" i="67" s="1"/>
  <c r="BM25" i="67"/>
  <c r="AH18" i="71"/>
  <c r="Q21" i="78" s="1"/>
  <c r="AE19" i="65"/>
  <c r="I20" i="71"/>
  <c r="D15" i="74" s="1"/>
  <c r="D16" i="74" s="1"/>
  <c r="F28" i="67"/>
  <c r="G28" i="67" s="1"/>
  <c r="H28" i="67" s="1"/>
  <c r="N26" i="56"/>
  <c r="Q26" i="56" s="1"/>
  <c r="C27" i="56"/>
  <c r="R19" i="71"/>
  <c r="AA16" i="65"/>
  <c r="AB16" i="65" s="1"/>
  <c r="AJ16" i="65"/>
  <c r="AH16" i="65"/>
  <c r="AI17" i="65"/>
  <c r="G20" i="65"/>
  <c r="H20" i="65" s="1"/>
  <c r="AC20" i="65"/>
  <c r="H21" i="71" s="1"/>
  <c r="AG21" i="71" s="1"/>
  <c r="T20" i="78" s="1"/>
  <c r="AI17" i="54"/>
  <c r="AK17" i="54" s="1"/>
  <c r="H16" i="70" s="1"/>
  <c r="P16" i="78" s="1"/>
  <c r="J35" i="67"/>
  <c r="K35" i="67" s="1"/>
  <c r="D25" i="67"/>
  <c r="E25" i="67" s="1"/>
  <c r="AJ25" i="54"/>
  <c r="BH19" i="67"/>
  <c r="BU19" i="67" s="1"/>
  <c r="E50" i="69"/>
  <c r="G50" i="69" s="1"/>
  <c r="H50" i="69" s="1"/>
  <c r="I50" i="69" s="1"/>
  <c r="J50" i="69" s="1"/>
  <c r="K50" i="69" s="1"/>
  <c r="H42" i="73"/>
  <c r="F8" i="25"/>
  <c r="F28" i="25" s="1"/>
  <c r="X22" i="67"/>
  <c r="V17" i="65"/>
  <c r="Y17" i="65"/>
  <c r="D17" i="65"/>
  <c r="AK57" i="67"/>
  <c r="AL57" i="67" s="1"/>
  <c r="AJ58" i="67" s="1"/>
  <c r="AU35" i="67"/>
  <c r="AT35" i="67"/>
  <c r="AW62" i="67"/>
  <c r="AX62" i="67" s="1"/>
  <c r="AV63" i="67" s="1"/>
  <c r="AO34" i="67"/>
  <c r="AN34" i="67"/>
  <c r="AQ56" i="67"/>
  <c r="AR56" i="67" s="1"/>
  <c r="AP57" i="67" s="1"/>
  <c r="AF34" i="67"/>
  <c r="AE34" i="67"/>
  <c r="AI62" i="67"/>
  <c r="AG63" i="67" s="1"/>
  <c r="AH62" i="67"/>
  <c r="M35" i="67"/>
  <c r="N35" i="67" s="1"/>
  <c r="L36" i="67" s="1"/>
  <c r="N21" i="65"/>
  <c r="AB20" i="67"/>
  <c r="AC20" i="67" s="1"/>
  <c r="O21" i="65"/>
  <c r="P21" i="65" s="1"/>
  <c r="R24" i="65"/>
  <c r="S24" i="65" s="1"/>
  <c r="R24" i="67"/>
  <c r="K22" i="65"/>
  <c r="F21" i="31"/>
  <c r="F23" i="31" s="1"/>
  <c r="C11" i="26"/>
  <c r="L8" i="94" s="1"/>
  <c r="E10" i="26"/>
  <c r="D11" i="26"/>
  <c r="L8" i="95" s="1"/>
  <c r="E43" i="58"/>
  <c r="E39" i="58"/>
  <c r="E35" i="58"/>
  <c r="E42" i="58"/>
  <c r="E38" i="58"/>
  <c r="E34" i="58"/>
  <c r="E45" i="58"/>
  <c r="E41" i="58"/>
  <c r="E37" i="58"/>
  <c r="E44" i="58"/>
  <c r="E40" i="58"/>
  <c r="E36" i="58"/>
  <c r="E29" i="22"/>
  <c r="S28" i="22"/>
  <c r="O22" i="45"/>
  <c r="H20" i="100" s="1"/>
  <c r="O23" i="45"/>
  <c r="H21" i="100" s="1"/>
  <c r="E48" i="59"/>
  <c r="G48" i="59" s="1"/>
  <c r="H48" i="59" s="1"/>
  <c r="I48" i="59" s="1"/>
  <c r="J48" i="59" s="1"/>
  <c r="K48" i="59" s="1"/>
  <c r="F6" i="28"/>
  <c r="F17" i="28" s="1"/>
  <c r="E46" i="56"/>
  <c r="G46" i="56" s="1"/>
  <c r="H46" i="56" s="1"/>
  <c r="I46" i="56" s="1"/>
  <c r="J46" i="56" s="1"/>
  <c r="K46" i="56" s="1"/>
  <c r="AD20" i="65" l="1"/>
  <c r="I21" i="71" s="1"/>
  <c r="F21" i="65"/>
  <c r="U32" i="54"/>
  <c r="U28" i="54"/>
  <c r="U24" i="54"/>
  <c r="U31" i="54"/>
  <c r="U27" i="54"/>
  <c r="U23" i="54"/>
  <c r="U30" i="54"/>
  <c r="U26" i="54"/>
  <c r="U22" i="54"/>
  <c r="U29" i="54"/>
  <c r="U25" i="54"/>
  <c r="U21" i="54"/>
  <c r="U20" i="54"/>
  <c r="U16" i="54"/>
  <c r="U12" i="54"/>
  <c r="U19" i="54"/>
  <c r="U15" i="54"/>
  <c r="U11" i="54"/>
  <c r="U18" i="54"/>
  <c r="U14" i="54"/>
  <c r="U10" i="54"/>
  <c r="U17" i="54"/>
  <c r="U13" i="54"/>
  <c r="U9" i="54"/>
  <c r="T67" i="54"/>
  <c r="T58" i="54"/>
  <c r="T59" i="54"/>
  <c r="T62" i="54"/>
  <c r="T57" i="54"/>
  <c r="T63" i="54"/>
  <c r="T60" i="54"/>
  <c r="T66" i="54"/>
  <c r="T61" i="54"/>
  <c r="T64" i="54"/>
  <c r="T68" i="54"/>
  <c r="T65" i="54"/>
  <c r="F27" i="71"/>
  <c r="F22" i="71"/>
  <c r="F24" i="71"/>
  <c r="F23" i="71"/>
  <c r="F25" i="71"/>
  <c r="F21" i="71"/>
  <c r="F26" i="71"/>
  <c r="F28" i="71"/>
  <c r="F31" i="71"/>
  <c r="F29" i="71"/>
  <c r="F30" i="71"/>
  <c r="F32" i="71"/>
  <c r="E11" i="74" s="1"/>
  <c r="M9" i="54"/>
  <c r="U8" i="76" s="1"/>
  <c r="F17" i="71"/>
  <c r="F13" i="71"/>
  <c r="F10" i="71"/>
  <c r="F12" i="71"/>
  <c r="F11" i="71"/>
  <c r="F14" i="71"/>
  <c r="F16" i="71"/>
  <c r="F15" i="71"/>
  <c r="F9" i="71"/>
  <c r="F77" i="71" s="1"/>
  <c r="F78" i="71" s="1"/>
  <c r="F19" i="71"/>
  <c r="F18" i="71"/>
  <c r="F20" i="71"/>
  <c r="D11" i="74" s="1"/>
  <c r="B5" i="37"/>
  <c r="D25" i="101" s="1"/>
  <c r="BN25" i="67"/>
  <c r="BQ25" i="67" s="1"/>
  <c r="D19" i="70"/>
  <c r="S6" i="78" s="1"/>
  <c r="D15" i="70"/>
  <c r="O6" i="78" s="1"/>
  <c r="D11" i="70"/>
  <c r="K6" i="78" s="1"/>
  <c r="D12" i="70"/>
  <c r="L6" i="78" s="1"/>
  <c r="D18" i="70"/>
  <c r="R6" i="78" s="1"/>
  <c r="D14" i="70"/>
  <c r="N6" i="78" s="1"/>
  <c r="D10" i="70"/>
  <c r="J6" i="78" s="1"/>
  <c r="D16" i="70"/>
  <c r="P6" i="78" s="1"/>
  <c r="D17" i="70"/>
  <c r="Q6" i="78" s="1"/>
  <c r="D13" i="70"/>
  <c r="M6" i="78" s="1"/>
  <c r="D9" i="70"/>
  <c r="I6" i="78" s="1"/>
  <c r="D8" i="70"/>
  <c r="AM18" i="54"/>
  <c r="AM14" i="54"/>
  <c r="AM10" i="54"/>
  <c r="AM17" i="54"/>
  <c r="AM13" i="54"/>
  <c r="AM9" i="54"/>
  <c r="AM20" i="54"/>
  <c r="AM16" i="54"/>
  <c r="AM12" i="54"/>
  <c r="AM19" i="54"/>
  <c r="AM15" i="54"/>
  <c r="AM11" i="54"/>
  <c r="M19" i="54"/>
  <c r="M12" i="54"/>
  <c r="M13" i="54"/>
  <c r="M14" i="54"/>
  <c r="M17" i="54"/>
  <c r="M18" i="54"/>
  <c r="M11" i="54"/>
  <c r="M16" i="54"/>
  <c r="M15" i="54"/>
  <c r="M20" i="54"/>
  <c r="M21" i="54"/>
  <c r="M10" i="54"/>
  <c r="D31" i="70"/>
  <c r="AE6" i="78" s="1"/>
  <c r="D27" i="70"/>
  <c r="AA6" i="78" s="1"/>
  <c r="D23" i="70"/>
  <c r="W6" i="78" s="1"/>
  <c r="D30" i="70"/>
  <c r="AD6" i="78" s="1"/>
  <c r="D26" i="70"/>
  <c r="Z6" i="78" s="1"/>
  <c r="D22" i="70"/>
  <c r="V6" i="78" s="1"/>
  <c r="D28" i="70"/>
  <c r="AB6" i="78" s="1"/>
  <c r="D29" i="70"/>
  <c r="AC6" i="78" s="1"/>
  <c r="D25" i="70"/>
  <c r="Y6" i="78" s="1"/>
  <c r="D21" i="70"/>
  <c r="U6" i="78" s="1"/>
  <c r="D20" i="70"/>
  <c r="D24" i="70"/>
  <c r="X6" i="78" s="1"/>
  <c r="AM30" i="54"/>
  <c r="AM26" i="54"/>
  <c r="AM22" i="54"/>
  <c r="AM29" i="54"/>
  <c r="AM25" i="54"/>
  <c r="AM21" i="54"/>
  <c r="AM32" i="54"/>
  <c r="AM28" i="54"/>
  <c r="AM24" i="54"/>
  <c r="AM31" i="54"/>
  <c r="AM27" i="54"/>
  <c r="AM23" i="54"/>
  <c r="M24" i="54"/>
  <c r="M26" i="54"/>
  <c r="M23" i="54"/>
  <c r="M28" i="54"/>
  <c r="M29" i="54"/>
  <c r="M30" i="54"/>
  <c r="M27" i="54"/>
  <c r="M32" i="54"/>
  <c r="M31" i="54"/>
  <c r="M22" i="54"/>
  <c r="M25" i="54"/>
  <c r="T12" i="76"/>
  <c r="AG40" i="58"/>
  <c r="S39" i="54" s="1"/>
  <c r="F38" i="70" s="1"/>
  <c r="BI19" i="67"/>
  <c r="F29" i="67"/>
  <c r="G29" i="67" s="1"/>
  <c r="H29" i="67" s="1"/>
  <c r="M27" i="56"/>
  <c r="P27" i="56" s="1"/>
  <c r="L27" i="56"/>
  <c r="AE20" i="65"/>
  <c r="G21" i="65"/>
  <c r="H21" i="65" s="1"/>
  <c r="AC21" i="65"/>
  <c r="H22" i="71" s="1"/>
  <c r="AG22" i="71" s="1"/>
  <c r="U20" i="78" s="1"/>
  <c r="AL17" i="65"/>
  <c r="AM16" i="65"/>
  <c r="AK16" i="65"/>
  <c r="AN16" i="65" s="1"/>
  <c r="BP25" i="67"/>
  <c r="I36" i="67"/>
  <c r="BB25" i="67"/>
  <c r="C26" i="67"/>
  <c r="E51" i="69"/>
  <c r="G51" i="69" s="1"/>
  <c r="H51" i="69" s="1"/>
  <c r="I51" i="69" s="1"/>
  <c r="J51" i="69" s="1"/>
  <c r="K51" i="69" s="1"/>
  <c r="H43" i="73"/>
  <c r="R8" i="49"/>
  <c r="BG20" i="67"/>
  <c r="BT20" i="67" s="1"/>
  <c r="BD20" i="67"/>
  <c r="BE20" i="67" s="1"/>
  <c r="Z22" i="67"/>
  <c r="X23" i="67" s="1"/>
  <c r="BC22" i="67"/>
  <c r="BF22" i="67"/>
  <c r="BS22" i="67" s="1"/>
  <c r="Y22" i="67"/>
  <c r="E17" i="65"/>
  <c r="AW63" i="67"/>
  <c r="AX63" i="67" s="1"/>
  <c r="AV64" i="67" s="1"/>
  <c r="AO35" i="67"/>
  <c r="AN35" i="67"/>
  <c r="AQ57" i="67"/>
  <c r="AR57" i="67" s="1"/>
  <c r="AP58" i="67" s="1"/>
  <c r="AK58" i="67"/>
  <c r="AL58" i="67" s="1"/>
  <c r="AJ59" i="67" s="1"/>
  <c r="AU36" i="67"/>
  <c r="AT36" i="67"/>
  <c r="AE35" i="67"/>
  <c r="AF35" i="67"/>
  <c r="AI63" i="67"/>
  <c r="AG64" i="67" s="1"/>
  <c r="AH63" i="67"/>
  <c r="M36" i="67"/>
  <c r="N36" i="67" s="1"/>
  <c r="L37" i="67" s="1"/>
  <c r="T24" i="65"/>
  <c r="Q21" i="65"/>
  <c r="O22" i="65" s="1"/>
  <c r="P22" i="65" s="1"/>
  <c r="S24" i="67"/>
  <c r="T24" i="67"/>
  <c r="L22" i="65"/>
  <c r="M22" i="65" s="1"/>
  <c r="I23" i="65"/>
  <c r="E55" i="58"/>
  <c r="E51" i="58"/>
  <c r="E47" i="58"/>
  <c r="E54" i="58"/>
  <c r="E50" i="58"/>
  <c r="E46" i="58"/>
  <c r="E57" i="58"/>
  <c r="E53" i="58"/>
  <c r="E49" i="58"/>
  <c r="E56" i="58"/>
  <c r="E52" i="58"/>
  <c r="E48" i="58"/>
  <c r="C5" i="37"/>
  <c r="E25" i="101" s="1"/>
  <c r="G26" i="36"/>
  <c r="R8" i="50"/>
  <c r="D12" i="26"/>
  <c r="D15" i="26" s="1"/>
  <c r="F10" i="26"/>
  <c r="E11" i="26"/>
  <c r="L8" i="96" s="1"/>
  <c r="E49" i="59"/>
  <c r="G49" i="59" s="1"/>
  <c r="H49" i="59" s="1"/>
  <c r="I49" i="59" s="1"/>
  <c r="J49" i="59" s="1"/>
  <c r="K49" i="59" s="1"/>
  <c r="E47" i="56"/>
  <c r="G47" i="56" s="1"/>
  <c r="H47" i="56" s="1"/>
  <c r="I47" i="56" s="1"/>
  <c r="J47" i="56" s="1"/>
  <c r="K47" i="56" s="1"/>
  <c r="P6" i="47"/>
  <c r="U44" i="54" l="1"/>
  <c r="U40" i="54"/>
  <c r="U36" i="54"/>
  <c r="U43" i="54"/>
  <c r="U39" i="54"/>
  <c r="U35" i="54"/>
  <c r="U42" i="54"/>
  <c r="U38" i="54"/>
  <c r="U34" i="54"/>
  <c r="U41" i="54"/>
  <c r="U37" i="54"/>
  <c r="U33" i="54"/>
  <c r="M33" i="54"/>
  <c r="U10" i="76" s="1"/>
  <c r="F41" i="71"/>
  <c r="F38" i="71"/>
  <c r="F39" i="71"/>
  <c r="F40" i="71"/>
  <c r="F35" i="71"/>
  <c r="F42" i="71"/>
  <c r="F43" i="71"/>
  <c r="F44" i="71"/>
  <c r="F33" i="71"/>
  <c r="F37" i="71"/>
  <c r="F34" i="71"/>
  <c r="F36" i="71"/>
  <c r="BM26" i="67"/>
  <c r="M10" i="76"/>
  <c r="AM9" i="76"/>
  <c r="D43" i="70"/>
  <c r="AQ6" i="78" s="1"/>
  <c r="D39" i="70"/>
  <c r="AM6" i="78" s="1"/>
  <c r="D35" i="70"/>
  <c r="AI6" i="78" s="1"/>
  <c r="D42" i="70"/>
  <c r="AP6" i="78" s="1"/>
  <c r="D38" i="70"/>
  <c r="AL6" i="78" s="1"/>
  <c r="D34" i="70"/>
  <c r="AH6" i="78" s="1"/>
  <c r="D40" i="70"/>
  <c r="AN6" i="78" s="1"/>
  <c r="D41" i="70"/>
  <c r="AO6" i="78" s="1"/>
  <c r="D37" i="70"/>
  <c r="AK6" i="78" s="1"/>
  <c r="D33" i="70"/>
  <c r="AG6" i="78" s="1"/>
  <c r="D32" i="70"/>
  <c r="D36" i="70"/>
  <c r="AJ6" i="78" s="1"/>
  <c r="AM42" i="54"/>
  <c r="AM38" i="54"/>
  <c r="AM34" i="54"/>
  <c r="AM41" i="54"/>
  <c r="AM37" i="54"/>
  <c r="AM33" i="54"/>
  <c r="AM44" i="54"/>
  <c r="AM40" i="54"/>
  <c r="AM36" i="54"/>
  <c r="AM43" i="54"/>
  <c r="AM39" i="54"/>
  <c r="AM35" i="54"/>
  <c r="M35" i="54"/>
  <c r="M40" i="54"/>
  <c r="M39" i="54"/>
  <c r="M44" i="54"/>
  <c r="M43" i="54"/>
  <c r="M34" i="54"/>
  <c r="M36" i="54"/>
  <c r="M37" i="54"/>
  <c r="M38" i="54"/>
  <c r="M41" i="54"/>
  <c r="M42" i="54"/>
  <c r="T6" i="78"/>
  <c r="I7" i="103" s="1"/>
  <c r="E8" i="75"/>
  <c r="AM10" i="76"/>
  <c r="M9" i="76"/>
  <c r="H6" i="78"/>
  <c r="H7" i="103" s="1"/>
  <c r="D8" i="75"/>
  <c r="T13" i="76"/>
  <c r="AG41" i="58"/>
  <c r="S40" i="54" s="1"/>
  <c r="F39" i="70" s="1"/>
  <c r="N27" i="56"/>
  <c r="Q27" i="56" s="1"/>
  <c r="C28" i="56"/>
  <c r="R20" i="71"/>
  <c r="D26" i="74" s="1"/>
  <c r="F30" i="67"/>
  <c r="AD21" i="65"/>
  <c r="F22" i="65"/>
  <c r="Z17" i="65"/>
  <c r="J18" i="71" s="1"/>
  <c r="AG17" i="65"/>
  <c r="L18" i="71" s="1"/>
  <c r="M18" i="71" s="1"/>
  <c r="BR25" i="67"/>
  <c r="E26" i="67"/>
  <c r="D26" i="67"/>
  <c r="J36" i="67"/>
  <c r="K36" i="67" s="1"/>
  <c r="AJ26" i="54"/>
  <c r="BO25" i="67"/>
  <c r="BH20" i="67"/>
  <c r="BU20" i="67" s="1"/>
  <c r="E52" i="69"/>
  <c r="G52" i="69" s="1"/>
  <c r="H52" i="69" s="1"/>
  <c r="I52" i="69" s="1"/>
  <c r="J52" i="69" s="1"/>
  <c r="K52" i="69" s="1"/>
  <c r="H44" i="73"/>
  <c r="F11" i="74"/>
  <c r="T70" i="54"/>
  <c r="BC23" i="67"/>
  <c r="Z23" i="67"/>
  <c r="Y23" i="67"/>
  <c r="BF23" i="67"/>
  <c r="BS23" i="67" s="1"/>
  <c r="R25" i="67"/>
  <c r="W17" i="65"/>
  <c r="X17" i="65" s="1"/>
  <c r="U17" i="65"/>
  <c r="C18" i="65"/>
  <c r="AF18" i="65" s="1"/>
  <c r="K19" i="71" s="1"/>
  <c r="AQ58" i="67"/>
  <c r="AR58" i="67" s="1"/>
  <c r="AP59" i="67" s="1"/>
  <c r="AK59" i="67"/>
  <c r="AL59" i="67" s="1"/>
  <c r="AJ60" i="67" s="1"/>
  <c r="AU37" i="67"/>
  <c r="AT37" i="67"/>
  <c r="AW64" i="67"/>
  <c r="AX64" i="67" s="1"/>
  <c r="AV65" i="67" s="1"/>
  <c r="AO36" i="67"/>
  <c r="AN36" i="67"/>
  <c r="AF36" i="67"/>
  <c r="AE36" i="67"/>
  <c r="AI64" i="67"/>
  <c r="AG65" i="67" s="1"/>
  <c r="AH64" i="67"/>
  <c r="J23" i="65"/>
  <c r="K23" i="65" s="1"/>
  <c r="I24" i="65" s="1"/>
  <c r="J24" i="65" s="1"/>
  <c r="M37" i="67"/>
  <c r="N37" i="67" s="1"/>
  <c r="L38" i="67" s="1"/>
  <c r="Q22" i="65"/>
  <c r="O23" i="65" s="1"/>
  <c r="P23" i="65" s="1"/>
  <c r="N22" i="65"/>
  <c r="AB21" i="67"/>
  <c r="AC21" i="67" s="1"/>
  <c r="S25" i="67"/>
  <c r="T25" i="67"/>
  <c r="R25" i="65"/>
  <c r="S25" i="65" s="1"/>
  <c r="C18" i="26"/>
  <c r="G9" i="36"/>
  <c r="D8" i="101" s="1"/>
  <c r="G13" i="36"/>
  <c r="G17" i="36"/>
  <c r="G10" i="36"/>
  <c r="G10" i="26"/>
  <c r="G11" i="26" s="1"/>
  <c r="L8" i="98" s="1"/>
  <c r="F11" i="26"/>
  <c r="L8" i="97" s="1"/>
  <c r="D5" i="37"/>
  <c r="F25" i="101" s="1"/>
  <c r="G26" i="40"/>
  <c r="O22" i="47"/>
  <c r="I20" i="100" s="1"/>
  <c r="O23" i="47"/>
  <c r="I21" i="100" s="1"/>
  <c r="E12" i="26"/>
  <c r="E15" i="26" s="1"/>
  <c r="R8" i="51"/>
  <c r="E50" i="59"/>
  <c r="G50" i="59" s="1"/>
  <c r="H50" i="59" s="1"/>
  <c r="I50" i="59" s="1"/>
  <c r="J50" i="59" s="1"/>
  <c r="K50" i="59" s="1"/>
  <c r="E48" i="56"/>
  <c r="G48" i="56" s="1"/>
  <c r="H48" i="56" s="1"/>
  <c r="I48" i="56" s="1"/>
  <c r="J48" i="56" s="1"/>
  <c r="K48" i="56" s="1"/>
  <c r="I8" i="49" l="1"/>
  <c r="D12" i="101"/>
  <c r="F8" i="49"/>
  <c r="F8" i="94" s="1"/>
  <c r="D9" i="101"/>
  <c r="M8" i="49"/>
  <c r="D16" i="101"/>
  <c r="U56" i="54"/>
  <c r="U52" i="54"/>
  <c r="U48" i="54"/>
  <c r="U55" i="54"/>
  <c r="U51" i="54"/>
  <c r="U47" i="54"/>
  <c r="U54" i="54"/>
  <c r="U50" i="54"/>
  <c r="U46" i="54"/>
  <c r="U53" i="54"/>
  <c r="U49" i="54"/>
  <c r="U45" i="54"/>
  <c r="U68" i="54"/>
  <c r="U64" i="54"/>
  <c r="U60" i="54"/>
  <c r="U67" i="54"/>
  <c r="U63" i="54"/>
  <c r="U59" i="54"/>
  <c r="U66" i="54"/>
  <c r="U62" i="54"/>
  <c r="U58" i="54"/>
  <c r="U65" i="54"/>
  <c r="U61" i="54"/>
  <c r="U57" i="54"/>
  <c r="M45" i="54"/>
  <c r="F53" i="71"/>
  <c r="F54" i="71"/>
  <c r="F55" i="71"/>
  <c r="F56" i="71"/>
  <c r="F49" i="71"/>
  <c r="F46" i="71"/>
  <c r="F47" i="71"/>
  <c r="F48" i="71"/>
  <c r="F45" i="71"/>
  <c r="F50" i="71"/>
  <c r="F51" i="71"/>
  <c r="F52" i="71"/>
  <c r="F68" i="71"/>
  <c r="F61" i="71"/>
  <c r="F57" i="71"/>
  <c r="F58" i="71"/>
  <c r="F59" i="71"/>
  <c r="F60" i="71"/>
  <c r="F62" i="71"/>
  <c r="F63" i="71"/>
  <c r="F64" i="71"/>
  <c r="F65" i="71"/>
  <c r="F66" i="71"/>
  <c r="F67" i="71"/>
  <c r="U9" i="76"/>
  <c r="N18" i="71"/>
  <c r="BN26" i="67"/>
  <c r="BO26" i="67" s="1"/>
  <c r="AH19" i="71"/>
  <c r="R21" i="78" s="1"/>
  <c r="AE21" i="65"/>
  <c r="I22" i="71"/>
  <c r="D55" i="70"/>
  <c r="BC6" i="78" s="1"/>
  <c r="D51" i="70"/>
  <c r="AY6" i="78" s="1"/>
  <c r="D47" i="70"/>
  <c r="AU6" i="78" s="1"/>
  <c r="D54" i="70"/>
  <c r="BB6" i="78" s="1"/>
  <c r="D50" i="70"/>
  <c r="AX6" i="78" s="1"/>
  <c r="D46" i="70"/>
  <c r="AT6" i="78" s="1"/>
  <c r="D52" i="70"/>
  <c r="AZ6" i="78" s="1"/>
  <c r="D53" i="70"/>
  <c r="BA6" i="78" s="1"/>
  <c r="D49" i="70"/>
  <c r="AW6" i="78" s="1"/>
  <c r="D45" i="70"/>
  <c r="AS6" i="78" s="1"/>
  <c r="D44" i="70"/>
  <c r="D48" i="70"/>
  <c r="AV6" i="78" s="1"/>
  <c r="AM54" i="54"/>
  <c r="AM50" i="54"/>
  <c r="AM46" i="54"/>
  <c r="AM53" i="54"/>
  <c r="AM49" i="54"/>
  <c r="AM45" i="54"/>
  <c r="AM56" i="54"/>
  <c r="AM52" i="54"/>
  <c r="AM48" i="54"/>
  <c r="AM55" i="54"/>
  <c r="AM51" i="54"/>
  <c r="AM47" i="54"/>
  <c r="M51" i="54"/>
  <c r="M57" i="54"/>
  <c r="M55" i="54"/>
  <c r="M46" i="54"/>
  <c r="M49" i="54"/>
  <c r="M50" i="54"/>
  <c r="M48" i="54"/>
  <c r="M47" i="54"/>
  <c r="M52" i="54"/>
  <c r="M53" i="54"/>
  <c r="M54" i="54"/>
  <c r="M56" i="54"/>
  <c r="D67" i="70"/>
  <c r="BO6" i="78" s="1"/>
  <c r="D63" i="70"/>
  <c r="BK6" i="78" s="1"/>
  <c r="D59" i="70"/>
  <c r="BG6" i="78" s="1"/>
  <c r="D66" i="70"/>
  <c r="BN6" i="78" s="1"/>
  <c r="D62" i="70"/>
  <c r="BJ6" i="78" s="1"/>
  <c r="D58" i="70"/>
  <c r="BF6" i="78" s="1"/>
  <c r="D65" i="70"/>
  <c r="BM6" i="78" s="1"/>
  <c r="D61" i="70"/>
  <c r="BI6" i="78" s="1"/>
  <c r="D57" i="70"/>
  <c r="BE6" i="78" s="1"/>
  <c r="D60" i="70"/>
  <c r="BH6" i="78" s="1"/>
  <c r="D56" i="70"/>
  <c r="D64" i="70"/>
  <c r="BL6" i="78" s="1"/>
  <c r="AM66" i="54"/>
  <c r="AM62" i="54"/>
  <c r="AM58" i="54"/>
  <c r="AM65" i="54"/>
  <c r="AM61" i="54"/>
  <c r="AM57" i="54"/>
  <c r="AM68" i="54"/>
  <c r="AM64" i="54"/>
  <c r="AM60" i="54"/>
  <c r="AM67" i="54"/>
  <c r="AM63" i="54"/>
  <c r="AM59" i="54"/>
  <c r="M67" i="54"/>
  <c r="M60" i="54"/>
  <c r="M61" i="54"/>
  <c r="M62" i="54"/>
  <c r="M58" i="54"/>
  <c r="M59" i="54"/>
  <c r="M64" i="54"/>
  <c r="M65" i="54"/>
  <c r="M66" i="54"/>
  <c r="M63" i="54"/>
  <c r="M68" i="54"/>
  <c r="U11" i="76"/>
  <c r="AF6" i="78"/>
  <c r="J7" i="103" s="1"/>
  <c r="F8" i="75"/>
  <c r="M11" i="76"/>
  <c r="AM11" i="76"/>
  <c r="T15" i="76"/>
  <c r="AG42" i="58"/>
  <c r="S41" i="54" s="1"/>
  <c r="F40" i="70" s="1"/>
  <c r="L28" i="56"/>
  <c r="M28" i="56" s="1"/>
  <c r="P28" i="56" s="1"/>
  <c r="G30" i="67"/>
  <c r="H30" i="67" s="1"/>
  <c r="AI18" i="65"/>
  <c r="AA17" i="65"/>
  <c r="AB17" i="65" s="1"/>
  <c r="AJ17" i="65"/>
  <c r="AH17" i="65"/>
  <c r="G22" i="65"/>
  <c r="H22" i="65" s="1"/>
  <c r="AC22" i="65"/>
  <c r="H23" i="71" s="1"/>
  <c r="AG23" i="71" s="1"/>
  <c r="V20" i="78" s="1"/>
  <c r="AI18" i="54"/>
  <c r="AK18" i="54" s="1"/>
  <c r="H17" i="70" s="1"/>
  <c r="Q16" i="78" s="1"/>
  <c r="BI20" i="67"/>
  <c r="BB26" i="67"/>
  <c r="C27" i="67"/>
  <c r="I37" i="67"/>
  <c r="BP26" i="67"/>
  <c r="E53" i="69"/>
  <c r="G53" i="69" s="1"/>
  <c r="H53" i="69" s="1"/>
  <c r="I53" i="69" s="1"/>
  <c r="J53" i="69" s="1"/>
  <c r="K53" i="69" s="1"/>
  <c r="H45" i="73"/>
  <c r="G11" i="74"/>
  <c r="X70" i="71"/>
  <c r="BD21" i="67"/>
  <c r="BE21" i="67" s="1"/>
  <c r="BG21" i="67"/>
  <c r="BT21" i="67" s="1"/>
  <c r="X24" i="67"/>
  <c r="V18" i="65"/>
  <c r="Y18" i="65"/>
  <c r="D18" i="65"/>
  <c r="AW65" i="67"/>
  <c r="AX65" i="67" s="1"/>
  <c r="AV66" i="67" s="1"/>
  <c r="AO37" i="67"/>
  <c r="AN37" i="67"/>
  <c r="AQ59" i="67"/>
  <c r="AR59" i="67" s="1"/>
  <c r="AP60" i="67" s="1"/>
  <c r="AK60" i="67"/>
  <c r="AL60" i="67" s="1"/>
  <c r="AJ61" i="67" s="1"/>
  <c r="AU38" i="67"/>
  <c r="AT38" i="67"/>
  <c r="AF37" i="67"/>
  <c r="AE37" i="67"/>
  <c r="AI65" i="67"/>
  <c r="AG66" i="67" s="1"/>
  <c r="AH65" i="67"/>
  <c r="M38" i="67"/>
  <c r="N38" i="67" s="1"/>
  <c r="L39" i="67" s="1"/>
  <c r="T25" i="65"/>
  <c r="Q23" i="65"/>
  <c r="O24" i="65" s="1"/>
  <c r="P24" i="65" s="1"/>
  <c r="K24" i="65"/>
  <c r="L23" i="65"/>
  <c r="M23" i="65" s="1"/>
  <c r="R26" i="67"/>
  <c r="G15" i="36"/>
  <c r="G11" i="36"/>
  <c r="G14" i="36"/>
  <c r="G17" i="40"/>
  <c r="G9" i="40"/>
  <c r="E8" i="101" s="1"/>
  <c r="G10" i="40"/>
  <c r="G13" i="40"/>
  <c r="E12" i="101" s="1"/>
  <c r="D18" i="26"/>
  <c r="F12" i="26"/>
  <c r="F15" i="26" s="1"/>
  <c r="R8" i="52"/>
  <c r="E67" i="58"/>
  <c r="E63" i="58"/>
  <c r="E59" i="58"/>
  <c r="E66" i="58"/>
  <c r="E62" i="58"/>
  <c r="E58" i="58"/>
  <c r="E69" i="58"/>
  <c r="E65" i="58"/>
  <c r="E61" i="58"/>
  <c r="E68" i="58"/>
  <c r="E64" i="58"/>
  <c r="E60" i="58"/>
  <c r="E5" i="37"/>
  <c r="G25" i="101" s="1"/>
  <c r="G26" i="42"/>
  <c r="G12" i="26"/>
  <c r="G15" i="26" s="1"/>
  <c r="R8" i="53"/>
  <c r="G16" i="36"/>
  <c r="D15" i="101" s="1"/>
  <c r="G12" i="36"/>
  <c r="D11" i="101" s="1"/>
  <c r="E8" i="49"/>
  <c r="E8" i="94" s="1"/>
  <c r="G8" i="49"/>
  <c r="G8" i="94" s="1"/>
  <c r="E51" i="59"/>
  <c r="G51" i="59" s="1"/>
  <c r="H51" i="59" s="1"/>
  <c r="I51" i="59" s="1"/>
  <c r="J51" i="59" s="1"/>
  <c r="K51" i="59" s="1"/>
  <c r="E49" i="56"/>
  <c r="G49" i="56" s="1"/>
  <c r="H49" i="56" s="1"/>
  <c r="I49" i="56" s="1"/>
  <c r="J49" i="56" s="1"/>
  <c r="K49" i="56" s="1"/>
  <c r="J8" i="49" l="1"/>
  <c r="D13" i="101"/>
  <c r="F8" i="50"/>
  <c r="F8" i="95" s="1"/>
  <c r="E9" i="101"/>
  <c r="H11" i="36"/>
  <c r="I12" i="29" s="1"/>
  <c r="J12" i="29" s="1"/>
  <c r="D10" i="101"/>
  <c r="J8" i="94"/>
  <c r="C8" i="99" s="1"/>
  <c r="H15" i="36"/>
  <c r="I16" i="29" s="1"/>
  <c r="J16" i="29" s="1"/>
  <c r="N16" i="29" s="1"/>
  <c r="D14" i="101"/>
  <c r="D18" i="101" s="1"/>
  <c r="M8" i="50"/>
  <c r="E16" i="101"/>
  <c r="BQ26" i="67"/>
  <c r="BR26" i="67" s="1"/>
  <c r="BM27" i="67"/>
  <c r="AM70" i="54"/>
  <c r="F70" i="71"/>
  <c r="H11" i="74"/>
  <c r="BD6" i="78"/>
  <c r="L7" i="103" s="1"/>
  <c r="H8" i="75"/>
  <c r="AR6" i="78"/>
  <c r="K7" i="103" s="1"/>
  <c r="G8" i="75"/>
  <c r="AM13" i="76"/>
  <c r="M13" i="76"/>
  <c r="U12" i="76"/>
  <c r="AM12" i="76"/>
  <c r="U13" i="76"/>
  <c r="M12" i="76"/>
  <c r="AG43" i="58"/>
  <c r="S42" i="54" s="1"/>
  <c r="F41" i="70" s="1"/>
  <c r="C29" i="56"/>
  <c r="R21" i="71"/>
  <c r="N28" i="56"/>
  <c r="Q28" i="56" s="1"/>
  <c r="F31" i="67"/>
  <c r="AD22" i="65"/>
  <c r="F23" i="65"/>
  <c r="AM17" i="65"/>
  <c r="AK17" i="65"/>
  <c r="AN17" i="65" s="1"/>
  <c r="AL18" i="65"/>
  <c r="D27" i="67"/>
  <c r="E27" i="67" s="1"/>
  <c r="AJ27" i="54"/>
  <c r="J37" i="67"/>
  <c r="K37" i="67" s="1"/>
  <c r="BH21" i="67"/>
  <c r="BU21" i="67" s="1"/>
  <c r="E54" i="69"/>
  <c r="G54" i="69" s="1"/>
  <c r="H54" i="69" s="1"/>
  <c r="I54" i="69" s="1"/>
  <c r="J54" i="69" s="1"/>
  <c r="K54" i="69" s="1"/>
  <c r="H46" i="73"/>
  <c r="BC24" i="67"/>
  <c r="Z24" i="67"/>
  <c r="Y24" i="67"/>
  <c r="X25" i="67"/>
  <c r="BF24" i="67"/>
  <c r="BS24" i="67" s="1"/>
  <c r="E18" i="65"/>
  <c r="AK61" i="67"/>
  <c r="AL61" i="67" s="1"/>
  <c r="AJ62" i="67" s="1"/>
  <c r="AU39" i="67"/>
  <c r="AT39" i="67"/>
  <c r="AW66" i="67"/>
  <c r="AX66" i="67" s="1"/>
  <c r="AV67" i="67" s="1"/>
  <c r="AN38" i="67"/>
  <c r="AO38" i="67"/>
  <c r="AQ60" i="67"/>
  <c r="AR60" i="67" s="1"/>
  <c r="AP61" i="67" s="1"/>
  <c r="AE38" i="67"/>
  <c r="AF38" i="67"/>
  <c r="AI66" i="67"/>
  <c r="AG67" i="67" s="1"/>
  <c r="AH66" i="67"/>
  <c r="M39" i="67"/>
  <c r="N39" i="67" s="1"/>
  <c r="L40" i="67" s="1"/>
  <c r="Q24" i="65"/>
  <c r="O25" i="65" s="1"/>
  <c r="P25" i="65" s="1"/>
  <c r="N23" i="65"/>
  <c r="AB22" i="67"/>
  <c r="AC22" i="67" s="1"/>
  <c r="S26" i="67"/>
  <c r="T26" i="67"/>
  <c r="R26" i="65"/>
  <c r="S26" i="65" s="1"/>
  <c r="K8" i="49"/>
  <c r="H14" i="36"/>
  <c r="I15" i="29" s="1"/>
  <c r="J15" i="29" s="1"/>
  <c r="N15" i="29" s="1"/>
  <c r="M70" i="54"/>
  <c r="G12" i="40"/>
  <c r="G15" i="40"/>
  <c r="H8" i="49"/>
  <c r="H12" i="36"/>
  <c r="I13" i="29" s="1"/>
  <c r="J13" i="29" s="1"/>
  <c r="N13" i="29" s="1"/>
  <c r="F5" i="37"/>
  <c r="G26" i="44"/>
  <c r="G16" i="40"/>
  <c r="E15" i="101" s="1"/>
  <c r="G11" i="40"/>
  <c r="E10" i="101" s="1"/>
  <c r="E8" i="50"/>
  <c r="E8" i="95" s="1"/>
  <c r="L8" i="49"/>
  <c r="H16" i="36"/>
  <c r="I17" i="29" s="1"/>
  <c r="J17" i="29" s="1"/>
  <c r="N17" i="29" s="1"/>
  <c r="N12" i="29"/>
  <c r="G19" i="36"/>
  <c r="G14" i="40"/>
  <c r="E13" i="101" s="1"/>
  <c r="I8" i="50"/>
  <c r="E18" i="26"/>
  <c r="G10" i="42"/>
  <c r="G13" i="42"/>
  <c r="G9" i="42"/>
  <c r="F8" i="101" s="1"/>
  <c r="G17" i="42"/>
  <c r="H8" i="50"/>
  <c r="E52" i="59"/>
  <c r="G52" i="59" s="1"/>
  <c r="H52" i="59" s="1"/>
  <c r="I52" i="59" s="1"/>
  <c r="J52" i="59" s="1"/>
  <c r="K52" i="59" s="1"/>
  <c r="E50" i="56"/>
  <c r="G50" i="56" s="1"/>
  <c r="H50" i="56" s="1"/>
  <c r="I50" i="56" s="1"/>
  <c r="J50" i="56" s="1"/>
  <c r="K50" i="56" s="1"/>
  <c r="D26" i="101" l="1"/>
  <c r="D23" i="101"/>
  <c r="I8" i="51"/>
  <c r="F12" i="101"/>
  <c r="M8" i="51"/>
  <c r="F16" i="101"/>
  <c r="H15" i="40"/>
  <c r="I16" i="41" s="1"/>
  <c r="J16" i="41" s="1"/>
  <c r="N16" i="41" s="1"/>
  <c r="E14" i="101"/>
  <c r="F8" i="51"/>
  <c r="F8" i="96" s="1"/>
  <c r="F9" i="101"/>
  <c r="G26" i="46"/>
  <c r="H25" i="101"/>
  <c r="H12" i="40"/>
  <c r="I13" i="41" s="1"/>
  <c r="J13" i="41" s="1"/>
  <c r="N13" i="41" s="1"/>
  <c r="E11" i="101"/>
  <c r="K8" i="50"/>
  <c r="BN27" i="67"/>
  <c r="BQ27" i="67" s="1"/>
  <c r="AE22" i="65"/>
  <c r="I23" i="71"/>
  <c r="AM15" i="76"/>
  <c r="M15" i="76"/>
  <c r="U15" i="76"/>
  <c r="AG44" i="58"/>
  <c r="S43" i="54" s="1"/>
  <c r="F42" i="70" s="1"/>
  <c r="BI21" i="67"/>
  <c r="L29" i="56"/>
  <c r="M29" i="56" s="1"/>
  <c r="P29" i="56" s="1"/>
  <c r="G31" i="67"/>
  <c r="H31" i="67" s="1"/>
  <c r="F32" i="67" s="1"/>
  <c r="G23" i="65"/>
  <c r="H23" i="65" s="1"/>
  <c r="AD23" i="65" s="1"/>
  <c r="I24" i="71" s="1"/>
  <c r="AC23" i="65"/>
  <c r="H24" i="71" s="1"/>
  <c r="AG24" i="71" s="1"/>
  <c r="W20" i="78" s="1"/>
  <c r="Z18" i="65"/>
  <c r="J19" i="71" s="1"/>
  <c r="AG18" i="65"/>
  <c r="L19" i="71" s="1"/>
  <c r="M19" i="71" s="1"/>
  <c r="I38" i="67"/>
  <c r="BB27" i="67"/>
  <c r="C28" i="67"/>
  <c r="BP27" i="67"/>
  <c r="E55" i="69"/>
  <c r="G55" i="69" s="1"/>
  <c r="H55" i="69" s="1"/>
  <c r="I55" i="69" s="1"/>
  <c r="J55" i="69" s="1"/>
  <c r="K55" i="69" s="1"/>
  <c r="H47" i="73"/>
  <c r="BC25" i="67"/>
  <c r="Y25" i="67"/>
  <c r="Z25" i="67"/>
  <c r="BG22" i="67"/>
  <c r="BT22" i="67" s="1"/>
  <c r="BD22" i="67"/>
  <c r="BE22" i="67" s="1"/>
  <c r="R27" i="67"/>
  <c r="BF25" i="67"/>
  <c r="BS25" i="67" s="1"/>
  <c r="W18" i="65"/>
  <c r="X18" i="65" s="1"/>
  <c r="U18" i="65"/>
  <c r="C19" i="65"/>
  <c r="AF19" i="65" s="1"/>
  <c r="K20" i="71" s="1"/>
  <c r="AW67" i="67"/>
  <c r="AX67" i="67" s="1"/>
  <c r="AX69" i="67" s="1"/>
  <c r="AO39" i="67"/>
  <c r="AN39" i="67"/>
  <c r="AQ61" i="67"/>
  <c r="AR61" i="67" s="1"/>
  <c r="AP62" i="67" s="1"/>
  <c r="AK62" i="67"/>
  <c r="AL62" i="67" s="1"/>
  <c r="AJ63" i="67" s="1"/>
  <c r="AT40" i="67"/>
  <c r="AU40" i="67"/>
  <c r="AF39" i="67"/>
  <c r="AE39" i="67"/>
  <c r="AI67" i="67"/>
  <c r="AI69" i="67" s="1"/>
  <c r="AH67" i="67"/>
  <c r="M40" i="67"/>
  <c r="N40" i="67" s="1"/>
  <c r="L41" i="67" s="1"/>
  <c r="T26" i="65"/>
  <c r="Q25" i="65"/>
  <c r="L24" i="65"/>
  <c r="M24" i="65" s="1"/>
  <c r="S27" i="67"/>
  <c r="T27" i="67"/>
  <c r="I25" i="65"/>
  <c r="G9" i="49"/>
  <c r="L9" i="49"/>
  <c r="L10" i="49" s="1"/>
  <c r="L16" i="49" s="1"/>
  <c r="K9" i="49"/>
  <c r="K10" i="49" s="1"/>
  <c r="K16" i="49" s="1"/>
  <c r="O9" i="49"/>
  <c r="M9" i="49"/>
  <c r="M10" i="49" s="1"/>
  <c r="M14" i="49" s="1"/>
  <c r="N9" i="49"/>
  <c r="G19" i="40"/>
  <c r="D19" i="26" s="1"/>
  <c r="D20" i="26" s="1"/>
  <c r="E9" i="49"/>
  <c r="I9" i="49"/>
  <c r="I10" i="49" s="1"/>
  <c r="I14" i="49" s="1"/>
  <c r="G12" i="42"/>
  <c r="F11" i="101" s="1"/>
  <c r="G16" i="42"/>
  <c r="F15" i="101" s="1"/>
  <c r="C19" i="26"/>
  <c r="C20" i="26" s="1"/>
  <c r="G24" i="36"/>
  <c r="G27" i="36"/>
  <c r="F9" i="49"/>
  <c r="L8" i="50"/>
  <c r="H16" i="40"/>
  <c r="I17" i="41" s="1"/>
  <c r="J17" i="41" s="1"/>
  <c r="N17" i="41" s="1"/>
  <c r="H9" i="49"/>
  <c r="H10" i="49" s="1"/>
  <c r="G15" i="42"/>
  <c r="F14" i="101" s="1"/>
  <c r="J20" i="29"/>
  <c r="J25" i="29" s="1"/>
  <c r="G11" i="42"/>
  <c r="F10" i="101" s="1"/>
  <c r="G14" i="42"/>
  <c r="F13" i="101" s="1"/>
  <c r="E8" i="51"/>
  <c r="E8" i="96" s="1"/>
  <c r="N20" i="29"/>
  <c r="N25" i="29" s="1"/>
  <c r="G10" i="44"/>
  <c r="G13" i="44"/>
  <c r="F18" i="26"/>
  <c r="G17" i="44"/>
  <c r="G9" i="44"/>
  <c r="G8" i="101" s="1"/>
  <c r="J9" i="49"/>
  <c r="J10" i="49" s="1"/>
  <c r="J8" i="50"/>
  <c r="H14" i="40"/>
  <c r="I15" i="41" s="1"/>
  <c r="J15" i="41" s="1"/>
  <c r="N15" i="41" s="1"/>
  <c r="G8" i="50"/>
  <c r="G8" i="95" s="1"/>
  <c r="J8" i="95" s="1"/>
  <c r="D8" i="99" s="1"/>
  <c r="H11" i="40"/>
  <c r="I12" i="41" s="1"/>
  <c r="J12" i="41" s="1"/>
  <c r="G17" i="46"/>
  <c r="G13" i="46"/>
  <c r="G10" i="46"/>
  <c r="G9" i="46"/>
  <c r="H8" i="101" s="1"/>
  <c r="G18" i="26"/>
  <c r="E53" i="59"/>
  <c r="G53" i="59" s="1"/>
  <c r="H53" i="59" s="1"/>
  <c r="I53" i="59" s="1"/>
  <c r="J53" i="59" s="1"/>
  <c r="K53" i="59" s="1"/>
  <c r="E51" i="56"/>
  <c r="G51" i="56" s="1"/>
  <c r="H51" i="56" s="1"/>
  <c r="I51" i="56" s="1"/>
  <c r="J51" i="56" s="1"/>
  <c r="K51" i="56" s="1"/>
  <c r="E18" i="101" l="1"/>
  <c r="E23" i="101" s="1"/>
  <c r="F18" i="101"/>
  <c r="F23" i="101" s="1"/>
  <c r="I8" i="53"/>
  <c r="H12" i="101"/>
  <c r="M8" i="53"/>
  <c r="H16" i="101"/>
  <c r="I8" i="52"/>
  <c r="G12" i="101"/>
  <c r="F8" i="52"/>
  <c r="F8" i="97" s="1"/>
  <c r="G9" i="101"/>
  <c r="F8" i="53"/>
  <c r="F8" i="98" s="1"/>
  <c r="H9" i="101"/>
  <c r="M8" i="52"/>
  <c r="G16" i="101"/>
  <c r="G10" i="49"/>
  <c r="G16" i="49" s="1"/>
  <c r="G9" i="94"/>
  <c r="F10" i="49"/>
  <c r="F10" i="94" s="1"/>
  <c r="F9" i="94"/>
  <c r="E10" i="49"/>
  <c r="E10" i="94" s="1"/>
  <c r="E9" i="94"/>
  <c r="O10" i="49"/>
  <c r="I9" i="94"/>
  <c r="N10" i="49"/>
  <c r="H9" i="94"/>
  <c r="N19" i="71"/>
  <c r="BM28" i="67"/>
  <c r="D18" i="74"/>
  <c r="AH20" i="71"/>
  <c r="S21" i="78" s="1"/>
  <c r="R22" i="71"/>
  <c r="C30" i="56"/>
  <c r="N29" i="56"/>
  <c r="Q29" i="56" s="1"/>
  <c r="G32" i="67"/>
  <c r="H32" i="67" s="1"/>
  <c r="F33" i="67" s="1"/>
  <c r="AA18" i="65"/>
  <c r="AB18" i="65" s="1"/>
  <c r="F24" i="65"/>
  <c r="AI19" i="65"/>
  <c r="AJ18" i="65"/>
  <c r="AH18" i="65"/>
  <c r="AE23" i="65"/>
  <c r="AI19" i="54"/>
  <c r="AK19" i="54" s="1"/>
  <c r="H18" i="70" s="1"/>
  <c r="R16" i="78" s="1"/>
  <c r="BR27" i="67"/>
  <c r="AJ28" i="54"/>
  <c r="BO27" i="67"/>
  <c r="D28" i="67"/>
  <c r="E28" i="67" s="1"/>
  <c r="J38" i="67"/>
  <c r="K38" i="67" s="1"/>
  <c r="BH22" i="67"/>
  <c r="BU22" i="67" s="1"/>
  <c r="E56" i="69"/>
  <c r="G56" i="69" s="1"/>
  <c r="H56" i="69" s="1"/>
  <c r="I56" i="69" s="1"/>
  <c r="J56" i="69" s="1"/>
  <c r="K56" i="69" s="1"/>
  <c r="H48" i="73"/>
  <c r="L14" i="49"/>
  <c r="L17" i="49" s="1"/>
  <c r="K14" i="49"/>
  <c r="K17" i="49" s="1"/>
  <c r="X26" i="67"/>
  <c r="V19" i="65"/>
  <c r="Y19" i="65"/>
  <c r="D19" i="65"/>
  <c r="AU41" i="67"/>
  <c r="AT41" i="67"/>
  <c r="AK63" i="67"/>
  <c r="AL63" i="67" s="1"/>
  <c r="AJ64" i="67" s="1"/>
  <c r="AQ62" i="67"/>
  <c r="AR62" i="67" s="1"/>
  <c r="AP63" i="67" s="1"/>
  <c r="AO40" i="67"/>
  <c r="AN40" i="67"/>
  <c r="AE40" i="67"/>
  <c r="AF40" i="67"/>
  <c r="J25" i="65"/>
  <c r="K25" i="65" s="1"/>
  <c r="M41" i="67"/>
  <c r="N41" i="67" s="1"/>
  <c r="L42" i="67" s="1"/>
  <c r="N24" i="65"/>
  <c r="L25" i="65" s="1"/>
  <c r="M25" i="65" s="1"/>
  <c r="AB23" i="67"/>
  <c r="AC23" i="67" s="1"/>
  <c r="R27" i="65"/>
  <c r="S27" i="65" s="1"/>
  <c r="R28" i="67"/>
  <c r="E9" i="50"/>
  <c r="M16" i="49"/>
  <c r="G27" i="40"/>
  <c r="G24" i="40"/>
  <c r="O26" i="65"/>
  <c r="P26" i="65" s="1"/>
  <c r="O16" i="49"/>
  <c r="I16" i="49"/>
  <c r="I17" i="49" s="1"/>
  <c r="N16" i="49"/>
  <c r="H16" i="94" s="1"/>
  <c r="J9" i="50"/>
  <c r="J10" i="50" s="1"/>
  <c r="J14" i="50" s="1"/>
  <c r="G16" i="44"/>
  <c r="G15" i="44"/>
  <c r="G11" i="46"/>
  <c r="G12" i="44"/>
  <c r="E8" i="53"/>
  <c r="E8" i="98" s="1"/>
  <c r="G8" i="51"/>
  <c r="G8" i="96" s="1"/>
  <c r="J8" i="96" s="1"/>
  <c r="E8" i="99" s="1"/>
  <c r="H11" i="42"/>
  <c r="I12" i="43" s="1"/>
  <c r="J12" i="43" s="1"/>
  <c r="E16" i="49"/>
  <c r="E16" i="94" s="1"/>
  <c r="P10" i="49"/>
  <c r="E14" i="49"/>
  <c r="E14" i="94" s="1"/>
  <c r="G15" i="46"/>
  <c r="H14" i="101" s="1"/>
  <c r="G9" i="50"/>
  <c r="F9" i="50"/>
  <c r="M9" i="50"/>
  <c r="M10" i="50" s="1"/>
  <c r="G14" i="44"/>
  <c r="G13" i="101" s="1"/>
  <c r="N9" i="50"/>
  <c r="I9" i="50"/>
  <c r="I10" i="50" s="1"/>
  <c r="P9" i="49"/>
  <c r="L9" i="50"/>
  <c r="L10" i="50" s="1"/>
  <c r="H9" i="50"/>
  <c r="H10" i="50" s="1"/>
  <c r="E8" i="52"/>
  <c r="E8" i="97" s="1"/>
  <c r="H14" i="42"/>
  <c r="I15" i="43" s="1"/>
  <c r="J15" i="43" s="1"/>
  <c r="N15" i="43" s="1"/>
  <c r="J8" i="51"/>
  <c r="F14" i="49"/>
  <c r="F14" i="94" s="1"/>
  <c r="F16" i="49"/>
  <c r="F16" i="94" s="1"/>
  <c r="G16" i="46"/>
  <c r="H15" i="101" s="1"/>
  <c r="G12" i="46"/>
  <c r="H11" i="101" s="1"/>
  <c r="G14" i="46"/>
  <c r="H13" i="101" s="1"/>
  <c r="G11" i="44"/>
  <c r="G10" i="101" s="1"/>
  <c r="O9" i="50"/>
  <c r="K9" i="50"/>
  <c r="K10" i="50" s="1"/>
  <c r="H15" i="42"/>
  <c r="I16" i="43" s="1"/>
  <c r="J16" i="43" s="1"/>
  <c r="N16" i="43" s="1"/>
  <c r="K8" i="51"/>
  <c r="H14" i="49"/>
  <c r="H16" i="49"/>
  <c r="M17" i="49"/>
  <c r="H16" i="42"/>
  <c r="I17" i="43" s="1"/>
  <c r="J17" i="43" s="1"/>
  <c r="N17" i="43" s="1"/>
  <c r="L8" i="51"/>
  <c r="N12" i="41"/>
  <c r="N20" i="41" s="1"/>
  <c r="N25" i="41" s="1"/>
  <c r="J20" i="41"/>
  <c r="J25" i="41" s="1"/>
  <c r="J14" i="49"/>
  <c r="J16" i="49"/>
  <c r="G19" i="42"/>
  <c r="H12" i="42"/>
  <c r="I13" i="43" s="1"/>
  <c r="J13" i="43" s="1"/>
  <c r="N13" i="43" s="1"/>
  <c r="H8" i="51"/>
  <c r="E54" i="59"/>
  <c r="G54" i="59" s="1"/>
  <c r="H54" i="59" s="1"/>
  <c r="I54" i="59" s="1"/>
  <c r="J54" i="59" s="1"/>
  <c r="K54" i="59" s="1"/>
  <c r="E52" i="56"/>
  <c r="G52" i="56" s="1"/>
  <c r="H52" i="56" s="1"/>
  <c r="I52" i="56" s="1"/>
  <c r="J52" i="56" s="1"/>
  <c r="K52" i="56" s="1"/>
  <c r="F26" i="101" l="1"/>
  <c r="E26" i="101"/>
  <c r="G8" i="53"/>
  <c r="G8" i="98" s="1"/>
  <c r="J8" i="98" s="1"/>
  <c r="G8" i="99" s="1"/>
  <c r="H10" i="101"/>
  <c r="H18" i="101" s="1"/>
  <c r="H15" i="44"/>
  <c r="I16" i="45" s="1"/>
  <c r="J16" i="45" s="1"/>
  <c r="N16" i="45" s="1"/>
  <c r="G14" i="101"/>
  <c r="H16" i="44"/>
  <c r="I17" i="45" s="1"/>
  <c r="J17" i="45" s="1"/>
  <c r="N17" i="45" s="1"/>
  <c r="G15" i="101"/>
  <c r="H12" i="44"/>
  <c r="I13" i="45" s="1"/>
  <c r="J13" i="45" s="1"/>
  <c r="N13" i="45" s="1"/>
  <c r="G11" i="101"/>
  <c r="N10" i="50"/>
  <c r="H10" i="95" s="1"/>
  <c r="H9" i="95"/>
  <c r="G10" i="50"/>
  <c r="G10" i="95" s="1"/>
  <c r="G9" i="95"/>
  <c r="E10" i="50"/>
  <c r="E10" i="95" s="1"/>
  <c r="E9" i="95"/>
  <c r="O14" i="49"/>
  <c r="I14" i="94" s="1"/>
  <c r="I10" i="94"/>
  <c r="J9" i="94"/>
  <c r="O10" i="50"/>
  <c r="I10" i="95" s="1"/>
  <c r="I9" i="95"/>
  <c r="N14" i="49"/>
  <c r="H10" i="94"/>
  <c r="F10" i="50"/>
  <c r="F10" i="95" s="1"/>
  <c r="F9" i="95"/>
  <c r="I16" i="94"/>
  <c r="G16" i="94"/>
  <c r="G14" i="49"/>
  <c r="G14" i="94" s="1"/>
  <c r="G10" i="94"/>
  <c r="BN28" i="67"/>
  <c r="BQ28" i="67" s="1"/>
  <c r="L30" i="56"/>
  <c r="M30" i="56"/>
  <c r="P30" i="56" s="1"/>
  <c r="G33" i="67"/>
  <c r="H33" i="67" s="1"/>
  <c r="F34" i="67" s="1"/>
  <c r="AL19" i="65"/>
  <c r="AM18" i="65"/>
  <c r="AK18" i="65"/>
  <c r="AN18" i="65" s="1"/>
  <c r="G24" i="65"/>
  <c r="H24" i="65" s="1"/>
  <c r="AC24" i="65"/>
  <c r="H25" i="71" s="1"/>
  <c r="AG25" i="71" s="1"/>
  <c r="X20" i="78" s="1"/>
  <c r="BB28" i="67"/>
  <c r="C29" i="67"/>
  <c r="BI22" i="67"/>
  <c r="BP28" i="67"/>
  <c r="I39" i="67"/>
  <c r="E57" i="69"/>
  <c r="G57" i="69" s="1"/>
  <c r="H57" i="69" s="1"/>
  <c r="I57" i="69" s="1"/>
  <c r="J57" i="69" s="1"/>
  <c r="K57" i="69" s="1"/>
  <c r="H49" i="73"/>
  <c r="J16" i="50"/>
  <c r="J17" i="50" s="1"/>
  <c r="Z26" i="67"/>
  <c r="BF26" i="67"/>
  <c r="BS26" i="67" s="1"/>
  <c r="BC26" i="67"/>
  <c r="X27" i="67"/>
  <c r="Y26" i="67"/>
  <c r="BG23" i="67"/>
  <c r="BT23" i="67" s="1"/>
  <c r="BD23" i="67"/>
  <c r="BE23" i="67" s="1"/>
  <c r="BF27" i="67"/>
  <c r="BS27" i="67" s="1"/>
  <c r="E19" i="65"/>
  <c r="AQ63" i="67"/>
  <c r="AR63" i="67" s="1"/>
  <c r="AP64" i="67" s="1"/>
  <c r="AO41" i="67"/>
  <c r="AN41" i="67"/>
  <c r="AU42" i="67"/>
  <c r="AT42" i="67"/>
  <c r="AK64" i="67"/>
  <c r="AL64" i="67" s="1"/>
  <c r="AJ65" i="67" s="1"/>
  <c r="AF41" i="67"/>
  <c r="AE41" i="67"/>
  <c r="M42" i="67"/>
  <c r="N42" i="67" s="1"/>
  <c r="L43" i="67" s="1"/>
  <c r="T27" i="65"/>
  <c r="Q26" i="65"/>
  <c r="O27" i="65" s="1"/>
  <c r="P27" i="65" s="1"/>
  <c r="N25" i="65"/>
  <c r="S28" i="67"/>
  <c r="T28" i="67"/>
  <c r="R29" i="67"/>
  <c r="P31" i="67"/>
  <c r="I26" i="65"/>
  <c r="K8" i="52"/>
  <c r="L8" i="52"/>
  <c r="H8" i="52"/>
  <c r="N9" i="51"/>
  <c r="P9" i="50"/>
  <c r="L9" i="51"/>
  <c r="L10" i="51" s="1"/>
  <c r="L16" i="51" s="1"/>
  <c r="H17" i="49"/>
  <c r="H11" i="46"/>
  <c r="I12" i="47" s="1"/>
  <c r="J12" i="47" s="1"/>
  <c r="N12" i="47" s="1"/>
  <c r="O12" i="47" s="1"/>
  <c r="I10" i="100" s="1"/>
  <c r="O9" i="51"/>
  <c r="G24" i="42"/>
  <c r="E19" i="26"/>
  <c r="E20" i="26" s="1"/>
  <c r="G27" i="42"/>
  <c r="J17" i="49"/>
  <c r="K9" i="51"/>
  <c r="K10" i="51" s="1"/>
  <c r="F17" i="49"/>
  <c r="F17" i="94" s="1"/>
  <c r="H14" i="50"/>
  <c r="H16" i="50"/>
  <c r="E9" i="51"/>
  <c r="E9" i="96" s="1"/>
  <c r="N14" i="50"/>
  <c r="H14" i="95" s="1"/>
  <c r="N16" i="50"/>
  <c r="H16" i="95" s="1"/>
  <c r="O27" i="49"/>
  <c r="G22" i="49"/>
  <c r="K22" i="49"/>
  <c r="K23" i="49" s="1"/>
  <c r="K24" i="49" s="1"/>
  <c r="K25" i="49" s="1"/>
  <c r="J22" i="49"/>
  <c r="J23" i="49" s="1"/>
  <c r="J24" i="49" s="1"/>
  <c r="J25" i="49" s="1"/>
  <c r="L22" i="49"/>
  <c r="L23" i="49" s="1"/>
  <c r="L24" i="49" s="1"/>
  <c r="L25" i="49" s="1"/>
  <c r="F27" i="49"/>
  <c r="H22" i="49"/>
  <c r="H23" i="49" s="1"/>
  <c r="H24" i="49" s="1"/>
  <c r="H25" i="49" s="1"/>
  <c r="N27" i="49"/>
  <c r="M22" i="49"/>
  <c r="M23" i="49" s="1"/>
  <c r="M24" i="49" s="1"/>
  <c r="M25" i="49" s="1"/>
  <c r="O22" i="49"/>
  <c r="E27" i="49"/>
  <c r="I27" i="49"/>
  <c r="I28" i="49" s="1"/>
  <c r="H27" i="49"/>
  <c r="H28" i="49" s="1"/>
  <c r="I22" i="49"/>
  <c r="I23" i="49" s="1"/>
  <c r="I24" i="49" s="1"/>
  <c r="I25" i="49" s="1"/>
  <c r="K27" i="49"/>
  <c r="K28" i="49" s="1"/>
  <c r="M27" i="49"/>
  <c r="M28" i="49" s="1"/>
  <c r="J27" i="49"/>
  <c r="J28" i="49" s="1"/>
  <c r="F22" i="49"/>
  <c r="L27" i="49"/>
  <c r="L28" i="49" s="1"/>
  <c r="N22" i="49"/>
  <c r="G27" i="49"/>
  <c r="E22" i="49"/>
  <c r="H12" i="46"/>
  <c r="I13" i="47" s="1"/>
  <c r="J13" i="47" s="1"/>
  <c r="N13" i="47" s="1"/>
  <c r="O13" i="47" s="1"/>
  <c r="I11" i="100" s="1"/>
  <c r="H8" i="53"/>
  <c r="J9" i="51"/>
  <c r="J10" i="51" s="1"/>
  <c r="G14" i="50"/>
  <c r="G14" i="95" s="1"/>
  <c r="G16" i="50"/>
  <c r="G16" i="95" s="1"/>
  <c r="P16" i="49"/>
  <c r="O14" i="50"/>
  <c r="I14" i="95" s="1"/>
  <c r="H9" i="51"/>
  <c r="H10" i="51" s="1"/>
  <c r="E16" i="50"/>
  <c r="E16" i="95" s="1"/>
  <c r="P10" i="50"/>
  <c r="E14" i="50"/>
  <c r="E14" i="95" s="1"/>
  <c r="K16" i="50"/>
  <c r="K14" i="50"/>
  <c r="H16" i="46"/>
  <c r="I17" i="47" s="1"/>
  <c r="J17" i="47" s="1"/>
  <c r="N17" i="47" s="1"/>
  <c r="O17" i="47" s="1"/>
  <c r="I15" i="100" s="1"/>
  <c r="L8" i="53"/>
  <c r="L16" i="50"/>
  <c r="L14" i="50"/>
  <c r="H14" i="44"/>
  <c r="I15" i="45" s="1"/>
  <c r="J15" i="45" s="1"/>
  <c r="N15" i="45" s="1"/>
  <c r="O15" i="45" s="1"/>
  <c r="H13" i="100" s="1"/>
  <c r="J8" i="52"/>
  <c r="H15" i="46"/>
  <c r="I16" i="47" s="1"/>
  <c r="J16" i="47" s="1"/>
  <c r="N16" i="47" s="1"/>
  <c r="O16" i="47" s="1"/>
  <c r="I14" i="100" s="1"/>
  <c r="K8" i="53"/>
  <c r="N12" i="43"/>
  <c r="N20" i="43" s="1"/>
  <c r="N25" i="43" s="1"/>
  <c r="J20" i="43"/>
  <c r="J25" i="43" s="1"/>
  <c r="G19" i="46"/>
  <c r="G8" i="52"/>
  <c r="G8" i="97" s="1"/>
  <c r="J8" i="97" s="1"/>
  <c r="F8" i="99" s="1"/>
  <c r="H11" i="44"/>
  <c r="I12" i="45" s="1"/>
  <c r="J12" i="45" s="1"/>
  <c r="H14" i="46"/>
  <c r="I15" i="47" s="1"/>
  <c r="J15" i="47" s="1"/>
  <c r="N15" i="47" s="1"/>
  <c r="O15" i="47" s="1"/>
  <c r="I13" i="100" s="1"/>
  <c r="J8" i="53"/>
  <c r="G19" i="44"/>
  <c r="I14" i="50"/>
  <c r="I16" i="50"/>
  <c r="M16" i="50"/>
  <c r="M14" i="50"/>
  <c r="P14" i="49"/>
  <c r="E17" i="49"/>
  <c r="E17" i="94" s="1"/>
  <c r="G9" i="51"/>
  <c r="M9" i="51"/>
  <c r="M10" i="51" s="1"/>
  <c r="F9" i="51"/>
  <c r="I9" i="51"/>
  <c r="I10" i="51" s="1"/>
  <c r="E55" i="59"/>
  <c r="G55" i="59" s="1"/>
  <c r="H55" i="59" s="1"/>
  <c r="I55" i="59" s="1"/>
  <c r="J55" i="59" s="1"/>
  <c r="K55" i="59" s="1"/>
  <c r="E53" i="56"/>
  <c r="G53" i="56" s="1"/>
  <c r="H53" i="56" s="1"/>
  <c r="I53" i="56" s="1"/>
  <c r="J53" i="56" s="1"/>
  <c r="K53" i="56" s="1"/>
  <c r="O18" i="41"/>
  <c r="F16" i="100" s="1"/>
  <c r="O16" i="41"/>
  <c r="F14" i="100" s="1"/>
  <c r="O15" i="41"/>
  <c r="F13" i="100" s="1"/>
  <c r="O14" i="41"/>
  <c r="F12" i="100" s="1"/>
  <c r="O11" i="41"/>
  <c r="F9" i="100" s="1"/>
  <c r="O17" i="41"/>
  <c r="F15" i="100" s="1"/>
  <c r="O13" i="41"/>
  <c r="F11" i="100" s="1"/>
  <c r="O13" i="43"/>
  <c r="G11" i="100" s="1"/>
  <c r="O13" i="45"/>
  <c r="H11" i="100" s="1"/>
  <c r="O14" i="47"/>
  <c r="I12" i="100" s="1"/>
  <c r="O12" i="41"/>
  <c r="F10" i="100" s="1"/>
  <c r="O18" i="29"/>
  <c r="E16" i="100" s="1"/>
  <c r="O16" i="43"/>
  <c r="G14" i="100" s="1"/>
  <c r="O15" i="29"/>
  <c r="E13" i="100" s="1"/>
  <c r="O11" i="45"/>
  <c r="H9" i="100" s="1"/>
  <c r="O16" i="29"/>
  <c r="E14" i="100" s="1"/>
  <c r="O16" i="45"/>
  <c r="H14" i="100" s="1"/>
  <c r="O18" i="43"/>
  <c r="G16" i="100" s="1"/>
  <c r="O14" i="43"/>
  <c r="G12" i="100" s="1"/>
  <c r="O17" i="29"/>
  <c r="E15" i="100" s="1"/>
  <c r="O11" i="47"/>
  <c r="I9" i="100" s="1"/>
  <c r="O17" i="43"/>
  <c r="G15" i="100" s="1"/>
  <c r="O12" i="29"/>
  <c r="E10" i="100" s="1"/>
  <c r="O13" i="29"/>
  <c r="E11" i="100" s="1"/>
  <c r="O11" i="29"/>
  <c r="E9" i="100" s="1"/>
  <c r="O14" i="29"/>
  <c r="E12" i="100" s="1"/>
  <c r="O11" i="43"/>
  <c r="G9" i="100" s="1"/>
  <c r="O15" i="43"/>
  <c r="G13" i="100" s="1"/>
  <c r="O18" i="45"/>
  <c r="H16" i="100" s="1"/>
  <c r="O14" i="45"/>
  <c r="H12" i="100" s="1"/>
  <c r="O17" i="45"/>
  <c r="H15" i="100" s="1"/>
  <c r="O18" i="47"/>
  <c r="I16" i="100" s="1"/>
  <c r="O10" i="41"/>
  <c r="F8" i="100" s="1"/>
  <c r="O10" i="43"/>
  <c r="G8" i="100" s="1"/>
  <c r="O10" i="29"/>
  <c r="E8" i="100" s="1"/>
  <c r="O16" i="50" l="1"/>
  <c r="I16" i="95" s="1"/>
  <c r="F16" i="50"/>
  <c r="F16" i="95" s="1"/>
  <c r="O17" i="49"/>
  <c r="I17" i="94" s="1"/>
  <c r="E18" i="100"/>
  <c r="E23" i="100" s="1"/>
  <c r="L14" i="51"/>
  <c r="J16" i="94"/>
  <c r="C10" i="99" s="1"/>
  <c r="F14" i="50"/>
  <c r="F14" i="95" s="1"/>
  <c r="J14" i="95" s="1"/>
  <c r="D9" i="99" s="1"/>
  <c r="F18" i="100"/>
  <c r="F23" i="100" s="1"/>
  <c r="G18" i="101"/>
  <c r="G23" i="101" s="1"/>
  <c r="G17" i="49"/>
  <c r="G17" i="94" s="1"/>
  <c r="H23" i="101"/>
  <c r="H26" i="101"/>
  <c r="J10" i="94"/>
  <c r="F10" i="51"/>
  <c r="F10" i="96" s="1"/>
  <c r="F9" i="96"/>
  <c r="G28" i="49"/>
  <c r="G28" i="94" s="1"/>
  <c r="G27" i="94"/>
  <c r="O28" i="49"/>
  <c r="I28" i="94" s="1"/>
  <c r="I27" i="94"/>
  <c r="G10" i="51"/>
  <c r="G10" i="96" s="1"/>
  <c r="G9" i="96"/>
  <c r="N23" i="49"/>
  <c r="H22" i="94"/>
  <c r="N28" i="49"/>
  <c r="H28" i="94" s="1"/>
  <c r="H27" i="94"/>
  <c r="J9" i="95"/>
  <c r="E28" i="49"/>
  <c r="E28" i="94" s="1"/>
  <c r="E27" i="94"/>
  <c r="O10" i="51"/>
  <c r="I9" i="96"/>
  <c r="J10" i="95"/>
  <c r="E23" i="49"/>
  <c r="E22" i="94"/>
  <c r="F23" i="49"/>
  <c r="F22" i="94"/>
  <c r="O23" i="49"/>
  <c r="I22" i="94"/>
  <c r="F28" i="49"/>
  <c r="F28" i="94" s="1"/>
  <c r="F27" i="94"/>
  <c r="G23" i="49"/>
  <c r="G22" i="94"/>
  <c r="N10" i="51"/>
  <c r="H9" i="96"/>
  <c r="H14" i="94"/>
  <c r="J14" i="94" s="1"/>
  <c r="C9" i="99" s="1"/>
  <c r="N17" i="49"/>
  <c r="H17" i="94" s="1"/>
  <c r="J17" i="94" s="1"/>
  <c r="C11" i="99" s="1"/>
  <c r="BO28" i="67"/>
  <c r="BM29" i="67"/>
  <c r="R23" i="71"/>
  <c r="C31" i="56"/>
  <c r="N30" i="56"/>
  <c r="Q30" i="56" s="1"/>
  <c r="G34" i="67"/>
  <c r="H34" i="67" s="1"/>
  <c r="F35" i="67" s="1"/>
  <c r="F25" i="65"/>
  <c r="AD24" i="65"/>
  <c r="Z19" i="65"/>
  <c r="J20" i="71" s="1"/>
  <c r="AG19" i="65"/>
  <c r="L20" i="71" s="1"/>
  <c r="BR28" i="67"/>
  <c r="J39" i="67"/>
  <c r="K39" i="67" s="1"/>
  <c r="E29" i="67"/>
  <c r="D29" i="67"/>
  <c r="AJ29" i="54"/>
  <c r="BH23" i="67"/>
  <c r="BU23" i="67" s="1"/>
  <c r="E58" i="69"/>
  <c r="G58" i="69" s="1"/>
  <c r="H58" i="69" s="1"/>
  <c r="I58" i="69" s="1"/>
  <c r="J58" i="69" s="1"/>
  <c r="K58" i="69" s="1"/>
  <c r="H50" i="73"/>
  <c r="Z27" i="67"/>
  <c r="BC27" i="67"/>
  <c r="X28" i="67"/>
  <c r="Y27" i="67"/>
  <c r="C20" i="65"/>
  <c r="AF20" i="65" s="1"/>
  <c r="K21" i="71" s="1"/>
  <c r="AH21" i="71" s="1"/>
  <c r="T21" i="78" s="1"/>
  <c r="W19" i="65"/>
  <c r="X19" i="65" s="1"/>
  <c r="U19" i="65"/>
  <c r="AU43" i="67"/>
  <c r="AT43" i="67"/>
  <c r="AK65" i="67"/>
  <c r="AL65" i="67" s="1"/>
  <c r="AJ66" i="67" s="1"/>
  <c r="AQ64" i="67"/>
  <c r="AR64" i="67" s="1"/>
  <c r="AP65" i="67" s="1"/>
  <c r="AN42" i="67"/>
  <c r="AO42" i="67"/>
  <c r="AE42" i="67"/>
  <c r="AF42" i="67"/>
  <c r="J26" i="65"/>
  <c r="K26" i="65" s="1"/>
  <c r="M43" i="67"/>
  <c r="N43" i="67" s="1"/>
  <c r="L44" i="67" s="1"/>
  <c r="Q27" i="65"/>
  <c r="O28" i="65" s="1"/>
  <c r="P28" i="65" s="1"/>
  <c r="AB24" i="67"/>
  <c r="AC24" i="67" s="1"/>
  <c r="S29" i="67"/>
  <c r="T29" i="67"/>
  <c r="L26" i="65"/>
  <c r="M26" i="65" s="1"/>
  <c r="R28" i="65"/>
  <c r="S28" i="65" s="1"/>
  <c r="E9" i="52"/>
  <c r="N9" i="53"/>
  <c r="O12" i="43"/>
  <c r="O14" i="51"/>
  <c r="O9" i="53"/>
  <c r="I29" i="49"/>
  <c r="I33" i="49" s="1"/>
  <c r="N14" i="51"/>
  <c r="H14" i="96" s="1"/>
  <c r="G17" i="50"/>
  <c r="G17" i="95" s="1"/>
  <c r="H17" i="50"/>
  <c r="O17" i="50"/>
  <c r="I17" i="95" s="1"/>
  <c r="L17" i="51"/>
  <c r="F17" i="50"/>
  <c r="F17" i="95" s="1"/>
  <c r="I17" i="50"/>
  <c r="L9" i="52"/>
  <c r="L10" i="52" s="1"/>
  <c r="L16" i="52" s="1"/>
  <c r="K9" i="53"/>
  <c r="K10" i="53" s="1"/>
  <c r="K16" i="53" s="1"/>
  <c r="L17" i="50"/>
  <c r="K17" i="50"/>
  <c r="M29" i="49"/>
  <c r="M33" i="49" s="1"/>
  <c r="C32" i="58"/>
  <c r="C28" i="58"/>
  <c r="C24" i="58"/>
  <c r="C31" i="58"/>
  <c r="C27" i="58"/>
  <c r="C23" i="58"/>
  <c r="C30" i="58"/>
  <c r="C26" i="58"/>
  <c r="C22" i="58"/>
  <c r="C33" i="58"/>
  <c r="C29" i="58"/>
  <c r="C25" i="58"/>
  <c r="I14" i="51"/>
  <c r="I16" i="51"/>
  <c r="N22" i="50"/>
  <c r="E22" i="50"/>
  <c r="F27" i="50"/>
  <c r="I27" i="50"/>
  <c r="I28" i="50" s="1"/>
  <c r="G22" i="50"/>
  <c r="J22" i="50"/>
  <c r="J23" i="50" s="1"/>
  <c r="J24" i="50" s="1"/>
  <c r="J25" i="50" s="1"/>
  <c r="G27" i="50"/>
  <c r="L22" i="50"/>
  <c r="L23" i="50" s="1"/>
  <c r="L24" i="50" s="1"/>
  <c r="L25" i="50" s="1"/>
  <c r="L27" i="50"/>
  <c r="L28" i="50" s="1"/>
  <c r="F22" i="50"/>
  <c r="M22" i="50"/>
  <c r="M23" i="50" s="1"/>
  <c r="M24" i="50" s="1"/>
  <c r="M25" i="50" s="1"/>
  <c r="E27" i="50"/>
  <c r="N27" i="50"/>
  <c r="H22" i="50"/>
  <c r="H23" i="50" s="1"/>
  <c r="H24" i="50" s="1"/>
  <c r="H25" i="50" s="1"/>
  <c r="O22" i="50"/>
  <c r="H27" i="50"/>
  <c r="H28" i="50" s="1"/>
  <c r="O27" i="50"/>
  <c r="I22" i="50"/>
  <c r="I23" i="50" s="1"/>
  <c r="I24" i="50" s="1"/>
  <c r="I25" i="50" s="1"/>
  <c r="J27" i="50"/>
  <c r="J28" i="50" s="1"/>
  <c r="M27" i="50"/>
  <c r="M28" i="50" s="1"/>
  <c r="K22" i="50"/>
  <c r="K23" i="50" s="1"/>
  <c r="K24" i="50" s="1"/>
  <c r="K25" i="50" s="1"/>
  <c r="K27" i="50"/>
  <c r="K28" i="50" s="1"/>
  <c r="H9" i="53"/>
  <c r="H10" i="53" s="1"/>
  <c r="I9" i="53"/>
  <c r="I10" i="53" s="1"/>
  <c r="M9" i="53"/>
  <c r="M10" i="53" s="1"/>
  <c r="H9" i="52"/>
  <c r="H10" i="52" s="1"/>
  <c r="H29" i="49"/>
  <c r="H33" i="49" s="1"/>
  <c r="K29" i="49"/>
  <c r="K33" i="49" s="1"/>
  <c r="C44" i="58"/>
  <c r="C40" i="58"/>
  <c r="C36" i="58"/>
  <c r="C43" i="58"/>
  <c r="C39" i="58"/>
  <c r="C35" i="58"/>
  <c r="C42" i="58"/>
  <c r="C38" i="58"/>
  <c r="C34" i="58"/>
  <c r="C45" i="58"/>
  <c r="C41" i="58"/>
  <c r="C37" i="58"/>
  <c r="F16" i="51"/>
  <c r="F16" i="96" s="1"/>
  <c r="F14" i="51"/>
  <c r="F14" i="96" s="1"/>
  <c r="N12" i="45"/>
  <c r="J20" i="45"/>
  <c r="J25" i="45" s="1"/>
  <c r="L14" i="52"/>
  <c r="P16" i="50"/>
  <c r="J20" i="47"/>
  <c r="J25" i="47" s="1"/>
  <c r="C20" i="58"/>
  <c r="C16" i="58"/>
  <c r="C12" i="58"/>
  <c r="C19" i="58"/>
  <c r="C15" i="58"/>
  <c r="C11" i="58"/>
  <c r="C18" i="58"/>
  <c r="C14" i="58"/>
  <c r="C10" i="58"/>
  <c r="C21" i="58"/>
  <c r="C17" i="58"/>
  <c r="C13" i="58"/>
  <c r="E9" i="53"/>
  <c r="E9" i="98" s="1"/>
  <c r="M14" i="51"/>
  <c r="M16" i="51"/>
  <c r="M17" i="50"/>
  <c r="F19" i="26"/>
  <c r="F20" i="26" s="1"/>
  <c r="G24" i="44"/>
  <c r="G27" i="44"/>
  <c r="G9" i="52"/>
  <c r="M9" i="52"/>
  <c r="M10" i="52" s="1"/>
  <c r="I9" i="52"/>
  <c r="I10" i="52" s="1"/>
  <c r="F9" i="52"/>
  <c r="G19" i="26"/>
  <c r="G20" i="26" s="1"/>
  <c r="G27" i="46"/>
  <c r="G24" i="46"/>
  <c r="H14" i="51"/>
  <c r="H16" i="51"/>
  <c r="N20" i="47"/>
  <c r="N25" i="47" s="1"/>
  <c r="K9" i="52"/>
  <c r="K10" i="52" s="1"/>
  <c r="L29" i="49"/>
  <c r="L33" i="49" s="1"/>
  <c r="N17" i="50"/>
  <c r="H17" i="95" s="1"/>
  <c r="O9" i="52"/>
  <c r="K14" i="51"/>
  <c r="K16" i="51"/>
  <c r="F9" i="53"/>
  <c r="G16" i="51"/>
  <c r="G16" i="96" s="1"/>
  <c r="J9" i="53"/>
  <c r="J10" i="53" s="1"/>
  <c r="J9" i="52"/>
  <c r="J10" i="52" s="1"/>
  <c r="L9" i="53"/>
  <c r="L10" i="53" s="1"/>
  <c r="E17" i="50"/>
  <c r="E17" i="95" s="1"/>
  <c r="P14" i="50"/>
  <c r="J16" i="51"/>
  <c r="J14" i="51"/>
  <c r="G9" i="53"/>
  <c r="E10" i="51"/>
  <c r="E10" i="96" s="1"/>
  <c r="P9" i="51"/>
  <c r="N9" i="52"/>
  <c r="J29" i="49"/>
  <c r="J33" i="49" s="1"/>
  <c r="E56" i="59"/>
  <c r="G56" i="59" s="1"/>
  <c r="H56" i="59" s="1"/>
  <c r="I56" i="59" s="1"/>
  <c r="J56" i="59" s="1"/>
  <c r="K56" i="59" s="1"/>
  <c r="I69" i="58"/>
  <c r="I68" i="58"/>
  <c r="I67" i="58"/>
  <c r="I66" i="58"/>
  <c r="I65" i="58"/>
  <c r="I64" i="58"/>
  <c r="I63" i="58"/>
  <c r="I62" i="58"/>
  <c r="I61" i="58"/>
  <c r="I60" i="58"/>
  <c r="I59" i="58"/>
  <c r="I58" i="58"/>
  <c r="I20" i="58"/>
  <c r="I18" i="58"/>
  <c r="I16" i="58"/>
  <c r="I14" i="58"/>
  <c r="I12" i="58"/>
  <c r="I10" i="58"/>
  <c r="I21" i="58"/>
  <c r="I19" i="58"/>
  <c r="I17" i="58"/>
  <c r="I15" i="58"/>
  <c r="I13" i="58"/>
  <c r="I11" i="58"/>
  <c r="I45" i="58"/>
  <c r="I41" i="58"/>
  <c r="I37" i="58"/>
  <c r="I33" i="58"/>
  <c r="I32" i="58"/>
  <c r="I31" i="58"/>
  <c r="I30" i="58"/>
  <c r="I29" i="58"/>
  <c r="I28" i="58"/>
  <c r="I27" i="58"/>
  <c r="I26" i="58"/>
  <c r="I25" i="58"/>
  <c r="I24" i="58"/>
  <c r="I23" i="58"/>
  <c r="I22" i="58"/>
  <c r="E54" i="56"/>
  <c r="G54" i="56" s="1"/>
  <c r="H54" i="56" s="1"/>
  <c r="I54" i="56" s="1"/>
  <c r="J54" i="56" s="1"/>
  <c r="K54" i="56" s="1"/>
  <c r="O10" i="45"/>
  <c r="H8" i="100" s="1"/>
  <c r="O10" i="47"/>
  <c r="I8" i="100" s="1"/>
  <c r="I18" i="100" s="1"/>
  <c r="I23" i="100" s="1"/>
  <c r="O20" i="29"/>
  <c r="O25" i="29" s="1"/>
  <c r="O20" i="41"/>
  <c r="O25" i="41" s="1"/>
  <c r="J17" i="95" l="1"/>
  <c r="D11" i="99" s="1"/>
  <c r="G14" i="51"/>
  <c r="G14" i="96" s="1"/>
  <c r="P28" i="49"/>
  <c r="J16" i="95"/>
  <c r="D10" i="99" s="1"/>
  <c r="J9" i="96"/>
  <c r="G26" i="101"/>
  <c r="I44" i="58"/>
  <c r="G10" i="100"/>
  <c r="G18" i="100" s="1"/>
  <c r="G23" i="100" s="1"/>
  <c r="P17" i="49"/>
  <c r="N10" i="52"/>
  <c r="H10" i="97" s="1"/>
  <c r="H9" i="97"/>
  <c r="O10" i="52"/>
  <c r="I10" i="97" s="1"/>
  <c r="I9" i="97"/>
  <c r="O28" i="50"/>
  <c r="I28" i="95" s="1"/>
  <c r="I27" i="95"/>
  <c r="N28" i="50"/>
  <c r="H28" i="95" s="1"/>
  <c r="H27" i="95"/>
  <c r="G23" i="50"/>
  <c r="G22" i="95"/>
  <c r="N23" i="50"/>
  <c r="H22" i="95"/>
  <c r="I14" i="96"/>
  <c r="J28" i="94"/>
  <c r="C15" i="99" s="1"/>
  <c r="F10" i="53"/>
  <c r="F10" i="98" s="1"/>
  <c r="F9" i="98"/>
  <c r="G10" i="52"/>
  <c r="G10" i="97" s="1"/>
  <c r="G9" i="97"/>
  <c r="E28" i="50"/>
  <c r="E28" i="95" s="1"/>
  <c r="E27" i="95"/>
  <c r="E10" i="52"/>
  <c r="E10" i="97" s="1"/>
  <c r="E9" i="97"/>
  <c r="N16" i="51"/>
  <c r="H10" i="96"/>
  <c r="F24" i="49"/>
  <c r="F23" i="94"/>
  <c r="F10" i="52"/>
  <c r="F10" i="97" s="1"/>
  <c r="F9" i="97"/>
  <c r="O23" i="50"/>
  <c r="I22" i="95"/>
  <c r="G28" i="50"/>
  <c r="G28" i="95" s="1"/>
  <c r="G27" i="95"/>
  <c r="F28" i="50"/>
  <c r="F28" i="95" s="1"/>
  <c r="F27" i="95"/>
  <c r="O16" i="51"/>
  <c r="I16" i="96" s="1"/>
  <c r="I10" i="96"/>
  <c r="J10" i="96" s="1"/>
  <c r="G10" i="53"/>
  <c r="G10" i="98" s="1"/>
  <c r="G9" i="98"/>
  <c r="F23" i="50"/>
  <c r="F22" i="95"/>
  <c r="E23" i="50"/>
  <c r="E22" i="95"/>
  <c r="O10" i="53"/>
  <c r="I9" i="98"/>
  <c r="N10" i="53"/>
  <c r="H9" i="98"/>
  <c r="G24" i="49"/>
  <c r="G23" i="94"/>
  <c r="O24" i="49"/>
  <c r="I23" i="94"/>
  <c r="E24" i="49"/>
  <c r="E23" i="94"/>
  <c r="N24" i="49"/>
  <c r="H23" i="94"/>
  <c r="L29" i="50"/>
  <c r="L33" i="50" s="1"/>
  <c r="M29" i="50"/>
  <c r="M33" i="50" s="1"/>
  <c r="I34" i="58"/>
  <c r="I42" i="58"/>
  <c r="I38" i="58"/>
  <c r="I35" i="58"/>
  <c r="I39" i="58"/>
  <c r="I43" i="58"/>
  <c r="O20" i="43"/>
  <c r="O25" i="43" s="1"/>
  <c r="E22" i="26" s="1"/>
  <c r="E24" i="26" s="1"/>
  <c r="I36" i="58"/>
  <c r="I40" i="58"/>
  <c r="BN29" i="67"/>
  <c r="BQ29" i="67" s="1"/>
  <c r="D19" i="74"/>
  <c r="D20" i="74" s="1"/>
  <c r="D21" i="74" s="1"/>
  <c r="M20" i="71"/>
  <c r="N20" i="71" s="1"/>
  <c r="AE24" i="65"/>
  <c r="I25" i="71"/>
  <c r="BI23" i="67"/>
  <c r="L31" i="56"/>
  <c r="M31" i="56" s="1"/>
  <c r="P31" i="56" s="1"/>
  <c r="G35" i="67"/>
  <c r="H35" i="67" s="1"/>
  <c r="F36" i="67" s="1"/>
  <c r="AA19" i="65"/>
  <c r="AB19" i="65" s="1"/>
  <c r="AJ19" i="65"/>
  <c r="AH19" i="65"/>
  <c r="AI20" i="65"/>
  <c r="G25" i="65"/>
  <c r="H25" i="65" s="1"/>
  <c r="AC25" i="65"/>
  <c r="H26" i="71" s="1"/>
  <c r="AG26" i="71" s="1"/>
  <c r="Y20" i="78" s="1"/>
  <c r="AI20" i="54"/>
  <c r="AK20" i="54" s="1"/>
  <c r="H19" i="70" s="1"/>
  <c r="S16" i="78" s="1"/>
  <c r="BP29" i="67"/>
  <c r="I40" i="67"/>
  <c r="BB29" i="67"/>
  <c r="C30" i="67"/>
  <c r="E59" i="69"/>
  <c r="G59" i="69" s="1"/>
  <c r="H59" i="69" s="1"/>
  <c r="I59" i="69" s="1"/>
  <c r="J59" i="69" s="1"/>
  <c r="K59" i="69" s="1"/>
  <c r="H51" i="73"/>
  <c r="H29" i="50"/>
  <c r="H33" i="50" s="1"/>
  <c r="K14" i="53"/>
  <c r="K17" i="53" s="1"/>
  <c r="I29" i="50"/>
  <c r="I33" i="50" s="1"/>
  <c r="BD24" i="67"/>
  <c r="BE24" i="67" s="1"/>
  <c r="BG24" i="67"/>
  <c r="BT24" i="67" s="1"/>
  <c r="BC28" i="67"/>
  <c r="Y28" i="67"/>
  <c r="BF28" i="67"/>
  <c r="BS28" i="67" s="1"/>
  <c r="Z28" i="67"/>
  <c r="V20" i="65"/>
  <c r="Y20" i="65"/>
  <c r="D20" i="65"/>
  <c r="AT44" i="67"/>
  <c r="AU44" i="67"/>
  <c r="AO43" i="67"/>
  <c r="AN43" i="67"/>
  <c r="AK66" i="67"/>
  <c r="AL66" i="67" s="1"/>
  <c r="AJ67" i="67" s="1"/>
  <c r="AQ65" i="67"/>
  <c r="AR65" i="67" s="1"/>
  <c r="AP66" i="67" s="1"/>
  <c r="AF43" i="67"/>
  <c r="AD44" i="67" s="1"/>
  <c r="AE43" i="67"/>
  <c r="M44" i="67"/>
  <c r="N44" i="67" s="1"/>
  <c r="L45" i="67" s="1"/>
  <c r="T28" i="65"/>
  <c r="Q28" i="65"/>
  <c r="N26" i="65"/>
  <c r="I27" i="65"/>
  <c r="R30" i="67"/>
  <c r="K29" i="50"/>
  <c r="K33" i="50" s="1"/>
  <c r="M17" i="51"/>
  <c r="H17" i="51"/>
  <c r="L17" i="52"/>
  <c r="F17" i="51"/>
  <c r="F17" i="96" s="1"/>
  <c r="I17" i="51"/>
  <c r="G14" i="53"/>
  <c r="G14" i="98" s="1"/>
  <c r="G16" i="53"/>
  <c r="G16" i="98" s="1"/>
  <c r="P17" i="50"/>
  <c r="K17" i="51"/>
  <c r="K14" i="52"/>
  <c r="K16" i="52"/>
  <c r="I16" i="52"/>
  <c r="I14" i="52"/>
  <c r="M16" i="53"/>
  <c r="M14" i="53"/>
  <c r="J29" i="50"/>
  <c r="J33" i="50" s="1"/>
  <c r="N14" i="52"/>
  <c r="H14" i="97" s="1"/>
  <c r="N16" i="52"/>
  <c r="H16" i="97" s="1"/>
  <c r="J17" i="51"/>
  <c r="L14" i="53"/>
  <c r="L16" i="53"/>
  <c r="G17" i="51"/>
  <c r="G17" i="96" s="1"/>
  <c r="M16" i="52"/>
  <c r="M14" i="52"/>
  <c r="E10" i="53"/>
  <c r="E10" i="98" s="1"/>
  <c r="P9" i="53"/>
  <c r="N20" i="45"/>
  <c r="N25" i="45" s="1"/>
  <c r="O12" i="45"/>
  <c r="I16" i="53"/>
  <c r="I14" i="53"/>
  <c r="C68" i="58"/>
  <c r="C64" i="58"/>
  <c r="C60" i="58"/>
  <c r="C67" i="58"/>
  <c r="C63" i="58"/>
  <c r="C59" i="58"/>
  <c r="C66" i="58"/>
  <c r="C62" i="58"/>
  <c r="C58" i="58"/>
  <c r="C69" i="58"/>
  <c r="C65" i="58"/>
  <c r="C61" i="58"/>
  <c r="J16" i="52"/>
  <c r="J14" i="52"/>
  <c r="G16" i="52"/>
  <c r="G16" i="97" s="1"/>
  <c r="G14" i="52"/>
  <c r="G14" i="97" s="1"/>
  <c r="H16" i="53"/>
  <c r="H14" i="53"/>
  <c r="P9" i="52"/>
  <c r="C56" i="58"/>
  <c r="C52" i="58"/>
  <c r="C48" i="58"/>
  <c r="C55" i="58"/>
  <c r="C51" i="58"/>
  <c r="C47" i="58"/>
  <c r="C54" i="58"/>
  <c r="C50" i="58"/>
  <c r="C46" i="58"/>
  <c r="C57" i="58"/>
  <c r="C53" i="58"/>
  <c r="C49" i="58"/>
  <c r="E14" i="51"/>
  <c r="E14" i="96" s="1"/>
  <c r="J14" i="96" s="1"/>
  <c r="E9" i="99" s="1"/>
  <c r="E16" i="51"/>
  <c r="P10" i="51"/>
  <c r="J14" i="53"/>
  <c r="J16" i="53"/>
  <c r="H16" i="52"/>
  <c r="H14" i="52"/>
  <c r="E14" i="52"/>
  <c r="E14" i="97" s="1"/>
  <c r="E16" i="52"/>
  <c r="E16" i="97" s="1"/>
  <c r="P10" i="52"/>
  <c r="E57" i="59"/>
  <c r="G57" i="59" s="1"/>
  <c r="H57" i="59" s="1"/>
  <c r="I57" i="59" s="1"/>
  <c r="J57" i="59" s="1"/>
  <c r="K57" i="59" s="1"/>
  <c r="O20" i="47"/>
  <c r="O25" i="47" s="1"/>
  <c r="P25" i="47" s="1"/>
  <c r="P25" i="41"/>
  <c r="C22" i="26"/>
  <c r="C24" i="26" s="1"/>
  <c r="P25" i="29"/>
  <c r="E55" i="56"/>
  <c r="G55" i="56" s="1"/>
  <c r="H55" i="56" s="1"/>
  <c r="I55" i="56" s="1"/>
  <c r="J55" i="56" s="1"/>
  <c r="K55" i="56" s="1"/>
  <c r="D22" i="26"/>
  <c r="D24" i="26" s="1"/>
  <c r="F16" i="52" l="1"/>
  <c r="F16" i="97" s="1"/>
  <c r="P28" i="50"/>
  <c r="F14" i="52"/>
  <c r="F14" i="97" s="1"/>
  <c r="F14" i="53"/>
  <c r="F14" i="98" s="1"/>
  <c r="O16" i="52"/>
  <c r="I16" i="97" s="1"/>
  <c r="F16" i="53"/>
  <c r="F16" i="98" s="1"/>
  <c r="O14" i="52"/>
  <c r="I14" i="97" s="1"/>
  <c r="O20" i="45"/>
  <c r="O25" i="45" s="1"/>
  <c r="F22" i="26" s="1"/>
  <c r="F24" i="26" s="1"/>
  <c r="H10" i="100"/>
  <c r="H18" i="100" s="1"/>
  <c r="H23" i="100" s="1"/>
  <c r="J10" i="97"/>
  <c r="J14" i="97"/>
  <c r="F9" i="99" s="1"/>
  <c r="J9" i="98"/>
  <c r="P16" i="51"/>
  <c r="E16" i="96"/>
  <c r="N25" i="49"/>
  <c r="H24" i="94"/>
  <c r="O25" i="49"/>
  <c r="I24" i="94"/>
  <c r="N14" i="53"/>
  <c r="H10" i="98"/>
  <c r="N16" i="53"/>
  <c r="H16" i="98" s="1"/>
  <c r="E24" i="50"/>
  <c r="E23" i="95"/>
  <c r="O24" i="50"/>
  <c r="I23" i="95"/>
  <c r="J9" i="97"/>
  <c r="N24" i="50"/>
  <c r="H23" i="95"/>
  <c r="F25" i="49"/>
  <c r="F24" i="94"/>
  <c r="E25" i="49"/>
  <c r="E24" i="94"/>
  <c r="P24" i="49"/>
  <c r="G25" i="49"/>
  <c r="G24" i="94"/>
  <c r="O14" i="53"/>
  <c r="I10" i="98"/>
  <c r="O16" i="53"/>
  <c r="I16" i="98" s="1"/>
  <c r="F24" i="50"/>
  <c r="F23" i="95"/>
  <c r="O17" i="51"/>
  <c r="I17" i="96" s="1"/>
  <c r="G24" i="50"/>
  <c r="G23" i="95"/>
  <c r="H16" i="96"/>
  <c r="N17" i="51"/>
  <c r="H17" i="96" s="1"/>
  <c r="J28" i="95"/>
  <c r="D15" i="99" s="1"/>
  <c r="P25" i="43"/>
  <c r="BM30" i="67"/>
  <c r="AG47" i="58"/>
  <c r="S46" i="54" s="1"/>
  <c r="F45" i="70" s="1"/>
  <c r="N31" i="56"/>
  <c r="Q31" i="56" s="1"/>
  <c r="R24" i="71"/>
  <c r="C32" i="56"/>
  <c r="G36" i="67"/>
  <c r="H36" i="67" s="1"/>
  <c r="F37" i="67" s="1"/>
  <c r="F26" i="65"/>
  <c r="AD25" i="65"/>
  <c r="AL20" i="65"/>
  <c r="AM19" i="65"/>
  <c r="AK19" i="65"/>
  <c r="AN19" i="65" s="1"/>
  <c r="BR29" i="67"/>
  <c r="D30" i="67"/>
  <c r="E30" i="67" s="1"/>
  <c r="BN30" i="67" s="1"/>
  <c r="J40" i="67"/>
  <c r="K40" i="67" s="1"/>
  <c r="AJ30" i="54"/>
  <c r="BO29" i="67"/>
  <c r="BH24" i="67"/>
  <c r="BU24" i="67" s="1"/>
  <c r="E60" i="69"/>
  <c r="G60" i="69" s="1"/>
  <c r="H60" i="69" s="1"/>
  <c r="I60" i="69" s="1"/>
  <c r="J60" i="69" s="1"/>
  <c r="K60" i="69" s="1"/>
  <c r="H52" i="73"/>
  <c r="X29" i="67"/>
  <c r="E20" i="65"/>
  <c r="AQ66" i="67"/>
  <c r="AR66" i="67" s="1"/>
  <c r="AP67" i="67" s="1"/>
  <c r="AT45" i="67"/>
  <c r="AU45" i="67"/>
  <c r="AO44" i="67"/>
  <c r="AN44" i="67"/>
  <c r="AK67" i="67"/>
  <c r="AL67" i="67" s="1"/>
  <c r="AL69" i="67" s="1"/>
  <c r="AE44" i="67"/>
  <c r="AF44" i="67" s="1"/>
  <c r="AD45" i="67" s="1"/>
  <c r="J27" i="65"/>
  <c r="K27" i="65" s="1"/>
  <c r="I28" i="65" s="1"/>
  <c r="M45" i="67"/>
  <c r="N45" i="67" s="1"/>
  <c r="L46" i="67" s="1"/>
  <c r="L27" i="65"/>
  <c r="M27" i="65" s="1"/>
  <c r="AB25" i="67"/>
  <c r="AC25" i="67" s="1"/>
  <c r="S30" i="67"/>
  <c r="T31" i="67"/>
  <c r="BK31" i="67" s="1"/>
  <c r="T30" i="67"/>
  <c r="P32" i="67"/>
  <c r="Q32" i="67" s="1"/>
  <c r="R29" i="65"/>
  <c r="S29" i="65" s="1"/>
  <c r="V31" i="67"/>
  <c r="O29" i="65"/>
  <c r="P29" i="65" s="1"/>
  <c r="P25" i="45"/>
  <c r="M17" i="53"/>
  <c r="J17" i="53"/>
  <c r="K17" i="52"/>
  <c r="F17" i="53"/>
  <c r="F17" i="98" s="1"/>
  <c r="G22" i="26"/>
  <c r="G24" i="26" s="1"/>
  <c r="H17" i="53"/>
  <c r="G17" i="52"/>
  <c r="G17" i="97" s="1"/>
  <c r="J17" i="52"/>
  <c r="N17" i="52"/>
  <c r="H17" i="97" s="1"/>
  <c r="N27" i="52"/>
  <c r="M22" i="52"/>
  <c r="M23" i="52" s="1"/>
  <c r="M24" i="52" s="1"/>
  <c r="M25" i="52" s="1"/>
  <c r="L22" i="52"/>
  <c r="L23" i="52" s="1"/>
  <c r="L24" i="52" s="1"/>
  <c r="L25" i="52" s="1"/>
  <c r="M27" i="52"/>
  <c r="M28" i="52" s="1"/>
  <c r="G27" i="52"/>
  <c r="F27" i="52"/>
  <c r="H27" i="52"/>
  <c r="H28" i="52" s="1"/>
  <c r="F22" i="52"/>
  <c r="K27" i="52"/>
  <c r="K28" i="52" s="1"/>
  <c r="J22" i="52"/>
  <c r="J23" i="52" s="1"/>
  <c r="J24" i="52" s="1"/>
  <c r="J25" i="52" s="1"/>
  <c r="O22" i="52"/>
  <c r="J27" i="52"/>
  <c r="J28" i="52" s="1"/>
  <c r="L27" i="52"/>
  <c r="L28" i="52" s="1"/>
  <c r="E22" i="52"/>
  <c r="K22" i="52"/>
  <c r="K23" i="52" s="1"/>
  <c r="K24" i="52" s="1"/>
  <c r="K25" i="52" s="1"/>
  <c r="G22" i="52"/>
  <c r="I22" i="52"/>
  <c r="I23" i="52" s="1"/>
  <c r="I24" i="52" s="1"/>
  <c r="I25" i="52" s="1"/>
  <c r="H22" i="52"/>
  <c r="H23" i="52" s="1"/>
  <c r="H24" i="52" s="1"/>
  <c r="H25" i="52" s="1"/>
  <c r="E27" i="52"/>
  <c r="N22" i="52"/>
  <c r="I27" i="52"/>
  <c r="I28" i="52" s="1"/>
  <c r="O27" i="52"/>
  <c r="E17" i="52"/>
  <c r="E17" i="97" s="1"/>
  <c r="P16" i="52"/>
  <c r="F17" i="52"/>
  <c r="F17" i="97" s="1"/>
  <c r="L22" i="51"/>
  <c r="L23" i="51" s="1"/>
  <c r="L24" i="51" s="1"/>
  <c r="L25" i="51" s="1"/>
  <c r="I27" i="51"/>
  <c r="I28" i="51" s="1"/>
  <c r="J22" i="51"/>
  <c r="J23" i="51" s="1"/>
  <c r="J24" i="51" s="1"/>
  <c r="J25" i="51" s="1"/>
  <c r="G22" i="51"/>
  <c r="H27" i="51"/>
  <c r="H28" i="51" s="1"/>
  <c r="F27" i="51"/>
  <c r="K22" i="51"/>
  <c r="K23" i="51" s="1"/>
  <c r="K24" i="51" s="1"/>
  <c r="K25" i="51" s="1"/>
  <c r="F22" i="51"/>
  <c r="H22" i="51"/>
  <c r="H23" i="51" s="1"/>
  <c r="H24" i="51" s="1"/>
  <c r="H25" i="51" s="1"/>
  <c r="H29" i="51" s="1"/>
  <c r="H33" i="51" s="1"/>
  <c r="O27" i="51"/>
  <c r="E22" i="51"/>
  <c r="L27" i="51"/>
  <c r="L28" i="51" s="1"/>
  <c r="M27" i="51"/>
  <c r="M28" i="51" s="1"/>
  <c r="G27" i="51"/>
  <c r="O22" i="51"/>
  <c r="K27" i="51"/>
  <c r="K28" i="51" s="1"/>
  <c r="J27" i="51"/>
  <c r="J28" i="51" s="1"/>
  <c r="E27" i="51"/>
  <c r="I22" i="51"/>
  <c r="I23" i="51" s="1"/>
  <c r="I24" i="51" s="1"/>
  <c r="I25" i="51" s="1"/>
  <c r="N27" i="51"/>
  <c r="N22" i="51"/>
  <c r="M22" i="51"/>
  <c r="M23" i="51" s="1"/>
  <c r="M24" i="51" s="1"/>
  <c r="M25" i="51" s="1"/>
  <c r="I57" i="58"/>
  <c r="I53" i="58"/>
  <c r="I49" i="58"/>
  <c r="I56" i="58"/>
  <c r="I52" i="58"/>
  <c r="I48" i="58"/>
  <c r="I55" i="58"/>
  <c r="I51" i="58"/>
  <c r="I47" i="58"/>
  <c r="I54" i="58"/>
  <c r="I50" i="58"/>
  <c r="I46" i="58"/>
  <c r="L17" i="53"/>
  <c r="I17" i="52"/>
  <c r="G17" i="53"/>
  <c r="G17" i="98" s="1"/>
  <c r="E14" i="53"/>
  <c r="E16" i="53"/>
  <c r="E16" i="98" s="1"/>
  <c r="J16" i="98" s="1"/>
  <c r="G10" i="99" s="1"/>
  <c r="P10" i="53"/>
  <c r="H17" i="52"/>
  <c r="P14" i="51"/>
  <c r="E17" i="51"/>
  <c r="E17" i="96" s="1"/>
  <c r="I17" i="53"/>
  <c r="M17" i="52"/>
  <c r="E58" i="59"/>
  <c r="G58" i="59" s="1"/>
  <c r="H58" i="59" s="1"/>
  <c r="I58" i="59" s="1"/>
  <c r="J58" i="59" s="1"/>
  <c r="K58" i="59" s="1"/>
  <c r="E56" i="56"/>
  <c r="G56" i="56" s="1"/>
  <c r="H56" i="56" s="1"/>
  <c r="I56" i="56" s="1"/>
  <c r="J56" i="56" s="1"/>
  <c r="K56" i="56" s="1"/>
  <c r="J16" i="97" l="1"/>
  <c r="F10" i="99" s="1"/>
  <c r="O17" i="52"/>
  <c r="I17" i="97" s="1"/>
  <c r="P14" i="52"/>
  <c r="J24" i="94"/>
  <c r="C13" i="99" s="1"/>
  <c r="J17" i="97"/>
  <c r="F11" i="99" s="1"/>
  <c r="J17" i="96"/>
  <c r="E11" i="99" s="1"/>
  <c r="J10" i="98"/>
  <c r="N23" i="51"/>
  <c r="H22" i="96"/>
  <c r="E28" i="52"/>
  <c r="E28" i="97" s="1"/>
  <c r="E27" i="97"/>
  <c r="O23" i="52"/>
  <c r="I22" i="97"/>
  <c r="F25" i="50"/>
  <c r="F24" i="95"/>
  <c r="E25" i="94"/>
  <c r="P25" i="49"/>
  <c r="E29" i="49"/>
  <c r="O25" i="50"/>
  <c r="I24" i="95"/>
  <c r="P14" i="53"/>
  <c r="E14" i="98"/>
  <c r="N28" i="51"/>
  <c r="H28" i="96" s="1"/>
  <c r="H27" i="96"/>
  <c r="F23" i="51"/>
  <c r="F22" i="96"/>
  <c r="G23" i="51"/>
  <c r="G22" i="96"/>
  <c r="O28" i="52"/>
  <c r="I28" i="97" s="1"/>
  <c r="I27" i="97"/>
  <c r="E23" i="52"/>
  <c r="E22" i="97"/>
  <c r="F28" i="52"/>
  <c r="F28" i="97" s="1"/>
  <c r="F27" i="97"/>
  <c r="G25" i="50"/>
  <c r="G24" i="95"/>
  <c r="G25" i="94"/>
  <c r="G29" i="49"/>
  <c r="N25" i="50"/>
  <c r="H24" i="95"/>
  <c r="H14" i="98"/>
  <c r="N17" i="53"/>
  <c r="H17" i="98" s="1"/>
  <c r="N29" i="49"/>
  <c r="H25" i="94"/>
  <c r="O23" i="51"/>
  <c r="I22" i="96"/>
  <c r="E23" i="51"/>
  <c r="E22" i="96"/>
  <c r="G28" i="52"/>
  <c r="G28" i="97" s="1"/>
  <c r="G27" i="97"/>
  <c r="N28" i="52"/>
  <c r="H28" i="97" s="1"/>
  <c r="H27" i="97"/>
  <c r="F25" i="94"/>
  <c r="F29" i="49"/>
  <c r="E24" i="95"/>
  <c r="E25" i="50"/>
  <c r="P24" i="50"/>
  <c r="J16" i="96"/>
  <c r="E10" i="99" s="1"/>
  <c r="E28" i="51"/>
  <c r="E28" i="96" s="1"/>
  <c r="E27" i="96"/>
  <c r="G28" i="51"/>
  <c r="G28" i="96" s="1"/>
  <c r="G27" i="96"/>
  <c r="O28" i="51"/>
  <c r="I28" i="96" s="1"/>
  <c r="I27" i="96"/>
  <c r="F28" i="51"/>
  <c r="F28" i="96" s="1"/>
  <c r="F27" i="96"/>
  <c r="N23" i="52"/>
  <c r="H22" i="97"/>
  <c r="G23" i="52"/>
  <c r="G22" i="97"/>
  <c r="F23" i="52"/>
  <c r="F22" i="97"/>
  <c r="I14" i="98"/>
  <c r="O17" i="53"/>
  <c r="I17" i="98" s="1"/>
  <c r="I25" i="94"/>
  <c r="O29" i="49"/>
  <c r="J29" i="52"/>
  <c r="J33" i="52" s="1"/>
  <c r="AE25" i="65"/>
  <c r="I26" i="71"/>
  <c r="BI24" i="67"/>
  <c r="L32" i="56"/>
  <c r="M32" i="56" s="1"/>
  <c r="P32" i="56" s="1"/>
  <c r="G37" i="67"/>
  <c r="H37" i="67" s="1"/>
  <c r="Z20" i="65"/>
  <c r="J21" i="71" s="1"/>
  <c r="AG20" i="65"/>
  <c r="L21" i="71" s="1"/>
  <c r="M21" i="71" s="1"/>
  <c r="G26" i="65"/>
  <c r="AC26" i="65"/>
  <c r="H27" i="71" s="1"/>
  <c r="AG27" i="71" s="1"/>
  <c r="Z20" i="78" s="1"/>
  <c r="H26" i="65"/>
  <c r="AD26" i="65" s="1"/>
  <c r="I27" i="71" s="1"/>
  <c r="BB30" i="67"/>
  <c r="BQ30" i="67"/>
  <c r="C31" i="67"/>
  <c r="BM31" i="67" s="1"/>
  <c r="BO30" i="67"/>
  <c r="BP30" i="67"/>
  <c r="I41" i="67"/>
  <c r="E61" i="69"/>
  <c r="G61" i="69" s="1"/>
  <c r="H61" i="69" s="1"/>
  <c r="I61" i="69" s="1"/>
  <c r="J61" i="69" s="1"/>
  <c r="K61" i="69" s="1"/>
  <c r="H53" i="73"/>
  <c r="K29" i="52"/>
  <c r="K33" i="52" s="1"/>
  <c r="J29" i="51"/>
  <c r="J33" i="51" s="1"/>
  <c r="O33" i="67"/>
  <c r="Z29" i="67"/>
  <c r="BC29" i="67"/>
  <c r="BF29" i="67"/>
  <c r="BS29" i="67" s="1"/>
  <c r="Y29" i="67"/>
  <c r="X30" i="67"/>
  <c r="S31" i="67"/>
  <c r="BD25" i="67"/>
  <c r="BE25" i="67" s="1"/>
  <c r="BG25" i="67"/>
  <c r="BT25" i="67" s="1"/>
  <c r="BF30" i="67"/>
  <c r="W20" i="65"/>
  <c r="X20" i="65" s="1"/>
  <c r="U20" i="65"/>
  <c r="C21" i="65"/>
  <c r="AF21" i="65" s="1"/>
  <c r="K22" i="71" s="1"/>
  <c r="AH22" i="71" s="1"/>
  <c r="U21" i="78" s="1"/>
  <c r="AU46" i="67"/>
  <c r="AT46" i="67"/>
  <c r="AO45" i="67"/>
  <c r="AN45" i="67"/>
  <c r="AQ67" i="67"/>
  <c r="AR67" i="67" s="1"/>
  <c r="AR69" i="67" s="1"/>
  <c r="AE45" i="67"/>
  <c r="AF45" i="67" s="1"/>
  <c r="AD46" i="67" s="1"/>
  <c r="J28" i="65"/>
  <c r="K28" i="65" s="1"/>
  <c r="M46" i="67"/>
  <c r="N46" i="67" s="1"/>
  <c r="L47" i="67" s="1"/>
  <c r="T29" i="65"/>
  <c r="R30" i="65" s="1"/>
  <c r="S30" i="65" s="1"/>
  <c r="Q29" i="65"/>
  <c r="O30" i="65" s="1"/>
  <c r="P30" i="65" s="1"/>
  <c r="N27" i="65"/>
  <c r="Z31" i="67"/>
  <c r="R32" i="67"/>
  <c r="I29" i="51"/>
  <c r="I33" i="51" s="1"/>
  <c r="P17" i="51"/>
  <c r="P17" i="52"/>
  <c r="H29" i="52"/>
  <c r="H33" i="52" s="1"/>
  <c r="J27" i="53"/>
  <c r="J28" i="53" s="1"/>
  <c r="G27" i="53"/>
  <c r="K27" i="53"/>
  <c r="K28" i="53" s="1"/>
  <c r="H27" i="53"/>
  <c r="H28" i="53" s="1"/>
  <c r="N22" i="53"/>
  <c r="L27" i="53"/>
  <c r="L28" i="53" s="1"/>
  <c r="M27" i="53"/>
  <c r="M28" i="53" s="1"/>
  <c r="O22" i="53"/>
  <c r="E27" i="53"/>
  <c r="L22" i="53"/>
  <c r="L23" i="53" s="1"/>
  <c r="L24" i="53" s="1"/>
  <c r="L25" i="53" s="1"/>
  <c r="G22" i="53"/>
  <c r="I27" i="53"/>
  <c r="I28" i="53" s="1"/>
  <c r="J22" i="53"/>
  <c r="J23" i="53" s="1"/>
  <c r="J24" i="53" s="1"/>
  <c r="J25" i="53" s="1"/>
  <c r="I22" i="53"/>
  <c r="I23" i="53" s="1"/>
  <c r="I24" i="53" s="1"/>
  <c r="I25" i="53" s="1"/>
  <c r="F27" i="53"/>
  <c r="M22" i="53"/>
  <c r="M23" i="53" s="1"/>
  <c r="M24" i="53" s="1"/>
  <c r="M25" i="53" s="1"/>
  <c r="N27" i="53"/>
  <c r="H22" i="53"/>
  <c r="H23" i="53" s="1"/>
  <c r="H24" i="53" s="1"/>
  <c r="H25" i="53" s="1"/>
  <c r="O27" i="53"/>
  <c r="E22" i="53"/>
  <c r="F22" i="53"/>
  <c r="K22" i="53"/>
  <c r="K23" i="53" s="1"/>
  <c r="K24" i="53" s="1"/>
  <c r="K25" i="53" s="1"/>
  <c r="L29" i="51"/>
  <c r="L33" i="51" s="1"/>
  <c r="I29" i="52"/>
  <c r="I33" i="52" s="1"/>
  <c r="E17" i="53"/>
  <c r="P16" i="53"/>
  <c r="K29" i="51"/>
  <c r="K33" i="51" s="1"/>
  <c r="M29" i="52"/>
  <c r="M33" i="52" s="1"/>
  <c r="M29" i="51"/>
  <c r="M33" i="51" s="1"/>
  <c r="P28" i="51"/>
  <c r="L29" i="52"/>
  <c r="L33" i="52" s="1"/>
  <c r="E59" i="59"/>
  <c r="G59" i="59" s="1"/>
  <c r="H59" i="59" s="1"/>
  <c r="I59" i="59" s="1"/>
  <c r="J59" i="59" s="1"/>
  <c r="K59" i="59" s="1"/>
  <c r="E57" i="56"/>
  <c r="G57" i="56" s="1"/>
  <c r="H57" i="56" s="1"/>
  <c r="I57" i="56" s="1"/>
  <c r="J57" i="56" s="1"/>
  <c r="K57" i="56" s="1"/>
  <c r="P28" i="52" l="1"/>
  <c r="J24" i="95"/>
  <c r="D13" i="99" s="1"/>
  <c r="F24" i="52"/>
  <c r="F23" i="97"/>
  <c r="N24" i="52"/>
  <c r="H23" i="97"/>
  <c r="J28" i="96"/>
  <c r="E15" i="99" s="1"/>
  <c r="E24" i="51"/>
  <c r="E23" i="96"/>
  <c r="N33" i="49"/>
  <c r="H29" i="94"/>
  <c r="H25" i="95"/>
  <c r="N29" i="50"/>
  <c r="G25" i="95"/>
  <c r="G29" i="50"/>
  <c r="E24" i="52"/>
  <c r="E23" i="97"/>
  <c r="G24" i="51"/>
  <c r="G23" i="96"/>
  <c r="I25" i="95"/>
  <c r="O29" i="50"/>
  <c r="F23" i="53"/>
  <c r="F22" i="98"/>
  <c r="N28" i="53"/>
  <c r="H28" i="98" s="1"/>
  <c r="H27" i="98"/>
  <c r="E23" i="53"/>
  <c r="E22" i="98"/>
  <c r="O23" i="53"/>
  <c r="I22" i="98"/>
  <c r="F33" i="49"/>
  <c r="F33" i="94" s="1"/>
  <c r="F29" i="94"/>
  <c r="G33" i="49"/>
  <c r="G29" i="94"/>
  <c r="J14" i="98"/>
  <c r="G9" i="99" s="1"/>
  <c r="E29" i="94"/>
  <c r="E33" i="49"/>
  <c r="P29" i="49"/>
  <c r="F25" i="95"/>
  <c r="F29" i="50"/>
  <c r="J28" i="97"/>
  <c r="F15" i="99" s="1"/>
  <c r="P17" i="53"/>
  <c r="E17" i="98"/>
  <c r="J17" i="98" s="1"/>
  <c r="G11" i="99" s="1"/>
  <c r="E28" i="53"/>
  <c r="E28" i="98" s="1"/>
  <c r="E27" i="98"/>
  <c r="N23" i="53"/>
  <c r="H22" i="98"/>
  <c r="O28" i="53"/>
  <c r="I28" i="98" s="1"/>
  <c r="I27" i="98"/>
  <c r="F28" i="53"/>
  <c r="F28" i="98" s="1"/>
  <c r="F27" i="98"/>
  <c r="G23" i="53"/>
  <c r="G22" i="98"/>
  <c r="G24" i="52"/>
  <c r="G23" i="97"/>
  <c r="O24" i="51"/>
  <c r="I23" i="96"/>
  <c r="F24" i="51"/>
  <c r="F23" i="96"/>
  <c r="G28" i="53"/>
  <c r="G28" i="98" s="1"/>
  <c r="G27" i="98"/>
  <c r="I29" i="94"/>
  <c r="O33" i="49"/>
  <c r="I33" i="94" s="1"/>
  <c r="P25" i="50"/>
  <c r="E25" i="95"/>
  <c r="E29" i="50"/>
  <c r="J25" i="94"/>
  <c r="C14" i="99" s="1"/>
  <c r="O24" i="52"/>
  <c r="I23" i="97"/>
  <c r="N24" i="51"/>
  <c r="H23" i="96"/>
  <c r="J29" i="53"/>
  <c r="J33" i="53" s="1"/>
  <c r="N21" i="71"/>
  <c r="AG48" i="58"/>
  <c r="S47" i="54" s="1"/>
  <c r="F46" i="70" s="1"/>
  <c r="N32" i="56"/>
  <c r="Q32" i="56" s="1"/>
  <c r="R25" i="71"/>
  <c r="C33" i="56"/>
  <c r="F38" i="67"/>
  <c r="P33" i="67"/>
  <c r="Q33" i="67" s="1"/>
  <c r="O34" i="67" s="1"/>
  <c r="P34" i="67" s="1"/>
  <c r="Q34" i="67" s="1"/>
  <c r="BS30" i="67"/>
  <c r="F27" i="65"/>
  <c r="AJ20" i="65"/>
  <c r="AH20" i="65"/>
  <c r="AI21" i="65"/>
  <c r="AA20" i="65"/>
  <c r="AB20" i="65" s="1"/>
  <c r="AE26" i="65"/>
  <c r="AI21" i="54"/>
  <c r="J41" i="67"/>
  <c r="K41" i="67" s="1"/>
  <c r="E31" i="67"/>
  <c r="BN31" i="67" s="1"/>
  <c r="D31" i="67"/>
  <c r="BC31" i="67"/>
  <c r="BL31" i="67"/>
  <c r="BR30" i="67"/>
  <c r="AJ31" i="54"/>
  <c r="BH25" i="67"/>
  <c r="BU25" i="67" s="1"/>
  <c r="E62" i="69"/>
  <c r="G62" i="69" s="1"/>
  <c r="H62" i="69" s="1"/>
  <c r="I62" i="69" s="1"/>
  <c r="J62" i="69" s="1"/>
  <c r="K62" i="69" s="1"/>
  <c r="H54" i="73"/>
  <c r="BF31" i="67"/>
  <c r="BC30" i="67"/>
  <c r="Y30" i="67"/>
  <c r="Z30" i="67"/>
  <c r="V21" i="65"/>
  <c r="Y21" i="65"/>
  <c r="D21" i="65"/>
  <c r="AT47" i="67"/>
  <c r="AU47" i="67"/>
  <c r="AO46" i="67"/>
  <c r="AN46" i="67"/>
  <c r="AE46" i="67"/>
  <c r="AF46" i="67" s="1"/>
  <c r="AD47" i="67" s="1"/>
  <c r="N47" i="67"/>
  <c r="L48" i="67" s="1"/>
  <c r="M47" i="67"/>
  <c r="T30" i="65"/>
  <c r="R31" i="65" s="1"/>
  <c r="S31" i="65" s="1"/>
  <c r="Q30" i="65"/>
  <c r="L28" i="65"/>
  <c r="M28" i="65" s="1"/>
  <c r="AB26" i="67"/>
  <c r="AC26" i="67" s="1"/>
  <c r="S32" i="67"/>
  <c r="T32" i="67" s="1"/>
  <c r="X32" i="67"/>
  <c r="Y31" i="67"/>
  <c r="U32" i="67"/>
  <c r="BJ32" i="67" s="1"/>
  <c r="I29" i="65"/>
  <c r="K29" i="53"/>
  <c r="K33" i="53" s="1"/>
  <c r="H29" i="53"/>
  <c r="H33" i="53" s="1"/>
  <c r="I29" i="53"/>
  <c r="I33" i="53" s="1"/>
  <c r="M29" i="53"/>
  <c r="M33" i="53" s="1"/>
  <c r="L29" i="53"/>
  <c r="L33" i="53" s="1"/>
  <c r="E60" i="59"/>
  <c r="G60" i="59" s="1"/>
  <c r="H60" i="59" s="1"/>
  <c r="I60" i="59" s="1"/>
  <c r="J60" i="59" s="1"/>
  <c r="K60" i="59" s="1"/>
  <c r="E58" i="56"/>
  <c r="G58" i="56" s="1"/>
  <c r="H58" i="56" s="1"/>
  <c r="I58" i="56" s="1"/>
  <c r="J58" i="56" s="1"/>
  <c r="K58" i="56" s="1"/>
  <c r="J25" i="95" l="1"/>
  <c r="D14" i="99" s="1"/>
  <c r="P28" i="53"/>
  <c r="E24" i="53"/>
  <c r="E23" i="98"/>
  <c r="F24" i="53"/>
  <c r="F23" i="98"/>
  <c r="G25" i="51"/>
  <c r="G24" i="96"/>
  <c r="H33" i="94"/>
  <c r="F15" i="58"/>
  <c r="F20" i="58"/>
  <c r="F19" i="58"/>
  <c r="F14" i="58"/>
  <c r="F16" i="58"/>
  <c r="F12" i="58"/>
  <c r="F13" i="58"/>
  <c r="F17" i="58"/>
  <c r="F18" i="58"/>
  <c r="F11" i="58"/>
  <c r="F21" i="58"/>
  <c r="F10" i="58"/>
  <c r="N25" i="51"/>
  <c r="H24" i="96"/>
  <c r="E29" i="95"/>
  <c r="P29" i="50"/>
  <c r="E33" i="50"/>
  <c r="F25" i="51"/>
  <c r="F24" i="96"/>
  <c r="G25" i="52"/>
  <c r="G24" i="97"/>
  <c r="N24" i="53"/>
  <c r="H23" i="98"/>
  <c r="O33" i="50"/>
  <c r="I33" i="95" s="1"/>
  <c r="I29" i="95"/>
  <c r="N33" i="50"/>
  <c r="H29" i="95"/>
  <c r="N25" i="52"/>
  <c r="H24" i="97"/>
  <c r="E33" i="94"/>
  <c r="D15" i="58"/>
  <c r="D10" i="58"/>
  <c r="D20" i="58"/>
  <c r="D11" i="58"/>
  <c r="D21" i="58"/>
  <c r="D16" i="58"/>
  <c r="P33" i="49"/>
  <c r="D18" i="58"/>
  <c r="D17" i="58"/>
  <c r="D12" i="58"/>
  <c r="D19" i="58"/>
  <c r="D14" i="58"/>
  <c r="D13" i="58"/>
  <c r="G33" i="94"/>
  <c r="J10" i="58"/>
  <c r="K10" i="58" s="1"/>
  <c r="J18" i="58"/>
  <c r="K18" i="58" s="1"/>
  <c r="J14" i="58"/>
  <c r="K14" i="58" s="1"/>
  <c r="J16" i="58"/>
  <c r="K16" i="58" s="1"/>
  <c r="J15" i="58"/>
  <c r="K15" i="58" s="1"/>
  <c r="J13" i="58"/>
  <c r="K13" i="58" s="1"/>
  <c r="J11" i="58"/>
  <c r="K11" i="58" s="1"/>
  <c r="J19" i="58"/>
  <c r="K19" i="58" s="1"/>
  <c r="J20" i="58"/>
  <c r="K20" i="58" s="1"/>
  <c r="J21" i="58"/>
  <c r="K21" i="58" s="1"/>
  <c r="J12" i="58"/>
  <c r="K12" i="58" s="1"/>
  <c r="J17" i="58"/>
  <c r="K17" i="58" s="1"/>
  <c r="O24" i="53"/>
  <c r="I23" i="98"/>
  <c r="E24" i="97"/>
  <c r="E25" i="52"/>
  <c r="P24" i="52"/>
  <c r="E24" i="96"/>
  <c r="P24" i="51"/>
  <c r="E25" i="51"/>
  <c r="O25" i="52"/>
  <c r="I24" i="97"/>
  <c r="O25" i="51"/>
  <c r="I24" i="96"/>
  <c r="G24" i="53"/>
  <c r="G23" i="98"/>
  <c r="J28" i="98"/>
  <c r="G15" i="99" s="1"/>
  <c r="F33" i="50"/>
  <c r="F33" i="95" s="1"/>
  <c r="F29" i="95"/>
  <c r="J29" i="94"/>
  <c r="C16" i="99" s="1"/>
  <c r="G33" i="50"/>
  <c r="G29" i="95"/>
  <c r="F25" i="52"/>
  <c r="F24" i="97"/>
  <c r="AK21" i="54"/>
  <c r="H20" i="70" s="1"/>
  <c r="T16" i="78" s="1"/>
  <c r="AG49" i="58"/>
  <c r="S48" i="54" s="1"/>
  <c r="F47" i="70" s="1"/>
  <c r="L33" i="56"/>
  <c r="M33" i="56"/>
  <c r="P33" i="56" s="1"/>
  <c r="BQ31" i="67"/>
  <c r="H38" i="67"/>
  <c r="F39" i="67" s="1"/>
  <c r="G38" i="67"/>
  <c r="AM20" i="65"/>
  <c r="AK20" i="65"/>
  <c r="AN20" i="65" s="1"/>
  <c r="AL21" i="65"/>
  <c r="G27" i="65"/>
  <c r="H27" i="65" s="1"/>
  <c r="AC27" i="65"/>
  <c r="H28" i="71" s="1"/>
  <c r="AG28" i="71" s="1"/>
  <c r="AA20" i="78" s="1"/>
  <c r="BI25" i="67"/>
  <c r="BB31" i="67"/>
  <c r="C32" i="67"/>
  <c r="BC32" i="67" s="1"/>
  <c r="BO31" i="67"/>
  <c r="BP31" i="67"/>
  <c r="I42" i="67"/>
  <c r="E63" i="69"/>
  <c r="G63" i="69" s="1"/>
  <c r="H63" i="69" s="1"/>
  <c r="I63" i="69" s="1"/>
  <c r="J63" i="69" s="1"/>
  <c r="K63" i="69" s="1"/>
  <c r="H55" i="73"/>
  <c r="BD26" i="67"/>
  <c r="BE26" i="67" s="1"/>
  <c r="BG26" i="67"/>
  <c r="BT26" i="67" s="1"/>
  <c r="O35" i="67"/>
  <c r="R33" i="67"/>
  <c r="BF32" i="67"/>
  <c r="E21" i="65"/>
  <c r="AU48" i="67"/>
  <c r="AT48" i="67"/>
  <c r="AN47" i="67"/>
  <c r="AO47" i="67"/>
  <c r="AE47" i="67"/>
  <c r="AF47" i="67" s="1"/>
  <c r="AD48" i="67" s="1"/>
  <c r="J29" i="65"/>
  <c r="K29" i="65" s="1"/>
  <c r="I30" i="65" s="1"/>
  <c r="J30" i="65" s="1"/>
  <c r="M48" i="67"/>
  <c r="N48" i="67" s="1"/>
  <c r="L49" i="67" s="1"/>
  <c r="N28" i="65"/>
  <c r="Y32" i="67"/>
  <c r="Z32" i="67" s="1"/>
  <c r="V32" i="67"/>
  <c r="W32" i="67" s="1"/>
  <c r="U33" i="67" s="1"/>
  <c r="T31" i="65"/>
  <c r="R32" i="65" s="1"/>
  <c r="S32" i="65" s="1"/>
  <c r="O31" i="65"/>
  <c r="P31" i="65" s="1"/>
  <c r="E61" i="59"/>
  <c r="G61" i="59" s="1"/>
  <c r="H61" i="59" s="1"/>
  <c r="I61" i="59" s="1"/>
  <c r="J61" i="59" s="1"/>
  <c r="K61" i="59" s="1"/>
  <c r="E59" i="56"/>
  <c r="G59" i="56" s="1"/>
  <c r="H59" i="56" s="1"/>
  <c r="I59" i="56" s="1"/>
  <c r="J59" i="56" s="1"/>
  <c r="K59" i="56" s="1"/>
  <c r="J33" i="94" l="1"/>
  <c r="J34" i="94" s="1"/>
  <c r="J24" i="97"/>
  <c r="F13" i="99" s="1"/>
  <c r="P25" i="51"/>
  <c r="E25" i="96"/>
  <c r="E29" i="51"/>
  <c r="P25" i="52"/>
  <c r="E25" i="97"/>
  <c r="E29" i="52"/>
  <c r="M12" i="58"/>
  <c r="H12" i="58"/>
  <c r="L12" i="58" s="1"/>
  <c r="M16" i="58"/>
  <c r="H16" i="58"/>
  <c r="L16" i="58" s="1"/>
  <c r="M10" i="58"/>
  <c r="H10" i="58"/>
  <c r="L10" i="58" s="1"/>
  <c r="H25" i="97"/>
  <c r="N29" i="52"/>
  <c r="G25" i="97"/>
  <c r="G29" i="52"/>
  <c r="U10" i="58"/>
  <c r="AH10" i="58"/>
  <c r="E10" i="102" s="1"/>
  <c r="AH17" i="58"/>
  <c r="AN16" i="54" s="1"/>
  <c r="G15" i="70" s="1"/>
  <c r="U17" i="58"/>
  <c r="AH14" i="58"/>
  <c r="AN13" i="54" s="1"/>
  <c r="G12" i="70" s="1"/>
  <c r="U14" i="58"/>
  <c r="F25" i="53"/>
  <c r="F24" i="98"/>
  <c r="G33" i="95"/>
  <c r="J29" i="58"/>
  <c r="K29" i="58" s="1"/>
  <c r="J24" i="58"/>
  <c r="K24" i="58" s="1"/>
  <c r="J30" i="58"/>
  <c r="K30" i="58" s="1"/>
  <c r="J25" i="58"/>
  <c r="K25" i="58" s="1"/>
  <c r="J31" i="58"/>
  <c r="K31" i="58" s="1"/>
  <c r="J26" i="58"/>
  <c r="K26" i="58" s="1"/>
  <c r="J32" i="58"/>
  <c r="K32" i="58" s="1"/>
  <c r="J27" i="58"/>
  <c r="K27" i="58" s="1"/>
  <c r="J22" i="58"/>
  <c r="K22" i="58" s="1"/>
  <c r="J33" i="58"/>
  <c r="K33" i="58" s="1"/>
  <c r="J28" i="58"/>
  <c r="K28" i="58" s="1"/>
  <c r="J23" i="58"/>
  <c r="K23" i="58" s="1"/>
  <c r="I25" i="96"/>
  <c r="O29" i="51"/>
  <c r="H13" i="58"/>
  <c r="L13" i="58" s="1"/>
  <c r="M13" i="58"/>
  <c r="M17" i="58"/>
  <c r="H17" i="58"/>
  <c r="L17" i="58" s="1"/>
  <c r="M21" i="58"/>
  <c r="M15" i="58"/>
  <c r="J29" i="95"/>
  <c r="D16" i="99" s="1"/>
  <c r="G22" i="58"/>
  <c r="AG22" i="58" s="1"/>
  <c r="S21" i="54" s="1"/>
  <c r="G21" i="58"/>
  <c r="AG21" i="58" s="1"/>
  <c r="S20" i="54" s="1"/>
  <c r="F19" i="70" s="1"/>
  <c r="AH21" i="58"/>
  <c r="AN20" i="54" s="1"/>
  <c r="G19" i="70" s="1"/>
  <c r="U21" i="58"/>
  <c r="AH13" i="58"/>
  <c r="AN12" i="54" s="1"/>
  <c r="G11" i="70" s="1"/>
  <c r="U13" i="58"/>
  <c r="AH19" i="58"/>
  <c r="AN18" i="54" s="1"/>
  <c r="G17" i="70" s="1"/>
  <c r="U19" i="58"/>
  <c r="J24" i="96"/>
  <c r="E13" i="99" s="1"/>
  <c r="H14" i="58"/>
  <c r="L14" i="58" s="1"/>
  <c r="M14" i="58"/>
  <c r="M18" i="58"/>
  <c r="H18" i="58"/>
  <c r="L18" i="58" s="1"/>
  <c r="M11" i="58"/>
  <c r="H11" i="58"/>
  <c r="L11" i="58" s="1"/>
  <c r="H33" i="95"/>
  <c r="F28" i="58"/>
  <c r="F24" i="58"/>
  <c r="F33" i="58"/>
  <c r="F26" i="58"/>
  <c r="F23" i="58"/>
  <c r="F27" i="58"/>
  <c r="F22" i="58"/>
  <c r="F25" i="58"/>
  <c r="F31" i="58"/>
  <c r="F29" i="58"/>
  <c r="F32" i="58"/>
  <c r="F30" i="58"/>
  <c r="N25" i="53"/>
  <c r="H24" i="98"/>
  <c r="F25" i="96"/>
  <c r="F29" i="51"/>
  <c r="AH11" i="58"/>
  <c r="AN10" i="54" s="1"/>
  <c r="G9" i="70" s="1"/>
  <c r="U11" i="58"/>
  <c r="AH12" i="58"/>
  <c r="AN11" i="54" s="1"/>
  <c r="G10" i="70" s="1"/>
  <c r="U12" i="58"/>
  <c r="AH20" i="58"/>
  <c r="AN19" i="54" s="1"/>
  <c r="G18" i="70" s="1"/>
  <c r="U20" i="58"/>
  <c r="G25" i="96"/>
  <c r="G29" i="51"/>
  <c r="E24" i="98"/>
  <c r="P24" i="53"/>
  <c r="E25" i="53"/>
  <c r="F25" i="97"/>
  <c r="F29" i="52"/>
  <c r="G25" i="53"/>
  <c r="G24" i="98"/>
  <c r="I25" i="97"/>
  <c r="O29" i="52"/>
  <c r="O25" i="53"/>
  <c r="I24" i="98"/>
  <c r="M19" i="58"/>
  <c r="H19" i="58"/>
  <c r="L19" i="58" s="1"/>
  <c r="H20" i="58"/>
  <c r="L20" i="58" s="1"/>
  <c r="M20" i="58"/>
  <c r="E33" i="95"/>
  <c r="J33" i="95" s="1"/>
  <c r="D18" i="99" s="1"/>
  <c r="D31" i="58"/>
  <c r="D26" i="58"/>
  <c r="D25" i="58"/>
  <c r="P33" i="50"/>
  <c r="D27" i="58"/>
  <c r="D22" i="58"/>
  <c r="D32" i="58"/>
  <c r="D23" i="58"/>
  <c r="D33" i="58"/>
  <c r="D28" i="58"/>
  <c r="D30" i="58"/>
  <c r="D29" i="58"/>
  <c r="D24" i="58"/>
  <c r="H25" i="96"/>
  <c r="N29" i="51"/>
  <c r="AH18" i="58"/>
  <c r="AN17" i="54" s="1"/>
  <c r="G16" i="70" s="1"/>
  <c r="U18" i="58"/>
  <c r="AH16" i="58"/>
  <c r="AN15" i="54" s="1"/>
  <c r="G14" i="70" s="1"/>
  <c r="U16" i="58"/>
  <c r="G15" i="58"/>
  <c r="AG15" i="58" s="1"/>
  <c r="S14" i="54" s="1"/>
  <c r="F13" i="70" s="1"/>
  <c r="AH15" i="58"/>
  <c r="AN14" i="54" s="1"/>
  <c r="G13" i="70" s="1"/>
  <c r="U15" i="58"/>
  <c r="BM32" i="67"/>
  <c r="AD27" i="65"/>
  <c r="I28" i="71" s="1"/>
  <c r="F28" i="65"/>
  <c r="G28" i="65" s="1"/>
  <c r="H28" i="65" s="1"/>
  <c r="AG50" i="58"/>
  <c r="S49" i="54" s="1"/>
  <c r="F48" i="70" s="1"/>
  <c r="N33" i="56"/>
  <c r="Q33" i="56" s="1"/>
  <c r="C34" i="56"/>
  <c r="R26" i="71"/>
  <c r="BJ33" i="67"/>
  <c r="X33" i="67"/>
  <c r="Y33" i="67" s="1"/>
  <c r="Z33" i="67" s="1"/>
  <c r="BK32" i="67"/>
  <c r="S33" i="67"/>
  <c r="T33" i="67" s="1"/>
  <c r="R34" i="67" s="1"/>
  <c r="S34" i="67" s="1"/>
  <c r="T34" i="67" s="1"/>
  <c r="G39" i="67"/>
  <c r="H39" i="67" s="1"/>
  <c r="Z21" i="65"/>
  <c r="J22" i="71" s="1"/>
  <c r="AG21" i="65"/>
  <c r="L22" i="71" s="1"/>
  <c r="M22" i="71" s="1"/>
  <c r="AE27" i="65"/>
  <c r="BR31" i="67"/>
  <c r="BS31" i="67"/>
  <c r="J42" i="67"/>
  <c r="K42" i="67" s="1"/>
  <c r="BP32" i="67"/>
  <c r="BS32" i="67" s="1"/>
  <c r="E32" i="67"/>
  <c r="BN32" i="67" s="1"/>
  <c r="D32" i="67"/>
  <c r="BH26" i="67"/>
  <c r="BU26" i="67" s="1"/>
  <c r="E64" i="69"/>
  <c r="G64" i="69" s="1"/>
  <c r="H64" i="69" s="1"/>
  <c r="I64" i="69" s="1"/>
  <c r="J64" i="69" s="1"/>
  <c r="K64" i="69" s="1"/>
  <c r="H56" i="73"/>
  <c r="BB32" i="67"/>
  <c r="C22" i="65"/>
  <c r="AF22" i="65" s="1"/>
  <c r="K23" i="71" s="1"/>
  <c r="AH23" i="71" s="1"/>
  <c r="V21" i="78" s="1"/>
  <c r="W21" i="65"/>
  <c r="X21" i="65" s="1"/>
  <c r="U21" i="65"/>
  <c r="AO48" i="67"/>
  <c r="AN48" i="67"/>
  <c r="AT49" i="67"/>
  <c r="AU49" i="67"/>
  <c r="AE48" i="67"/>
  <c r="AF48" i="67" s="1"/>
  <c r="AD49" i="67" s="1"/>
  <c r="L29" i="65"/>
  <c r="M29" i="65" s="1"/>
  <c r="M49" i="67"/>
  <c r="N49" i="67" s="1"/>
  <c r="L50" i="67" s="1"/>
  <c r="Q31" i="65"/>
  <c r="O32" i="65" s="1"/>
  <c r="P32" i="65" s="1"/>
  <c r="K30" i="65"/>
  <c r="I31" i="65" s="1"/>
  <c r="J31" i="65" s="1"/>
  <c r="AB27" i="67"/>
  <c r="AC27" i="67" s="1"/>
  <c r="P35" i="67"/>
  <c r="Q35" i="67" s="1"/>
  <c r="V33" i="67"/>
  <c r="W33" i="67" s="1"/>
  <c r="U34" i="67" s="1"/>
  <c r="T32" i="65"/>
  <c r="R33" i="65" s="1"/>
  <c r="S33" i="65" s="1"/>
  <c r="E62" i="59"/>
  <c r="G62" i="59" s="1"/>
  <c r="H62" i="59" s="1"/>
  <c r="I62" i="59" s="1"/>
  <c r="J62" i="59" s="1"/>
  <c r="K62" i="59" s="1"/>
  <c r="E60" i="56"/>
  <c r="G60" i="56" s="1"/>
  <c r="H60" i="56" s="1"/>
  <c r="I60" i="56" s="1"/>
  <c r="J60" i="56" s="1"/>
  <c r="K60" i="56" s="1"/>
  <c r="AC28" i="65" l="1"/>
  <c r="H29" i="71" s="1"/>
  <c r="AG29" i="71" s="1"/>
  <c r="AB20" i="78" s="1"/>
  <c r="C18" i="99"/>
  <c r="C17" i="99" s="1"/>
  <c r="J24" i="98"/>
  <c r="G13" i="99" s="1"/>
  <c r="D19" i="99"/>
  <c r="D17" i="99"/>
  <c r="C19" i="99"/>
  <c r="M29" i="58"/>
  <c r="H29" i="58"/>
  <c r="L29" i="58" s="1"/>
  <c r="H23" i="58"/>
  <c r="L23" i="58" s="1"/>
  <c r="M23" i="58"/>
  <c r="J34" i="95"/>
  <c r="P19" i="58"/>
  <c r="O19" i="58"/>
  <c r="N19" i="58"/>
  <c r="G33" i="51"/>
  <c r="G29" i="96"/>
  <c r="X12" i="58"/>
  <c r="AA12" i="58"/>
  <c r="Z12" i="58"/>
  <c r="W12" i="58"/>
  <c r="Y12" i="58"/>
  <c r="V12" i="58"/>
  <c r="F33" i="51"/>
  <c r="F33" i="96" s="1"/>
  <c r="F29" i="96"/>
  <c r="AH30" i="58"/>
  <c r="AN29" i="54" s="1"/>
  <c r="G28" i="70" s="1"/>
  <c r="U30" i="58"/>
  <c r="AH25" i="58"/>
  <c r="AN24" i="54" s="1"/>
  <c r="G23" i="70" s="1"/>
  <c r="U25" i="58"/>
  <c r="AH26" i="58"/>
  <c r="AN25" i="54" s="1"/>
  <c r="G24" i="70" s="1"/>
  <c r="U26" i="58"/>
  <c r="P18" i="58"/>
  <c r="O18" i="58"/>
  <c r="N18" i="58"/>
  <c r="Z19" i="58"/>
  <c r="Y19" i="58"/>
  <c r="X19" i="58"/>
  <c r="AA19" i="58"/>
  <c r="W19" i="58"/>
  <c r="V19" i="58"/>
  <c r="AA21" i="58"/>
  <c r="Z21" i="58"/>
  <c r="V21" i="58"/>
  <c r="W21" i="58"/>
  <c r="Y21" i="58"/>
  <c r="X21" i="58"/>
  <c r="P21" i="58"/>
  <c r="O21" i="58"/>
  <c r="N21" i="58"/>
  <c r="W17" i="58"/>
  <c r="X17" i="58"/>
  <c r="Z17" i="58"/>
  <c r="AA17" i="58"/>
  <c r="Y17" i="58"/>
  <c r="V17" i="58"/>
  <c r="G33" i="52"/>
  <c r="G29" i="97"/>
  <c r="Z16" i="58"/>
  <c r="AA16" i="58"/>
  <c r="X16" i="58"/>
  <c r="W16" i="58"/>
  <c r="V16" i="58"/>
  <c r="Y16" i="58"/>
  <c r="N33" i="51"/>
  <c r="H29" i="96"/>
  <c r="H30" i="58"/>
  <c r="L30" i="58" s="1"/>
  <c r="M30" i="58"/>
  <c r="H32" i="58"/>
  <c r="L32" i="58" s="1"/>
  <c r="M32" i="58"/>
  <c r="H25" i="58"/>
  <c r="L25" i="58" s="1"/>
  <c r="M25" i="58"/>
  <c r="P20" i="58"/>
  <c r="N20" i="58"/>
  <c r="O20" i="58"/>
  <c r="E25" i="98"/>
  <c r="E29" i="53"/>
  <c r="P25" i="53"/>
  <c r="AH32" i="58"/>
  <c r="AN31" i="54" s="1"/>
  <c r="G30" i="70" s="1"/>
  <c r="U32" i="58"/>
  <c r="AH22" i="58"/>
  <c r="U22" i="58"/>
  <c r="G33" i="58"/>
  <c r="AG33" i="58" s="1"/>
  <c r="S32" i="54" s="1"/>
  <c r="F31" i="70" s="1"/>
  <c r="AH33" i="58"/>
  <c r="AN32" i="54" s="1"/>
  <c r="G31" i="70" s="1"/>
  <c r="G34" i="58"/>
  <c r="AG34" i="58" s="1"/>
  <c r="S33" i="54" s="1"/>
  <c r="U33" i="58"/>
  <c r="P14" i="58"/>
  <c r="N14" i="58"/>
  <c r="O14" i="58"/>
  <c r="H15" i="58"/>
  <c r="L15" i="58" s="1"/>
  <c r="O33" i="51"/>
  <c r="I33" i="96" s="1"/>
  <c r="I29" i="96"/>
  <c r="F25" i="98"/>
  <c r="F29" i="53"/>
  <c r="P10" i="58"/>
  <c r="O10" i="58"/>
  <c r="N10" i="58"/>
  <c r="N12" i="58"/>
  <c r="P12" i="58"/>
  <c r="O12" i="58"/>
  <c r="E29" i="96"/>
  <c r="E33" i="51"/>
  <c r="P29" i="51"/>
  <c r="V15" i="58"/>
  <c r="X15" i="58"/>
  <c r="Y15" i="58"/>
  <c r="W15" i="58"/>
  <c r="AA15" i="58"/>
  <c r="Z15" i="58"/>
  <c r="H28" i="58"/>
  <c r="L28" i="58" s="1"/>
  <c r="M28" i="58"/>
  <c r="H22" i="58"/>
  <c r="L22" i="58" s="1"/>
  <c r="M22" i="58"/>
  <c r="H26" i="58"/>
  <c r="L26" i="58" s="1"/>
  <c r="M26" i="58"/>
  <c r="I25" i="98"/>
  <c r="O29" i="53"/>
  <c r="G25" i="98"/>
  <c r="G29" i="53"/>
  <c r="X20" i="58"/>
  <c r="AA20" i="58"/>
  <c r="W20" i="58"/>
  <c r="Z20" i="58"/>
  <c r="V20" i="58"/>
  <c r="Y20" i="58"/>
  <c r="AA11" i="58"/>
  <c r="Z11" i="58"/>
  <c r="V11" i="58"/>
  <c r="Y11" i="58"/>
  <c r="X11" i="58"/>
  <c r="W11" i="58"/>
  <c r="AH29" i="58"/>
  <c r="AN28" i="54" s="1"/>
  <c r="G27" i="70" s="1"/>
  <c r="U29" i="58"/>
  <c r="G27" i="58"/>
  <c r="AG27" i="58" s="1"/>
  <c r="S26" i="54" s="1"/>
  <c r="F25" i="70" s="1"/>
  <c r="AH27" i="58"/>
  <c r="AN26" i="54" s="1"/>
  <c r="G25" i="70" s="1"/>
  <c r="U27" i="58"/>
  <c r="AH24" i="58"/>
  <c r="AN23" i="54" s="1"/>
  <c r="G22" i="70" s="1"/>
  <c r="U24" i="58"/>
  <c r="O11" i="58"/>
  <c r="N11" i="58"/>
  <c r="P11" i="58"/>
  <c r="X13" i="58"/>
  <c r="Z13" i="58"/>
  <c r="Y13" i="58"/>
  <c r="V13" i="58"/>
  <c r="AA13" i="58"/>
  <c r="W13" i="58"/>
  <c r="O15" i="58"/>
  <c r="N15" i="58"/>
  <c r="P15" i="58"/>
  <c r="P17" i="58"/>
  <c r="O17" i="58"/>
  <c r="N17" i="58"/>
  <c r="W14" i="58"/>
  <c r="X14" i="58"/>
  <c r="Y14" i="58"/>
  <c r="AA14" i="58"/>
  <c r="V14" i="58"/>
  <c r="Z14" i="58"/>
  <c r="AI10" i="58"/>
  <c r="AN9" i="54"/>
  <c r="N33" i="52"/>
  <c r="H29" i="97"/>
  <c r="E29" i="97"/>
  <c r="P29" i="52"/>
  <c r="E33" i="52"/>
  <c r="J25" i="96"/>
  <c r="E14" i="99" s="1"/>
  <c r="Y18" i="58"/>
  <c r="V18" i="58"/>
  <c r="X18" i="58"/>
  <c r="AA18" i="58"/>
  <c r="Z18" i="58"/>
  <c r="W18" i="58"/>
  <c r="H24" i="58"/>
  <c r="L24" i="58" s="1"/>
  <c r="M24" i="58"/>
  <c r="M33" i="58"/>
  <c r="M27" i="58"/>
  <c r="H31" i="58"/>
  <c r="L31" i="58" s="1"/>
  <c r="M31" i="58"/>
  <c r="O33" i="52"/>
  <c r="I33" i="97" s="1"/>
  <c r="I29" i="97"/>
  <c r="F33" i="52"/>
  <c r="F33" i="97" s="1"/>
  <c r="F29" i="97"/>
  <c r="H25" i="98"/>
  <c r="N29" i="53"/>
  <c r="AH31" i="58"/>
  <c r="AN30" i="54" s="1"/>
  <c r="G29" i="70" s="1"/>
  <c r="U31" i="58"/>
  <c r="AH23" i="58"/>
  <c r="AN22" i="54" s="1"/>
  <c r="G21" i="70" s="1"/>
  <c r="U23" i="58"/>
  <c r="AH28" i="58"/>
  <c r="AN27" i="54" s="1"/>
  <c r="G26" i="70" s="1"/>
  <c r="U28" i="58"/>
  <c r="F20" i="70"/>
  <c r="H21" i="58"/>
  <c r="L21" i="58" s="1"/>
  <c r="N13" i="58"/>
  <c r="O13" i="58"/>
  <c r="P13" i="58"/>
  <c r="Z10" i="58"/>
  <c r="Y10" i="58"/>
  <c r="X10" i="58"/>
  <c r="AA10" i="58"/>
  <c r="V10" i="58"/>
  <c r="W10" i="58"/>
  <c r="P16" i="58"/>
  <c r="O16" i="58"/>
  <c r="N16" i="58"/>
  <c r="J25" i="97"/>
  <c r="F14" i="99" s="1"/>
  <c r="N22" i="71"/>
  <c r="AA21" i="65"/>
  <c r="AB21" i="65" s="1"/>
  <c r="BI26" i="67"/>
  <c r="L34" i="56"/>
  <c r="M34" i="56" s="1"/>
  <c r="P34" i="56" s="1"/>
  <c r="BK33" i="67"/>
  <c r="BJ34" i="67"/>
  <c r="F40" i="67"/>
  <c r="AD28" i="65"/>
  <c r="F29" i="65"/>
  <c r="AJ21" i="65"/>
  <c r="AH21" i="65"/>
  <c r="AI22" i="65"/>
  <c r="N29" i="65"/>
  <c r="L30" i="65" s="1"/>
  <c r="M30" i="65" s="1"/>
  <c r="AI22" i="54"/>
  <c r="BQ32" i="67"/>
  <c r="C33" i="67"/>
  <c r="BM33" i="67" s="1"/>
  <c r="BO32" i="67"/>
  <c r="BL32" i="67"/>
  <c r="I43" i="67"/>
  <c r="E65" i="69"/>
  <c r="G65" i="69" s="1"/>
  <c r="H65" i="69" s="1"/>
  <c r="I65" i="69" s="1"/>
  <c r="J65" i="69" s="1"/>
  <c r="K65" i="69" s="1"/>
  <c r="H57" i="73"/>
  <c r="AK22" i="54"/>
  <c r="H21" i="70" s="1"/>
  <c r="U16" i="78" s="1"/>
  <c r="X34" i="67"/>
  <c r="O36" i="67"/>
  <c r="BG27" i="67"/>
  <c r="BT27" i="67" s="1"/>
  <c r="BD27" i="67"/>
  <c r="BE27" i="67" s="1"/>
  <c r="R35" i="67"/>
  <c r="V22" i="65"/>
  <c r="Y22" i="65"/>
  <c r="D22" i="65"/>
  <c r="AN49" i="67"/>
  <c r="AO49" i="67"/>
  <c r="AU50" i="67"/>
  <c r="AT50" i="67"/>
  <c r="AE49" i="67"/>
  <c r="AF49" i="67" s="1"/>
  <c r="AD50" i="67" s="1"/>
  <c r="K31" i="65"/>
  <c r="N50" i="67"/>
  <c r="L51" i="67" s="1"/>
  <c r="M50" i="67"/>
  <c r="T33" i="65"/>
  <c r="Q32" i="65"/>
  <c r="V34" i="67"/>
  <c r="W34" i="67" s="1"/>
  <c r="U35" i="67" s="1"/>
  <c r="R34" i="65"/>
  <c r="S34" i="65" s="1"/>
  <c r="E63" i="59"/>
  <c r="G63" i="59" s="1"/>
  <c r="H63" i="59" s="1"/>
  <c r="I63" i="59" s="1"/>
  <c r="J63" i="59" s="1"/>
  <c r="K63" i="59" s="1"/>
  <c r="E61" i="56"/>
  <c r="G61" i="56" s="1"/>
  <c r="H61" i="56" s="1"/>
  <c r="I61" i="56" s="1"/>
  <c r="J61" i="56" s="1"/>
  <c r="K61" i="56" s="1"/>
  <c r="H27" i="58" l="1"/>
  <c r="L27" i="58" s="1"/>
  <c r="J29" i="96"/>
  <c r="E16" i="99" s="1"/>
  <c r="AB16" i="58"/>
  <c r="S10" i="76"/>
  <c r="AB13" i="58"/>
  <c r="AB19" i="58"/>
  <c r="AN21" i="54"/>
  <c r="G20" i="70" s="1"/>
  <c r="E11" i="102"/>
  <c r="H33" i="58"/>
  <c r="L33" i="58" s="1"/>
  <c r="AB10" i="58"/>
  <c r="J29" i="97"/>
  <c r="F16" i="99" s="1"/>
  <c r="AI11" i="58"/>
  <c r="U9" i="71"/>
  <c r="U77" i="71" s="1"/>
  <c r="U78" i="71" s="1"/>
  <c r="AA27" i="58"/>
  <c r="W27" i="58"/>
  <c r="V27" i="58"/>
  <c r="X27" i="58"/>
  <c r="Y27" i="58"/>
  <c r="Z27" i="58"/>
  <c r="AB11" i="58"/>
  <c r="AB20" i="58"/>
  <c r="AB15" i="58"/>
  <c r="X32" i="58"/>
  <c r="Z32" i="58"/>
  <c r="Y32" i="58"/>
  <c r="V32" i="58"/>
  <c r="AA32" i="58"/>
  <c r="W32" i="58"/>
  <c r="J25" i="98"/>
  <c r="G14" i="99" s="1"/>
  <c r="P25" i="58"/>
  <c r="O25" i="58"/>
  <c r="N25" i="58"/>
  <c r="P30" i="58"/>
  <c r="O30" i="58"/>
  <c r="N30" i="58"/>
  <c r="AB17" i="58"/>
  <c r="AB21" i="58"/>
  <c r="Y26" i="58"/>
  <c r="AA26" i="58"/>
  <c r="V26" i="58"/>
  <c r="X26" i="58"/>
  <c r="W26" i="58"/>
  <c r="Z26" i="58"/>
  <c r="Y30" i="58"/>
  <c r="W30" i="58"/>
  <c r="V30" i="58"/>
  <c r="X30" i="58"/>
  <c r="AA30" i="58"/>
  <c r="Z30" i="58"/>
  <c r="AB12" i="58"/>
  <c r="P23" i="58"/>
  <c r="O23" i="58"/>
  <c r="N23" i="58"/>
  <c r="Y23" i="58"/>
  <c r="X23" i="58"/>
  <c r="Z23" i="58"/>
  <c r="W23" i="58"/>
  <c r="V23" i="58"/>
  <c r="AA23" i="58"/>
  <c r="N33" i="53"/>
  <c r="H29" i="98"/>
  <c r="O27" i="58"/>
  <c r="N27" i="58"/>
  <c r="P27" i="58"/>
  <c r="O24" i="58"/>
  <c r="N24" i="58"/>
  <c r="P24" i="58"/>
  <c r="G33" i="53"/>
  <c r="G29" i="98"/>
  <c r="N26" i="58"/>
  <c r="P26" i="58"/>
  <c r="O26" i="58"/>
  <c r="O28" i="58"/>
  <c r="N28" i="58"/>
  <c r="P28" i="58"/>
  <c r="E33" i="97"/>
  <c r="D51" i="58"/>
  <c r="M51" i="58" s="1"/>
  <c r="D47" i="58"/>
  <c r="D57" i="58"/>
  <c r="M57" i="58" s="1"/>
  <c r="D52" i="58"/>
  <c r="M52" i="58" s="1"/>
  <c r="D56" i="58"/>
  <c r="M56" i="58" s="1"/>
  <c r="D54" i="58"/>
  <c r="M54" i="58" s="1"/>
  <c r="D53" i="58"/>
  <c r="M53" i="58" s="1"/>
  <c r="D48" i="58"/>
  <c r="D46" i="58"/>
  <c r="D55" i="58"/>
  <c r="M55" i="58" s="1"/>
  <c r="D50" i="58"/>
  <c r="D49" i="58"/>
  <c r="P33" i="52"/>
  <c r="H33" i="97"/>
  <c r="F56" i="58"/>
  <c r="F51" i="58"/>
  <c r="F55" i="58"/>
  <c r="F46" i="58"/>
  <c r="F47" i="58"/>
  <c r="F50" i="58"/>
  <c r="F49" i="58"/>
  <c r="F48" i="58"/>
  <c r="F52" i="58"/>
  <c r="F54" i="58"/>
  <c r="F53" i="58"/>
  <c r="F57" i="58"/>
  <c r="AB14" i="58"/>
  <c r="X24" i="58"/>
  <c r="Y24" i="58"/>
  <c r="AA24" i="58"/>
  <c r="Z24" i="58"/>
  <c r="W24" i="58"/>
  <c r="V24" i="58"/>
  <c r="E33" i="96"/>
  <c r="D43" i="58"/>
  <c r="D39" i="58"/>
  <c r="D34" i="58"/>
  <c r="D44" i="58"/>
  <c r="D38" i="58"/>
  <c r="D35" i="58"/>
  <c r="D45" i="58"/>
  <c r="D40" i="58"/>
  <c r="P33" i="51"/>
  <c r="D42" i="58"/>
  <c r="D41" i="58"/>
  <c r="D36" i="58"/>
  <c r="D37" i="58"/>
  <c r="F29" i="98"/>
  <c r="F33" i="53"/>
  <c r="F33" i="98" s="1"/>
  <c r="Y33" i="58"/>
  <c r="X33" i="58"/>
  <c r="Z33" i="58"/>
  <c r="W33" i="58"/>
  <c r="V33" i="58"/>
  <c r="AA33" i="58"/>
  <c r="X22" i="58"/>
  <c r="AA22" i="58"/>
  <c r="V22" i="58"/>
  <c r="Z22" i="58"/>
  <c r="Y22" i="58"/>
  <c r="W22" i="58"/>
  <c r="N32" i="58"/>
  <c r="P32" i="58"/>
  <c r="O32" i="58"/>
  <c r="Y25" i="58"/>
  <c r="Z25" i="58"/>
  <c r="AA25" i="58"/>
  <c r="W25" i="58"/>
  <c r="X25" i="58"/>
  <c r="V25" i="58"/>
  <c r="Z28" i="58"/>
  <c r="Y28" i="58"/>
  <c r="X28" i="58"/>
  <c r="AA28" i="58"/>
  <c r="W28" i="58"/>
  <c r="V28" i="58"/>
  <c r="Z31" i="58"/>
  <c r="W31" i="58"/>
  <c r="V31" i="58"/>
  <c r="X31" i="58"/>
  <c r="Y31" i="58"/>
  <c r="AA31" i="58"/>
  <c r="P31" i="58"/>
  <c r="O31" i="58"/>
  <c r="N31" i="58"/>
  <c r="N33" i="58"/>
  <c r="P33" i="58"/>
  <c r="O33" i="58"/>
  <c r="AB18" i="58"/>
  <c r="G8" i="70"/>
  <c r="AN9" i="76"/>
  <c r="Z29" i="58"/>
  <c r="V29" i="58"/>
  <c r="X29" i="58"/>
  <c r="Y29" i="58"/>
  <c r="W29" i="58"/>
  <c r="AA29" i="58"/>
  <c r="O33" i="53"/>
  <c r="I33" i="98" s="1"/>
  <c r="I29" i="98"/>
  <c r="O22" i="58"/>
  <c r="N22" i="58"/>
  <c r="P22" i="58"/>
  <c r="F32" i="70"/>
  <c r="AN10" i="76"/>
  <c r="E33" i="53"/>
  <c r="E29" i="98"/>
  <c r="P29" i="53"/>
  <c r="H33" i="96"/>
  <c r="F45" i="58"/>
  <c r="F43" i="58"/>
  <c r="F44" i="58"/>
  <c r="F41" i="58"/>
  <c r="F40" i="58"/>
  <c r="F35" i="58"/>
  <c r="F36" i="58"/>
  <c r="F42" i="58"/>
  <c r="F38" i="58"/>
  <c r="F37" i="58"/>
  <c r="F34" i="58"/>
  <c r="F39" i="58"/>
  <c r="G33" i="97"/>
  <c r="J54" i="58"/>
  <c r="K54" i="58" s="1"/>
  <c r="J46" i="58"/>
  <c r="K46" i="58" s="1"/>
  <c r="J48" i="58"/>
  <c r="K48" i="58" s="1"/>
  <c r="J47" i="58"/>
  <c r="K47" i="58" s="1"/>
  <c r="J51" i="58"/>
  <c r="K51" i="58" s="1"/>
  <c r="J53" i="58"/>
  <c r="K53" i="58" s="1"/>
  <c r="J52" i="58"/>
  <c r="K52" i="58" s="1"/>
  <c r="J56" i="58"/>
  <c r="K56" i="58" s="1"/>
  <c r="J50" i="58"/>
  <c r="K50" i="58" s="1"/>
  <c r="J49" i="58"/>
  <c r="K49" i="58" s="1"/>
  <c r="J57" i="58"/>
  <c r="K57" i="58" s="1"/>
  <c r="J55" i="58"/>
  <c r="K55" i="58" s="1"/>
  <c r="G33" i="96"/>
  <c r="J41" i="58"/>
  <c r="K41" i="58" s="1"/>
  <c r="J39" i="58"/>
  <c r="K39" i="58" s="1"/>
  <c r="J36" i="58"/>
  <c r="K36" i="58" s="1"/>
  <c r="J35" i="58"/>
  <c r="K35" i="58" s="1"/>
  <c r="J44" i="58"/>
  <c r="K44" i="58" s="1"/>
  <c r="J40" i="58"/>
  <c r="K40" i="58" s="1"/>
  <c r="J43" i="58"/>
  <c r="K43" i="58" s="1"/>
  <c r="J45" i="58"/>
  <c r="K45" i="58" s="1"/>
  <c r="J38" i="58"/>
  <c r="K38" i="58" s="1"/>
  <c r="J42" i="58"/>
  <c r="K42" i="58" s="1"/>
  <c r="J34" i="58"/>
  <c r="K34" i="58" s="1"/>
  <c r="J37" i="58"/>
  <c r="K37" i="58" s="1"/>
  <c r="N29" i="58"/>
  <c r="P29" i="58"/>
  <c r="O29" i="58"/>
  <c r="AE28" i="65"/>
  <c r="I29" i="71"/>
  <c r="N34" i="56"/>
  <c r="Q34" i="56" s="1"/>
  <c r="R27" i="71"/>
  <c r="C35" i="56"/>
  <c r="BJ35" i="67"/>
  <c r="BL33" i="67"/>
  <c r="BK34" i="67"/>
  <c r="G40" i="67"/>
  <c r="H40" i="67" s="1"/>
  <c r="P36" i="67"/>
  <c r="Q36" i="67" s="1"/>
  <c r="O37" i="67" s="1"/>
  <c r="AL22" i="65"/>
  <c r="G29" i="65"/>
  <c r="H29" i="65" s="1"/>
  <c r="AC29" i="65"/>
  <c r="H30" i="71" s="1"/>
  <c r="AG30" i="71" s="1"/>
  <c r="AC20" i="78" s="1"/>
  <c r="AM21" i="65"/>
  <c r="AK21" i="65"/>
  <c r="AN21" i="65" s="1"/>
  <c r="BR32" i="67"/>
  <c r="J43" i="67"/>
  <c r="K43" i="67" s="1"/>
  <c r="D33" i="67"/>
  <c r="E33" i="67" s="1"/>
  <c r="BN33" i="67" s="1"/>
  <c r="BC33" i="67"/>
  <c r="BF33" i="67"/>
  <c r="S35" i="67"/>
  <c r="T35" i="67" s="1"/>
  <c r="BH27" i="67"/>
  <c r="BU27" i="67" s="1"/>
  <c r="E66" i="69"/>
  <c r="G66" i="69" s="1"/>
  <c r="H66" i="69" s="1"/>
  <c r="I66" i="69" s="1"/>
  <c r="J66" i="69" s="1"/>
  <c r="K66" i="69" s="1"/>
  <c r="H58" i="73"/>
  <c r="Y34" i="67"/>
  <c r="Z34" i="67" s="1"/>
  <c r="E22" i="65"/>
  <c r="AO50" i="67"/>
  <c r="AN50" i="67"/>
  <c r="AT51" i="67"/>
  <c r="AU51" i="67"/>
  <c r="AE50" i="67"/>
  <c r="AF50" i="67" s="1"/>
  <c r="AD51" i="67" s="1"/>
  <c r="I32" i="65"/>
  <c r="J32" i="65" s="1"/>
  <c r="M51" i="67"/>
  <c r="N51" i="67" s="1"/>
  <c r="L52" i="67" s="1"/>
  <c r="T34" i="65"/>
  <c r="R35" i="65" s="1"/>
  <c r="S35" i="65" s="1"/>
  <c r="N30" i="65"/>
  <c r="AB28" i="67"/>
  <c r="AC28" i="67" s="1"/>
  <c r="V35" i="67"/>
  <c r="W35" i="67" s="1"/>
  <c r="O33" i="65"/>
  <c r="P33" i="65" s="1"/>
  <c r="N57" i="58"/>
  <c r="P57" i="58"/>
  <c r="O57" i="58"/>
  <c r="P52" i="58"/>
  <c r="O52" i="58"/>
  <c r="N52" i="58"/>
  <c r="O53" i="58"/>
  <c r="N53" i="58"/>
  <c r="P53" i="58"/>
  <c r="P54" i="58"/>
  <c r="O54" i="58"/>
  <c r="N54" i="58"/>
  <c r="P55" i="58"/>
  <c r="O55" i="58"/>
  <c r="N55" i="58"/>
  <c r="P51" i="58"/>
  <c r="O51" i="58"/>
  <c r="N51" i="58"/>
  <c r="P56" i="58"/>
  <c r="O56" i="58"/>
  <c r="N56" i="58"/>
  <c r="E64" i="59"/>
  <c r="G64" i="59" s="1"/>
  <c r="H64" i="59" s="1"/>
  <c r="I64" i="59" s="1"/>
  <c r="J64" i="59" s="1"/>
  <c r="K64" i="59" s="1"/>
  <c r="E62" i="56"/>
  <c r="G62" i="56" s="1"/>
  <c r="H62" i="56" s="1"/>
  <c r="I62" i="56" s="1"/>
  <c r="J62" i="56" s="1"/>
  <c r="K62" i="56" s="1"/>
  <c r="AB24" i="58" l="1"/>
  <c r="AB25" i="58"/>
  <c r="AB22" i="58"/>
  <c r="AB33" i="58"/>
  <c r="AB23" i="58"/>
  <c r="AB32" i="58"/>
  <c r="AH34" i="58"/>
  <c r="E12" i="102" s="1"/>
  <c r="U34" i="58"/>
  <c r="AH36" i="58"/>
  <c r="AN35" i="54" s="1"/>
  <c r="G34" i="70" s="1"/>
  <c r="U36" i="58"/>
  <c r="AH44" i="58"/>
  <c r="AN43" i="54" s="1"/>
  <c r="G42" i="70" s="1"/>
  <c r="U44" i="58"/>
  <c r="AB29" i="58"/>
  <c r="H41" i="58"/>
  <c r="L41" i="58" s="1"/>
  <c r="M41" i="58"/>
  <c r="M45" i="58"/>
  <c r="H34" i="58"/>
  <c r="L34" i="58" s="1"/>
  <c r="M34" i="58"/>
  <c r="AH53" i="58"/>
  <c r="AN52" i="54" s="1"/>
  <c r="G51" i="70" s="1"/>
  <c r="U53" i="58"/>
  <c r="AH49" i="58"/>
  <c r="AN48" i="54" s="1"/>
  <c r="G47" i="70" s="1"/>
  <c r="U49" i="58"/>
  <c r="AH55" i="58"/>
  <c r="AN54" i="54" s="1"/>
  <c r="G53" i="70" s="1"/>
  <c r="U55" i="58"/>
  <c r="M46" i="58"/>
  <c r="AH37" i="58"/>
  <c r="AN36" i="54" s="1"/>
  <c r="G35" i="70" s="1"/>
  <c r="U37" i="58"/>
  <c r="AH35" i="58"/>
  <c r="AN34" i="54" s="1"/>
  <c r="G33" i="70" s="1"/>
  <c r="U35" i="58"/>
  <c r="AH43" i="58"/>
  <c r="AN42" i="54" s="1"/>
  <c r="G41" i="70" s="1"/>
  <c r="U43" i="58"/>
  <c r="J29" i="98"/>
  <c r="G16" i="99" s="1"/>
  <c r="AB28" i="58"/>
  <c r="H42" i="58"/>
  <c r="L42" i="58" s="1"/>
  <c r="M42" i="58"/>
  <c r="H35" i="58"/>
  <c r="L35" i="58" s="1"/>
  <c r="M35" i="58"/>
  <c r="M39" i="58"/>
  <c r="AH54" i="58"/>
  <c r="AN53" i="54" s="1"/>
  <c r="G52" i="70" s="1"/>
  <c r="U54" i="58"/>
  <c r="AH50" i="58"/>
  <c r="AN49" i="54" s="1"/>
  <c r="G48" i="70" s="1"/>
  <c r="U50" i="58"/>
  <c r="G51" i="58"/>
  <c r="AH51" i="58"/>
  <c r="AN50" i="54" s="1"/>
  <c r="G49" i="70" s="1"/>
  <c r="U51" i="58"/>
  <c r="H49" i="58"/>
  <c r="L49" i="58" s="1"/>
  <c r="M49" i="58"/>
  <c r="H48" i="58"/>
  <c r="L48" i="58" s="1"/>
  <c r="M48" i="58"/>
  <c r="J33" i="97"/>
  <c r="G33" i="98"/>
  <c r="J67" i="58"/>
  <c r="K67" i="58" s="1"/>
  <c r="J59" i="58"/>
  <c r="K59" i="58" s="1"/>
  <c r="J68" i="58"/>
  <c r="K68" i="58" s="1"/>
  <c r="J61" i="58"/>
  <c r="K61" i="58" s="1"/>
  <c r="J58" i="58"/>
  <c r="K58" i="58" s="1"/>
  <c r="J64" i="58"/>
  <c r="K64" i="58" s="1"/>
  <c r="J62" i="58"/>
  <c r="K62" i="58" s="1"/>
  <c r="J60" i="58"/>
  <c r="K60" i="58" s="1"/>
  <c r="J69" i="58"/>
  <c r="K69" i="58" s="1"/>
  <c r="J66" i="58"/>
  <c r="K66" i="58" s="1"/>
  <c r="J65" i="58"/>
  <c r="K65" i="58" s="1"/>
  <c r="J63" i="58"/>
  <c r="K63" i="58" s="1"/>
  <c r="H33" i="98"/>
  <c r="F68" i="58"/>
  <c r="F60" i="58"/>
  <c r="F62" i="58"/>
  <c r="F66" i="58"/>
  <c r="F64" i="58"/>
  <c r="F63" i="58"/>
  <c r="F58" i="58"/>
  <c r="F67" i="58"/>
  <c r="F59" i="58"/>
  <c r="F65" i="58"/>
  <c r="F69" i="58"/>
  <c r="F61" i="58"/>
  <c r="AB26" i="58"/>
  <c r="AB27" i="58"/>
  <c r="AI12" i="58"/>
  <c r="U10" i="71"/>
  <c r="AH38" i="58"/>
  <c r="AN37" i="54" s="1"/>
  <c r="G36" i="70" s="1"/>
  <c r="U38" i="58"/>
  <c r="AH40" i="58"/>
  <c r="AN39" i="54" s="1"/>
  <c r="G38" i="70" s="1"/>
  <c r="U40" i="58"/>
  <c r="U45" i="58"/>
  <c r="G46" i="58"/>
  <c r="AG46" i="58" s="1"/>
  <c r="S45" i="54" s="1"/>
  <c r="F44" i="70" s="1"/>
  <c r="G45" i="58"/>
  <c r="AG45" i="58" s="1"/>
  <c r="S44" i="54" s="1"/>
  <c r="F43" i="70" s="1"/>
  <c r="AH45" i="58"/>
  <c r="AN44" i="54" s="1"/>
  <c r="G43" i="70" s="1"/>
  <c r="E33" i="98"/>
  <c r="D65" i="58"/>
  <c r="M65" i="58" s="1"/>
  <c r="D67" i="58"/>
  <c r="M67" i="58" s="1"/>
  <c r="D62" i="58"/>
  <c r="M62" i="58" s="1"/>
  <c r="D61" i="58"/>
  <c r="M61" i="58" s="1"/>
  <c r="P33" i="53"/>
  <c r="D60" i="58"/>
  <c r="M60" i="58" s="1"/>
  <c r="D63" i="58"/>
  <c r="M63" i="58" s="1"/>
  <c r="D58" i="58"/>
  <c r="M58" i="58" s="1"/>
  <c r="D68" i="58"/>
  <c r="M68" i="58" s="1"/>
  <c r="D66" i="58"/>
  <c r="M66" i="58" s="1"/>
  <c r="D59" i="58"/>
  <c r="M59" i="58" s="1"/>
  <c r="D69" i="58"/>
  <c r="M69" i="58" s="1"/>
  <c r="D64" i="58"/>
  <c r="M64" i="58" s="1"/>
  <c r="AB31" i="58"/>
  <c r="M37" i="58"/>
  <c r="H37" i="58"/>
  <c r="L37" i="58" s="1"/>
  <c r="M38" i="58"/>
  <c r="H38" i="58"/>
  <c r="L38" i="58" s="1"/>
  <c r="M43" i="58"/>
  <c r="H43" i="58"/>
  <c r="L43" i="58" s="1"/>
  <c r="AH52" i="58"/>
  <c r="AN51" i="54" s="1"/>
  <c r="G50" i="70" s="1"/>
  <c r="U52" i="58"/>
  <c r="AH47" i="58"/>
  <c r="AN46" i="54" s="1"/>
  <c r="G45" i="70" s="1"/>
  <c r="U47" i="58"/>
  <c r="AH56" i="58"/>
  <c r="AN55" i="54" s="1"/>
  <c r="G54" i="70" s="1"/>
  <c r="U56" i="58"/>
  <c r="H50" i="58"/>
  <c r="L50" i="58" s="1"/>
  <c r="M50" i="58"/>
  <c r="G39" i="58"/>
  <c r="AG39" i="58" s="1"/>
  <c r="S38" i="54" s="1"/>
  <c r="AH39" i="58"/>
  <c r="AN38" i="54" s="1"/>
  <c r="G37" i="70" s="1"/>
  <c r="U39" i="58"/>
  <c r="AH42" i="58"/>
  <c r="AN41" i="54" s="1"/>
  <c r="G40" i="70" s="1"/>
  <c r="U42" i="58"/>
  <c r="AH41" i="58"/>
  <c r="AN40" i="54" s="1"/>
  <c r="G39" i="70" s="1"/>
  <c r="U41" i="58"/>
  <c r="H36" i="58"/>
  <c r="L36" i="58" s="1"/>
  <c r="M36" i="58"/>
  <c r="H40" i="58"/>
  <c r="L40" i="58" s="1"/>
  <c r="M40" i="58"/>
  <c r="H44" i="58"/>
  <c r="L44" i="58" s="1"/>
  <c r="M44" i="58"/>
  <c r="J33" i="96"/>
  <c r="G58" i="58"/>
  <c r="AH57" i="58"/>
  <c r="AN56" i="54" s="1"/>
  <c r="G55" i="70" s="1"/>
  <c r="G57" i="58"/>
  <c r="U57" i="58"/>
  <c r="AH48" i="58"/>
  <c r="AN47" i="54" s="1"/>
  <c r="G46" i="70" s="1"/>
  <c r="U48" i="58"/>
  <c r="AH46" i="58"/>
  <c r="U46" i="58"/>
  <c r="H47" i="58"/>
  <c r="L47" i="58" s="1"/>
  <c r="M47" i="58"/>
  <c r="AB30" i="58"/>
  <c r="AG51" i="58"/>
  <c r="H51" i="58"/>
  <c r="L51" i="58" s="1"/>
  <c r="BL34" i="67"/>
  <c r="L35" i="56"/>
  <c r="M35" i="56" s="1"/>
  <c r="P35" i="56" s="1"/>
  <c r="X35" i="67"/>
  <c r="BK35" i="67"/>
  <c r="F41" i="67"/>
  <c r="AD29" i="65"/>
  <c r="F30" i="65"/>
  <c r="Z22" i="65"/>
  <c r="J23" i="71" s="1"/>
  <c r="AG22" i="65"/>
  <c r="L23" i="71" s="1"/>
  <c r="M23" i="71" s="1"/>
  <c r="C34" i="67"/>
  <c r="BM34" i="67" s="1"/>
  <c r="BQ33" i="67"/>
  <c r="BB33" i="67"/>
  <c r="BI27" i="67"/>
  <c r="R36" i="67"/>
  <c r="BP33" i="67"/>
  <c r="BS33" i="67" s="1"/>
  <c r="I44" i="67"/>
  <c r="E67" i="69"/>
  <c r="G67" i="69" s="1"/>
  <c r="H67" i="69" s="1"/>
  <c r="I67" i="69" s="1"/>
  <c r="J67" i="69" s="1"/>
  <c r="K67" i="69" s="1"/>
  <c r="H59" i="73"/>
  <c r="BD28" i="67"/>
  <c r="BE28" i="67" s="1"/>
  <c r="BG28" i="67"/>
  <c r="BT28" i="67" s="1"/>
  <c r="U22" i="65"/>
  <c r="W22" i="65"/>
  <c r="X22" i="65" s="1"/>
  <c r="C23" i="65"/>
  <c r="AF23" i="65" s="1"/>
  <c r="K24" i="71" s="1"/>
  <c r="AH24" i="71" s="1"/>
  <c r="W21" i="78" s="1"/>
  <c r="AU52" i="67"/>
  <c r="AT52" i="67"/>
  <c r="AN51" i="67"/>
  <c r="AO51" i="67"/>
  <c r="AE51" i="67"/>
  <c r="AF51" i="67" s="1"/>
  <c r="AD52" i="67" s="1"/>
  <c r="K32" i="65"/>
  <c r="I33" i="65" s="1"/>
  <c r="M52" i="67"/>
  <c r="N52" i="67" s="1"/>
  <c r="L53" i="67" s="1"/>
  <c r="T35" i="65"/>
  <c r="Q33" i="65"/>
  <c r="O34" i="65" s="1"/>
  <c r="P34" i="65" s="1"/>
  <c r="P37" i="67"/>
  <c r="Q37" i="67" s="1"/>
  <c r="L31" i="65"/>
  <c r="M31" i="65" s="1"/>
  <c r="U36" i="67"/>
  <c r="E65" i="59"/>
  <c r="G65" i="59" s="1"/>
  <c r="H65" i="59" s="1"/>
  <c r="I65" i="59" s="1"/>
  <c r="J65" i="59" s="1"/>
  <c r="K65" i="59" s="1"/>
  <c r="E63" i="56"/>
  <c r="G63" i="56" s="1"/>
  <c r="H63" i="56" s="1"/>
  <c r="I63" i="56" s="1"/>
  <c r="J63" i="56" s="1"/>
  <c r="K63" i="56" s="1"/>
  <c r="AN45" i="54" l="1"/>
  <c r="G44" i="70" s="1"/>
  <c r="E13" i="102"/>
  <c r="J33" i="98"/>
  <c r="G18" i="99" s="1"/>
  <c r="G19" i="99" s="1"/>
  <c r="J34" i="97"/>
  <c r="F18" i="99"/>
  <c r="J34" i="96"/>
  <c r="E18" i="99"/>
  <c r="O44" i="58"/>
  <c r="N44" i="58"/>
  <c r="P44" i="58"/>
  <c r="P36" i="58"/>
  <c r="O36" i="58"/>
  <c r="N36" i="58"/>
  <c r="AA56" i="58"/>
  <c r="W56" i="58"/>
  <c r="V56" i="58"/>
  <c r="X56" i="58"/>
  <c r="Y56" i="58"/>
  <c r="Z56" i="58"/>
  <c r="Z52" i="58"/>
  <c r="Y52" i="58"/>
  <c r="AA52" i="58"/>
  <c r="W52" i="58"/>
  <c r="X52" i="58"/>
  <c r="V52" i="58"/>
  <c r="N66" i="58"/>
  <c r="P66" i="58"/>
  <c r="O66" i="58"/>
  <c r="P60" i="58"/>
  <c r="O60" i="58"/>
  <c r="N60" i="58"/>
  <c r="P67" i="58"/>
  <c r="O67" i="58"/>
  <c r="N67" i="58"/>
  <c r="AI13" i="58"/>
  <c r="U11" i="71"/>
  <c r="AH69" i="58"/>
  <c r="AN68" i="54" s="1"/>
  <c r="G67" i="70" s="1"/>
  <c r="U69" i="58"/>
  <c r="AH58" i="58"/>
  <c r="U58" i="58"/>
  <c r="AH62" i="58"/>
  <c r="AN61" i="54" s="1"/>
  <c r="G60" i="70" s="1"/>
  <c r="U62" i="58"/>
  <c r="N49" i="58"/>
  <c r="P49" i="58"/>
  <c r="O49" i="58"/>
  <c r="H46" i="58"/>
  <c r="L46" i="58" s="1"/>
  <c r="AA36" i="58"/>
  <c r="Y36" i="58"/>
  <c r="X36" i="58"/>
  <c r="V36" i="58"/>
  <c r="Z36" i="58"/>
  <c r="W36" i="58"/>
  <c r="P47" i="58"/>
  <c r="O47" i="58"/>
  <c r="N47" i="58"/>
  <c r="Z48" i="58"/>
  <c r="AA48" i="58"/>
  <c r="V48" i="58"/>
  <c r="Y48" i="58"/>
  <c r="X48" i="58"/>
  <c r="W48" i="58"/>
  <c r="AA42" i="58"/>
  <c r="Z42" i="58"/>
  <c r="W42" i="58"/>
  <c r="Y42" i="58"/>
  <c r="X42" i="58"/>
  <c r="V42" i="58"/>
  <c r="F37" i="70"/>
  <c r="S11" i="76"/>
  <c r="O38" i="58"/>
  <c r="N38" i="58"/>
  <c r="P38" i="58"/>
  <c r="O64" i="58"/>
  <c r="N64" i="58"/>
  <c r="P64" i="58"/>
  <c r="O68" i="58"/>
  <c r="N68" i="58"/>
  <c r="P68" i="58"/>
  <c r="O65" i="58"/>
  <c r="N65" i="58"/>
  <c r="P65" i="58"/>
  <c r="V38" i="58"/>
  <c r="Z38" i="58"/>
  <c r="AA38" i="58"/>
  <c r="Y38" i="58"/>
  <c r="W38" i="58"/>
  <c r="X38" i="58"/>
  <c r="AH65" i="58"/>
  <c r="AN64" i="54" s="1"/>
  <c r="G63" i="70" s="1"/>
  <c r="U65" i="58"/>
  <c r="G63" i="58"/>
  <c r="U63" i="58"/>
  <c r="AH63" i="58"/>
  <c r="AN62" i="54" s="1"/>
  <c r="G61" i="70" s="1"/>
  <c r="AH60" i="58"/>
  <c r="AN59" i="54" s="1"/>
  <c r="G58" i="70" s="1"/>
  <c r="U60" i="58"/>
  <c r="V50" i="58"/>
  <c r="Z50" i="58"/>
  <c r="AA50" i="58"/>
  <c r="W50" i="58"/>
  <c r="Y50" i="58"/>
  <c r="X50" i="58"/>
  <c r="P39" i="58"/>
  <c r="O39" i="58"/>
  <c r="N39" i="58"/>
  <c r="N42" i="58"/>
  <c r="P42" i="58"/>
  <c r="O42" i="58"/>
  <c r="X43" i="58"/>
  <c r="AA43" i="58"/>
  <c r="Y43" i="58"/>
  <c r="V43" i="58"/>
  <c r="W43" i="58"/>
  <c r="Z43" i="58"/>
  <c r="X37" i="58"/>
  <c r="Z37" i="58"/>
  <c r="AA37" i="58"/>
  <c r="W37" i="58"/>
  <c r="Y37" i="58"/>
  <c r="V37" i="58"/>
  <c r="Y55" i="58"/>
  <c r="X55" i="58"/>
  <c r="Z55" i="58"/>
  <c r="AA55" i="58"/>
  <c r="W55" i="58"/>
  <c r="V55" i="58"/>
  <c r="Y53" i="58"/>
  <c r="Z53" i="58"/>
  <c r="V53" i="58"/>
  <c r="X53" i="58"/>
  <c r="W53" i="58"/>
  <c r="AA53" i="58"/>
  <c r="H45" i="58"/>
  <c r="L45" i="58" s="1"/>
  <c r="O40" i="58"/>
  <c r="N40" i="58"/>
  <c r="P40" i="58"/>
  <c r="N50" i="58"/>
  <c r="P50" i="58"/>
  <c r="O50" i="58"/>
  <c r="Y47" i="58"/>
  <c r="AA47" i="58"/>
  <c r="W47" i="58"/>
  <c r="X47" i="58"/>
  <c r="Z47" i="58"/>
  <c r="V47" i="58"/>
  <c r="O69" i="58"/>
  <c r="N69" i="58"/>
  <c r="P69" i="58"/>
  <c r="N58" i="58"/>
  <c r="P58" i="58"/>
  <c r="O58" i="58"/>
  <c r="O61" i="58"/>
  <c r="N61" i="58"/>
  <c r="P61" i="58"/>
  <c r="J34" i="98"/>
  <c r="Y45" i="58"/>
  <c r="X45" i="58"/>
  <c r="Z45" i="58"/>
  <c r="W45" i="58"/>
  <c r="V45" i="58"/>
  <c r="AA45" i="58"/>
  <c r="AH59" i="58"/>
  <c r="AN58" i="54" s="1"/>
  <c r="G57" i="70" s="1"/>
  <c r="U59" i="58"/>
  <c r="AH64" i="58"/>
  <c r="AN63" i="54" s="1"/>
  <c r="G62" i="70" s="1"/>
  <c r="U64" i="58"/>
  <c r="AH68" i="58"/>
  <c r="AN67" i="54" s="1"/>
  <c r="G66" i="70" s="1"/>
  <c r="U68" i="58"/>
  <c r="N48" i="58"/>
  <c r="P48" i="58"/>
  <c r="O48" i="58"/>
  <c r="Z51" i="58"/>
  <c r="AA51" i="58"/>
  <c r="V51" i="58"/>
  <c r="W51" i="58"/>
  <c r="X51" i="58"/>
  <c r="Y51" i="58"/>
  <c r="H39" i="58"/>
  <c r="L39" i="58" s="1"/>
  <c r="P45" i="58"/>
  <c r="O45" i="58"/>
  <c r="N45" i="58"/>
  <c r="AA44" i="58"/>
  <c r="Y44" i="58"/>
  <c r="Z44" i="58"/>
  <c r="V44" i="58"/>
  <c r="W44" i="58"/>
  <c r="X44" i="58"/>
  <c r="Z34" i="58"/>
  <c r="Y34" i="58"/>
  <c r="X34" i="58"/>
  <c r="V34" i="58"/>
  <c r="W34" i="58"/>
  <c r="AA34" i="58"/>
  <c r="AA46" i="58"/>
  <c r="W46" i="58"/>
  <c r="Y46" i="58"/>
  <c r="X46" i="58"/>
  <c r="Z46" i="58"/>
  <c r="V46" i="58"/>
  <c r="AA57" i="58"/>
  <c r="Y57" i="58"/>
  <c r="X57" i="58"/>
  <c r="Z57" i="58"/>
  <c r="W57" i="58"/>
  <c r="V57" i="58"/>
  <c r="V41" i="58"/>
  <c r="W41" i="58"/>
  <c r="AA41" i="58"/>
  <c r="Y41" i="58"/>
  <c r="X41" i="58"/>
  <c r="Z41" i="58"/>
  <c r="Z39" i="58"/>
  <c r="X39" i="58"/>
  <c r="AA39" i="58"/>
  <c r="W39" i="58"/>
  <c r="Y39" i="58"/>
  <c r="V39" i="58"/>
  <c r="N43" i="58"/>
  <c r="P43" i="58"/>
  <c r="O43" i="58"/>
  <c r="N37" i="58"/>
  <c r="P37" i="58"/>
  <c r="O37" i="58"/>
  <c r="P59" i="58"/>
  <c r="O59" i="58"/>
  <c r="N59" i="58"/>
  <c r="P63" i="58"/>
  <c r="O63" i="58"/>
  <c r="N63" i="58"/>
  <c r="O62" i="58"/>
  <c r="N62" i="58"/>
  <c r="P62" i="58"/>
  <c r="Z40" i="58"/>
  <c r="W40" i="58"/>
  <c r="AA40" i="58"/>
  <c r="Y40" i="58"/>
  <c r="X40" i="58"/>
  <c r="V40" i="58"/>
  <c r="AH61" i="58"/>
  <c r="AN60" i="54" s="1"/>
  <c r="G59" i="70" s="1"/>
  <c r="U61" i="58"/>
  <c r="AH67" i="58"/>
  <c r="AN66" i="54" s="1"/>
  <c r="G65" i="70" s="1"/>
  <c r="U67" i="58"/>
  <c r="AH66" i="58"/>
  <c r="AN65" i="54" s="1"/>
  <c r="G64" i="70" s="1"/>
  <c r="U66" i="58"/>
  <c r="AA54" i="58"/>
  <c r="W54" i="58"/>
  <c r="V54" i="58"/>
  <c r="Y54" i="58"/>
  <c r="X54" i="58"/>
  <c r="Z54" i="58"/>
  <c r="N35" i="58"/>
  <c r="P35" i="58"/>
  <c r="O35" i="58"/>
  <c r="AA35" i="58"/>
  <c r="Y35" i="58"/>
  <c r="V35" i="58"/>
  <c r="W35" i="58"/>
  <c r="X35" i="58"/>
  <c r="Z35" i="58"/>
  <c r="P46" i="58"/>
  <c r="O46" i="58"/>
  <c r="N46" i="58"/>
  <c r="AA49" i="58"/>
  <c r="V49" i="58"/>
  <c r="Z49" i="58"/>
  <c r="X49" i="58"/>
  <c r="Y49" i="58"/>
  <c r="W49" i="58"/>
  <c r="P34" i="58"/>
  <c r="O34" i="58"/>
  <c r="N34" i="58"/>
  <c r="P41" i="58"/>
  <c r="O41" i="58"/>
  <c r="N41" i="58"/>
  <c r="AN33" i="54"/>
  <c r="AH71" i="58"/>
  <c r="N23" i="71"/>
  <c r="AE29" i="65"/>
  <c r="I30" i="71"/>
  <c r="S50" i="54"/>
  <c r="N35" i="56"/>
  <c r="Q35" i="56" s="1"/>
  <c r="C36" i="56"/>
  <c r="R28" i="71"/>
  <c r="BJ36" i="67"/>
  <c r="G41" i="67"/>
  <c r="H41" i="67" s="1"/>
  <c r="Y35" i="67"/>
  <c r="Z35" i="67" s="1"/>
  <c r="AI23" i="65"/>
  <c r="AA22" i="65"/>
  <c r="AB22" i="65" s="1"/>
  <c r="AJ22" i="65"/>
  <c r="AH22" i="65"/>
  <c r="G30" i="65"/>
  <c r="H30" i="65" s="1"/>
  <c r="AC30" i="65"/>
  <c r="H31" i="71" s="1"/>
  <c r="AG31" i="71" s="1"/>
  <c r="AD20" i="78" s="1"/>
  <c r="AI23" i="54"/>
  <c r="AK23" i="54" s="1"/>
  <c r="H22" i="70" s="1"/>
  <c r="V16" i="78" s="1"/>
  <c r="BR33" i="67"/>
  <c r="J44" i="67"/>
  <c r="K44" i="67" s="1"/>
  <c r="BF34" i="67"/>
  <c r="D34" i="67"/>
  <c r="E34" i="67" s="1"/>
  <c r="BN34" i="67" s="1"/>
  <c r="BC34" i="67"/>
  <c r="BL35" i="67"/>
  <c r="S36" i="67"/>
  <c r="T36" i="67" s="1"/>
  <c r="BO33" i="67"/>
  <c r="BH28" i="67"/>
  <c r="BU28" i="67" s="1"/>
  <c r="E68" i="69"/>
  <c r="G68" i="69" s="1"/>
  <c r="H68" i="69" s="1"/>
  <c r="I68" i="69" s="1"/>
  <c r="J68" i="69" s="1"/>
  <c r="K68" i="69" s="1"/>
  <c r="H60" i="73"/>
  <c r="O38" i="67"/>
  <c r="V23" i="65"/>
  <c r="Y23" i="65"/>
  <c r="D23" i="65"/>
  <c r="AU53" i="67"/>
  <c r="AT53" i="67"/>
  <c r="AO52" i="67"/>
  <c r="AN52" i="67"/>
  <c r="AE52" i="67"/>
  <c r="AF52" i="67" s="1"/>
  <c r="AD53" i="67" s="1"/>
  <c r="J33" i="65"/>
  <c r="K33" i="65" s="1"/>
  <c r="I34" i="65" s="1"/>
  <c r="M53" i="67"/>
  <c r="N53" i="67"/>
  <c r="L54" i="67" s="1"/>
  <c r="Q34" i="65"/>
  <c r="O35" i="65" s="1"/>
  <c r="P35" i="65" s="1"/>
  <c r="N31" i="65"/>
  <c r="AB29" i="67"/>
  <c r="AC29" i="67"/>
  <c r="V36" i="67"/>
  <c r="W36" i="67" s="1"/>
  <c r="E66" i="59"/>
  <c r="G66" i="59" s="1"/>
  <c r="H66" i="59" s="1"/>
  <c r="I66" i="59" s="1"/>
  <c r="J66" i="59" s="1"/>
  <c r="K66" i="59" s="1"/>
  <c r="E64" i="56"/>
  <c r="G64" i="56" s="1"/>
  <c r="H64" i="56" s="1"/>
  <c r="I64" i="56" s="1"/>
  <c r="J64" i="56" s="1"/>
  <c r="K64" i="56" s="1"/>
  <c r="C35" i="67" l="1"/>
  <c r="BM35" i="67" s="1"/>
  <c r="AB42" i="58"/>
  <c r="AN12" i="76"/>
  <c r="AB39" i="58"/>
  <c r="AB57" i="58"/>
  <c r="AB44" i="58"/>
  <c r="AN57" i="54"/>
  <c r="AN70" i="54" s="1"/>
  <c r="E14" i="102"/>
  <c r="G17" i="99"/>
  <c r="F19" i="99"/>
  <c r="F17" i="99"/>
  <c r="E17" i="99"/>
  <c r="E19" i="99"/>
  <c r="AB49" i="58"/>
  <c r="AB35" i="58"/>
  <c r="AA66" i="58"/>
  <c r="V66" i="58"/>
  <c r="X66" i="58"/>
  <c r="Z66" i="58"/>
  <c r="Y66" i="58"/>
  <c r="W66" i="58"/>
  <c r="AA61" i="58"/>
  <c r="Z61" i="58"/>
  <c r="Y61" i="58"/>
  <c r="X61" i="58"/>
  <c r="V61" i="58"/>
  <c r="W61" i="58"/>
  <c r="V68" i="58"/>
  <c r="W68" i="58"/>
  <c r="Y68" i="58"/>
  <c r="AA68" i="58"/>
  <c r="Z68" i="58"/>
  <c r="X68" i="58"/>
  <c r="Y59" i="58"/>
  <c r="V59" i="58"/>
  <c r="AA59" i="58"/>
  <c r="W59" i="58"/>
  <c r="X59" i="58"/>
  <c r="Z59" i="58"/>
  <c r="Y65" i="58"/>
  <c r="Z65" i="58"/>
  <c r="AA65" i="58"/>
  <c r="V65" i="58"/>
  <c r="X65" i="58"/>
  <c r="W65" i="58"/>
  <c r="AB52" i="58"/>
  <c r="G32" i="70"/>
  <c r="AN11" i="76"/>
  <c r="AB54" i="58"/>
  <c r="AB46" i="58"/>
  <c r="AB34" i="58"/>
  <c r="AB55" i="58"/>
  <c r="V58" i="58"/>
  <c r="Y58" i="58"/>
  <c r="X58" i="58"/>
  <c r="AA58" i="58"/>
  <c r="W58" i="58"/>
  <c r="Z58" i="58"/>
  <c r="AB56" i="58"/>
  <c r="V67" i="58"/>
  <c r="X67" i="58"/>
  <c r="Y67" i="58"/>
  <c r="W67" i="58"/>
  <c r="Z67" i="58"/>
  <c r="AA67" i="58"/>
  <c r="AB40" i="58"/>
  <c r="AB41" i="58"/>
  <c r="AB51" i="58"/>
  <c r="Z64" i="58"/>
  <c r="AA64" i="58"/>
  <c r="W64" i="58"/>
  <c r="Y64" i="58"/>
  <c r="V64" i="58"/>
  <c r="X64" i="58"/>
  <c r="AB47" i="58"/>
  <c r="AB53" i="58"/>
  <c r="AB50" i="58"/>
  <c r="Z63" i="58"/>
  <c r="W63" i="58"/>
  <c r="X63" i="58"/>
  <c r="V63" i="58"/>
  <c r="AA63" i="58"/>
  <c r="Y63" i="58"/>
  <c r="AI14" i="58"/>
  <c r="U12" i="71"/>
  <c r="AB45" i="58"/>
  <c r="AB37" i="58"/>
  <c r="AB43" i="58"/>
  <c r="V60" i="58"/>
  <c r="Z60" i="58"/>
  <c r="X60" i="58"/>
  <c r="AA60" i="58"/>
  <c r="W60" i="58"/>
  <c r="Y60" i="58"/>
  <c r="AB38" i="58"/>
  <c r="AB48" i="58"/>
  <c r="AB36" i="58"/>
  <c r="V62" i="58"/>
  <c r="X62" i="58"/>
  <c r="Z62" i="58"/>
  <c r="Y62" i="58"/>
  <c r="W62" i="58"/>
  <c r="AA62" i="58"/>
  <c r="Z69" i="58"/>
  <c r="V69" i="58"/>
  <c r="Y69" i="58"/>
  <c r="W69" i="58"/>
  <c r="AA69" i="58"/>
  <c r="X69" i="58"/>
  <c r="F49" i="70"/>
  <c r="L36" i="56"/>
  <c r="M36" i="56" s="1"/>
  <c r="P36" i="56" s="1"/>
  <c r="BK36" i="67"/>
  <c r="X36" i="67"/>
  <c r="F42" i="67"/>
  <c r="P38" i="67"/>
  <c r="Q38" i="67" s="1"/>
  <c r="O39" i="67" s="1"/>
  <c r="AD30" i="65"/>
  <c r="I31" i="71" s="1"/>
  <c r="F31" i="65"/>
  <c r="AM22" i="65"/>
  <c r="AK22" i="65"/>
  <c r="AN22" i="65" s="1"/>
  <c r="AE30" i="65"/>
  <c r="AL23" i="65"/>
  <c r="BC35" i="67"/>
  <c r="D35" i="67"/>
  <c r="E35" i="67" s="1"/>
  <c r="BN35" i="67" s="1"/>
  <c r="BF35" i="67"/>
  <c r="BP34" i="67"/>
  <c r="BS34" i="67" s="1"/>
  <c r="BI28" i="67"/>
  <c r="R37" i="67"/>
  <c r="I45" i="67"/>
  <c r="BQ34" i="67"/>
  <c r="BB34" i="67"/>
  <c r="E69" i="69"/>
  <c r="G69" i="69" s="1"/>
  <c r="H69" i="69" s="1"/>
  <c r="I69" i="69" s="1"/>
  <c r="J69" i="69" s="1"/>
  <c r="K69" i="69" s="1"/>
  <c r="H61" i="73"/>
  <c r="BD29" i="67"/>
  <c r="BE29" i="67" s="1"/>
  <c r="BG29" i="67"/>
  <c r="BT29" i="67" s="1"/>
  <c r="U37" i="67"/>
  <c r="V37" i="67" s="1"/>
  <c r="W37" i="67" s="1"/>
  <c r="E23" i="65"/>
  <c r="AT54" i="67"/>
  <c r="AU54" i="67"/>
  <c r="AO53" i="67"/>
  <c r="AN53" i="67"/>
  <c r="AE53" i="67"/>
  <c r="AF53" i="67" s="1"/>
  <c r="AD54" i="67" s="1"/>
  <c r="J34" i="65"/>
  <c r="K34" i="65" s="1"/>
  <c r="I35" i="65" s="1"/>
  <c r="J35" i="65" s="1"/>
  <c r="M54" i="67"/>
  <c r="N54" i="67" s="1"/>
  <c r="L55" i="67" s="1"/>
  <c r="AC30" i="67"/>
  <c r="Q35" i="65"/>
  <c r="O36" i="65" s="1"/>
  <c r="P36" i="65" s="1"/>
  <c r="AB30" i="67"/>
  <c r="L32" i="65"/>
  <c r="M32" i="65" s="1"/>
  <c r="R36" i="65"/>
  <c r="S36" i="65" s="1"/>
  <c r="E67" i="59"/>
  <c r="G67" i="59" s="1"/>
  <c r="H67" i="59" s="1"/>
  <c r="I67" i="59" s="1"/>
  <c r="J67" i="59" s="1"/>
  <c r="K67" i="59" s="1"/>
  <c r="E65" i="56"/>
  <c r="G65" i="56" s="1"/>
  <c r="H65" i="56" s="1"/>
  <c r="I65" i="56" s="1"/>
  <c r="J65" i="56" s="1"/>
  <c r="K65" i="56" s="1"/>
  <c r="AN13" i="76" l="1"/>
  <c r="AN15" i="76" s="1"/>
  <c r="G56" i="70"/>
  <c r="G69" i="70" s="1"/>
  <c r="AB62" i="58"/>
  <c r="AB60" i="58"/>
  <c r="AB67" i="58"/>
  <c r="AB66" i="58"/>
  <c r="AB69" i="58"/>
  <c r="AB68" i="58"/>
  <c r="U13" i="71"/>
  <c r="AI15" i="58"/>
  <c r="AB65" i="58"/>
  <c r="AB59" i="58"/>
  <c r="AB63" i="58"/>
  <c r="AB64" i="58"/>
  <c r="AB58" i="58"/>
  <c r="AB61" i="58"/>
  <c r="C36" i="67"/>
  <c r="AG52" i="58"/>
  <c r="H52" i="58"/>
  <c r="L52" i="58" s="1"/>
  <c r="N36" i="56"/>
  <c r="Q36" i="56" s="1"/>
  <c r="BL36" i="67"/>
  <c r="R29" i="71"/>
  <c r="C37" i="56"/>
  <c r="BJ37" i="67"/>
  <c r="G42" i="67"/>
  <c r="H42" i="67" s="1"/>
  <c r="BM36" i="67"/>
  <c r="Y36" i="67"/>
  <c r="Z36" i="67" s="1"/>
  <c r="P39" i="67"/>
  <c r="Q39" i="67" s="1"/>
  <c r="O40" i="67" s="1"/>
  <c r="Z23" i="65"/>
  <c r="J24" i="71" s="1"/>
  <c r="AG23" i="65"/>
  <c r="L24" i="71" s="1"/>
  <c r="M24" i="71" s="1"/>
  <c r="G31" i="65"/>
  <c r="H31" i="65" s="1"/>
  <c r="AD31" i="65" s="1"/>
  <c r="I32" i="71" s="1"/>
  <c r="E15" i="74" s="1"/>
  <c r="AC31" i="65"/>
  <c r="H32" i="71" s="1"/>
  <c r="AA23" i="65"/>
  <c r="J45" i="67"/>
  <c r="K45" i="67" s="1"/>
  <c r="BR34" i="67"/>
  <c r="BB35" i="67"/>
  <c r="BQ35" i="67"/>
  <c r="S37" i="67"/>
  <c r="T37" i="67" s="1"/>
  <c r="BO34" i="67"/>
  <c r="D36" i="67"/>
  <c r="E36" i="67" s="1"/>
  <c r="BC36" i="67"/>
  <c r="BF36" i="67"/>
  <c r="BO35" i="67"/>
  <c r="BP35" i="67"/>
  <c r="BS35" i="67" s="1"/>
  <c r="BH29" i="67"/>
  <c r="BU29" i="67" s="1"/>
  <c r="E70" i="69"/>
  <c r="G70" i="69" s="1"/>
  <c r="H70" i="69" s="1"/>
  <c r="I70" i="69" s="1"/>
  <c r="J70" i="69" s="1"/>
  <c r="K70" i="69" s="1"/>
  <c r="H62" i="73"/>
  <c r="BD30" i="67"/>
  <c r="BE30" i="67" s="1"/>
  <c r="BG30" i="67"/>
  <c r="BT30" i="67" s="1"/>
  <c r="W23" i="65"/>
  <c r="X23" i="65" s="1"/>
  <c r="U23" i="65"/>
  <c r="C24" i="65"/>
  <c r="AF24" i="65" s="1"/>
  <c r="K25" i="71" s="1"/>
  <c r="AU55" i="67"/>
  <c r="AS56" i="67" s="1"/>
  <c r="AT55" i="67"/>
  <c r="AO54" i="67"/>
  <c r="AN54" i="67"/>
  <c r="AE54" i="67"/>
  <c r="AF54" i="67" s="1"/>
  <c r="AD55" i="67" s="1"/>
  <c r="N55" i="67"/>
  <c r="L56" i="67" s="1"/>
  <c r="M55" i="67"/>
  <c r="AB31" i="67"/>
  <c r="AC31" i="67" s="1"/>
  <c r="T36" i="65"/>
  <c r="Q36" i="65"/>
  <c r="N32" i="65"/>
  <c r="U38" i="67"/>
  <c r="K35" i="65"/>
  <c r="E68" i="59"/>
  <c r="G68" i="59" s="1"/>
  <c r="H68" i="59" s="1"/>
  <c r="I68" i="59" s="1"/>
  <c r="J68" i="59" s="1"/>
  <c r="K68" i="59" s="1"/>
  <c r="E66" i="56"/>
  <c r="G66" i="56" s="1"/>
  <c r="H66" i="56" s="1"/>
  <c r="I66" i="56" s="1"/>
  <c r="J66" i="56" s="1"/>
  <c r="K66" i="56" s="1"/>
  <c r="U14" i="71" l="1"/>
  <c r="AI16" i="58"/>
  <c r="AH25" i="71"/>
  <c r="X21" i="78" s="1"/>
  <c r="AB23" i="65"/>
  <c r="N24" i="71"/>
  <c r="E14" i="74"/>
  <c r="E16" i="74" s="1"/>
  <c r="AG32" i="71"/>
  <c r="AE20" i="78" s="1"/>
  <c r="S51" i="54"/>
  <c r="M37" i="56"/>
  <c r="P37" i="56" s="1"/>
  <c r="L37" i="56"/>
  <c r="R38" i="67"/>
  <c r="S38" i="67" s="1"/>
  <c r="T38" i="67" s="1"/>
  <c r="R39" i="67" s="1"/>
  <c r="BK37" i="67"/>
  <c r="X37" i="67"/>
  <c r="BN36" i="67"/>
  <c r="BI29" i="67"/>
  <c r="F43" i="67"/>
  <c r="AE31" i="65"/>
  <c r="AI24" i="65"/>
  <c r="F32" i="65"/>
  <c r="AJ23" i="65"/>
  <c r="AH23" i="65"/>
  <c r="AI24" i="54"/>
  <c r="AK24" i="54" s="1"/>
  <c r="H23" i="70" s="1"/>
  <c r="W16" i="78" s="1"/>
  <c r="BP36" i="67"/>
  <c r="BS36" i="67" s="1"/>
  <c r="BR35" i="67"/>
  <c r="I46" i="67"/>
  <c r="BB36" i="67"/>
  <c r="C37" i="67"/>
  <c r="BH30" i="67"/>
  <c r="BU30" i="67" s="1"/>
  <c r="E71" i="69"/>
  <c r="G71" i="69" s="1"/>
  <c r="H71" i="69" s="1"/>
  <c r="I71" i="69" s="1"/>
  <c r="J71" i="69" s="1"/>
  <c r="K71" i="69" s="1"/>
  <c r="H63" i="73"/>
  <c r="BD31" i="67"/>
  <c r="BE31" i="67" s="1"/>
  <c r="BG31" i="67"/>
  <c r="BT31" i="67" s="1"/>
  <c r="V24" i="65"/>
  <c r="Y24" i="65"/>
  <c r="D24" i="65"/>
  <c r="AT56" i="67"/>
  <c r="AU56" i="67" s="1"/>
  <c r="AS57" i="67" s="1"/>
  <c r="AO55" i="67"/>
  <c r="AM56" i="67" s="1"/>
  <c r="AN55" i="67"/>
  <c r="AE55" i="67"/>
  <c r="AF55" i="67" s="1"/>
  <c r="AD56" i="67" s="1"/>
  <c r="M56" i="67"/>
  <c r="N56" i="67" s="1"/>
  <c r="L57" i="67" s="1"/>
  <c r="V38" i="67"/>
  <c r="W38" i="67" s="1"/>
  <c r="P40" i="67"/>
  <c r="Q40" i="67" s="1"/>
  <c r="L33" i="65"/>
  <c r="M33" i="65" s="1"/>
  <c r="O37" i="65"/>
  <c r="P37" i="65" s="1"/>
  <c r="R37" i="65"/>
  <c r="S37" i="65" s="1"/>
  <c r="I36" i="65"/>
  <c r="E69" i="59"/>
  <c r="G69" i="59" s="1"/>
  <c r="H69" i="59" s="1"/>
  <c r="I69" i="59" s="1"/>
  <c r="J69" i="59" s="1"/>
  <c r="K69" i="59" s="1"/>
  <c r="E67" i="56"/>
  <c r="G67" i="56" s="1"/>
  <c r="H67" i="56" s="1"/>
  <c r="I67" i="56" s="1"/>
  <c r="J67" i="56" s="1"/>
  <c r="K67" i="56" s="1"/>
  <c r="U15" i="71" l="1"/>
  <c r="AI17" i="58"/>
  <c r="F50" i="70"/>
  <c r="BI30" i="67"/>
  <c r="BL37" i="67"/>
  <c r="N37" i="56"/>
  <c r="Q37" i="56" s="1"/>
  <c r="R30" i="71"/>
  <c r="C38" i="56"/>
  <c r="BQ36" i="67"/>
  <c r="BR36" i="67" s="1"/>
  <c r="S39" i="67"/>
  <c r="T39" i="67" s="1"/>
  <c r="R40" i="67" s="1"/>
  <c r="BK38" i="67"/>
  <c r="G43" i="67"/>
  <c r="H43" i="67" s="1"/>
  <c r="F44" i="67" s="1"/>
  <c r="BM37" i="67"/>
  <c r="Y37" i="67"/>
  <c r="Z37" i="67" s="1"/>
  <c r="BJ38" i="67"/>
  <c r="AL24" i="65"/>
  <c r="AM23" i="65"/>
  <c r="AK23" i="65"/>
  <c r="AN23" i="65" s="1"/>
  <c r="G32" i="65"/>
  <c r="AC32" i="65"/>
  <c r="H33" i="71" s="1"/>
  <c r="AG33" i="71" s="1"/>
  <c r="AF20" i="78" s="1"/>
  <c r="H32" i="65"/>
  <c r="AD32" i="65" s="1"/>
  <c r="I33" i="71" s="1"/>
  <c r="BC37" i="67"/>
  <c r="BF37" i="67"/>
  <c r="D37" i="67"/>
  <c r="E37" i="67"/>
  <c r="J46" i="67"/>
  <c r="K46" i="67" s="1"/>
  <c r="BO36" i="67"/>
  <c r="BH31" i="67"/>
  <c r="BU31" i="67" s="1"/>
  <c r="E72" i="69"/>
  <c r="G72" i="69" s="1"/>
  <c r="H72" i="69" s="1"/>
  <c r="I72" i="69" s="1"/>
  <c r="J72" i="69" s="1"/>
  <c r="K72" i="69" s="1"/>
  <c r="H64" i="73"/>
  <c r="AJ32" i="54"/>
  <c r="O41" i="67"/>
  <c r="E24" i="65"/>
  <c r="AT57" i="67"/>
  <c r="AU57" i="67" s="1"/>
  <c r="AS58" i="67" s="1"/>
  <c r="AN56" i="67"/>
  <c r="AO56" i="67" s="1"/>
  <c r="AM57" i="67" s="1"/>
  <c r="AE56" i="67"/>
  <c r="AF56" i="67"/>
  <c r="AD57" i="67" s="1"/>
  <c r="J36" i="65"/>
  <c r="K36" i="65" s="1"/>
  <c r="I37" i="65" s="1"/>
  <c r="J37" i="65" s="1"/>
  <c r="M57" i="67"/>
  <c r="N57" i="67" s="1"/>
  <c r="L58" i="67" s="1"/>
  <c r="T37" i="65"/>
  <c r="Q37" i="65"/>
  <c r="O38" i="65" s="1"/>
  <c r="P38" i="65" s="1"/>
  <c r="N33" i="65"/>
  <c r="AB32" i="67"/>
  <c r="U39" i="67"/>
  <c r="BJ39" i="67" s="1"/>
  <c r="E70" i="59"/>
  <c r="G70" i="59" s="1"/>
  <c r="H70" i="59" s="1"/>
  <c r="I70" i="59" s="1"/>
  <c r="J70" i="59" s="1"/>
  <c r="K70" i="59" s="1"/>
  <c r="E68" i="56"/>
  <c r="G68" i="56" s="1"/>
  <c r="H68" i="56" s="1"/>
  <c r="I68" i="56" s="1"/>
  <c r="J68" i="56" s="1"/>
  <c r="K68" i="56" s="1"/>
  <c r="U16" i="71" l="1"/>
  <c r="AI18" i="58"/>
  <c r="F33" i="65"/>
  <c r="AG53" i="58"/>
  <c r="H53" i="58"/>
  <c r="L53" i="58" s="1"/>
  <c r="L38" i="56"/>
  <c r="M38" i="56" s="1"/>
  <c r="P38" i="56" s="1"/>
  <c r="G44" i="67"/>
  <c r="H44" i="67"/>
  <c r="F45" i="67" s="1"/>
  <c r="BI31" i="67"/>
  <c r="BL38" i="67"/>
  <c r="P41" i="67"/>
  <c r="Q41" i="67" s="1"/>
  <c r="O42" i="67" s="1"/>
  <c r="X38" i="67"/>
  <c r="Z24" i="65"/>
  <c r="J25" i="71" s="1"/>
  <c r="AG24" i="65"/>
  <c r="L25" i="71" s="1"/>
  <c r="M25" i="71" s="1"/>
  <c r="AE32" i="65"/>
  <c r="G33" i="65"/>
  <c r="AC33" i="65"/>
  <c r="H34" i="71" s="1"/>
  <c r="AG34" i="71" s="1"/>
  <c r="AG20" i="78" s="1"/>
  <c r="H33" i="65"/>
  <c r="AD33" i="65" s="1"/>
  <c r="I34" i="71" s="1"/>
  <c r="I47" i="67"/>
  <c r="S40" i="67"/>
  <c r="T40" i="67" s="1"/>
  <c r="R41" i="67" s="1"/>
  <c r="BP37" i="67"/>
  <c r="BS37" i="67" s="1"/>
  <c r="C38" i="67"/>
  <c r="E73" i="69"/>
  <c r="G73" i="69" s="1"/>
  <c r="H73" i="69" s="1"/>
  <c r="I73" i="69" s="1"/>
  <c r="J73" i="69" s="1"/>
  <c r="K73" i="69" s="1"/>
  <c r="H65" i="73"/>
  <c r="W24" i="65"/>
  <c r="X24" i="65" s="1"/>
  <c r="U24" i="65"/>
  <c r="C25" i="65"/>
  <c r="AF25" i="65" s="1"/>
  <c r="K26" i="71" s="1"/>
  <c r="AN57" i="67"/>
  <c r="AO57" i="67" s="1"/>
  <c r="AM58" i="67" s="1"/>
  <c r="AT58" i="67"/>
  <c r="AU58" i="67" s="1"/>
  <c r="AS59" i="67" s="1"/>
  <c r="AF57" i="67"/>
  <c r="AD58" i="67" s="1"/>
  <c r="AE57" i="67"/>
  <c r="N58" i="67"/>
  <c r="L59" i="67" s="1"/>
  <c r="M58" i="67"/>
  <c r="Q38" i="65"/>
  <c r="O39" i="65" s="1"/>
  <c r="P39" i="65" s="1"/>
  <c r="AC32" i="67"/>
  <c r="V39" i="67"/>
  <c r="W39" i="67" s="1"/>
  <c r="BK39" i="67" s="1"/>
  <c r="L34" i="65"/>
  <c r="M34" i="65" s="1"/>
  <c r="R38" i="65"/>
  <c r="S38" i="65" s="1"/>
  <c r="K37" i="65"/>
  <c r="E71" i="59"/>
  <c r="G71" i="59" s="1"/>
  <c r="H71" i="59" s="1"/>
  <c r="I71" i="59" s="1"/>
  <c r="J71" i="59" s="1"/>
  <c r="K71" i="59" s="1"/>
  <c r="E69" i="56"/>
  <c r="G69" i="56" s="1"/>
  <c r="H69" i="56" s="1"/>
  <c r="I69" i="56" s="1"/>
  <c r="J69" i="56" s="1"/>
  <c r="K69" i="56" s="1"/>
  <c r="AA24" i="65" l="1"/>
  <c r="AB24" i="65" s="1"/>
  <c r="AI19" i="58"/>
  <c r="U17" i="71"/>
  <c r="AH26" i="71"/>
  <c r="Y21" i="78" s="1"/>
  <c r="N25" i="71"/>
  <c r="S52" i="54"/>
  <c r="N38" i="56"/>
  <c r="Q38" i="56" s="1"/>
  <c r="C39" i="56"/>
  <c r="R31" i="71"/>
  <c r="G45" i="67"/>
  <c r="H45" i="67" s="1"/>
  <c r="F46" i="67" s="1"/>
  <c r="G46" i="67" s="1"/>
  <c r="H46" i="67" s="1"/>
  <c r="P42" i="67"/>
  <c r="Q42" i="67" s="1"/>
  <c r="O43" i="67" s="1"/>
  <c r="Y38" i="67"/>
  <c r="Z38" i="67" s="1"/>
  <c r="AI25" i="65"/>
  <c r="AE33" i="65"/>
  <c r="AJ24" i="65"/>
  <c r="AH24" i="65"/>
  <c r="F34" i="65"/>
  <c r="AI25" i="54"/>
  <c r="AK25" i="54" s="1"/>
  <c r="H24" i="70" s="1"/>
  <c r="X16" i="78" s="1"/>
  <c r="D38" i="67"/>
  <c r="E38" i="67" s="1"/>
  <c r="J47" i="67"/>
  <c r="K47" i="67" s="1"/>
  <c r="BL39" i="67"/>
  <c r="E74" i="69"/>
  <c r="G74" i="69" s="1"/>
  <c r="H74" i="69" s="1"/>
  <c r="I74" i="69" s="1"/>
  <c r="J74" i="69" s="1"/>
  <c r="K74" i="69" s="1"/>
  <c r="H66" i="73"/>
  <c r="U40" i="67"/>
  <c r="BJ40" i="67" s="1"/>
  <c r="BD32" i="67"/>
  <c r="BE32" i="67" s="1"/>
  <c r="BG32" i="67"/>
  <c r="BT32" i="67" s="1"/>
  <c r="V25" i="65"/>
  <c r="Y25" i="65"/>
  <c r="D25" i="65"/>
  <c r="AN58" i="67"/>
  <c r="AO58" i="67" s="1"/>
  <c r="AM59" i="67" s="1"/>
  <c r="AT59" i="67"/>
  <c r="AU59" i="67" s="1"/>
  <c r="AS60" i="67" s="1"/>
  <c r="AE58" i="67"/>
  <c r="AF58" i="67"/>
  <c r="AD59" i="67" s="1"/>
  <c r="N59" i="67"/>
  <c r="L60" i="67" s="1"/>
  <c r="M59" i="67"/>
  <c r="Q39" i="65"/>
  <c r="O40" i="65" s="1"/>
  <c r="P40" i="65" s="1"/>
  <c r="N34" i="65"/>
  <c r="S41" i="67"/>
  <c r="T41" i="67" s="1"/>
  <c r="T38" i="65"/>
  <c r="R39" i="65" s="1"/>
  <c r="S39" i="65" s="1"/>
  <c r="E72" i="59"/>
  <c r="G72" i="59" s="1"/>
  <c r="H72" i="59" s="1"/>
  <c r="I72" i="59" s="1"/>
  <c r="J72" i="59" s="1"/>
  <c r="K72" i="59" s="1"/>
  <c r="E70" i="56"/>
  <c r="G70" i="56" s="1"/>
  <c r="H70" i="56" s="1"/>
  <c r="I70" i="56" s="1"/>
  <c r="J70" i="56" s="1"/>
  <c r="K70" i="56" s="1"/>
  <c r="AI20" i="58" l="1"/>
  <c r="U18" i="71"/>
  <c r="F51" i="70"/>
  <c r="L39" i="56"/>
  <c r="M39" i="56" s="1"/>
  <c r="P39" i="56" s="1"/>
  <c r="X39" i="67"/>
  <c r="G34" i="65"/>
  <c r="AC34" i="65"/>
  <c r="H35" i="71" s="1"/>
  <c r="AG35" i="71" s="1"/>
  <c r="AH20" i="78" s="1"/>
  <c r="H34" i="65"/>
  <c r="AL25" i="65"/>
  <c r="AM24" i="65"/>
  <c r="AK24" i="65"/>
  <c r="AN24" i="65" s="1"/>
  <c r="C39" i="67"/>
  <c r="I48" i="67"/>
  <c r="V40" i="67"/>
  <c r="W40" i="67" s="1"/>
  <c r="BK40" i="67" s="1"/>
  <c r="BH32" i="67"/>
  <c r="BU32" i="67" s="1"/>
  <c r="E75" i="69"/>
  <c r="G75" i="69" s="1"/>
  <c r="H75" i="69" s="1"/>
  <c r="I75" i="69" s="1"/>
  <c r="J75" i="69" s="1"/>
  <c r="K75" i="69" s="1"/>
  <c r="H67" i="73"/>
  <c r="AJ33" i="54"/>
  <c r="R42" i="67"/>
  <c r="E25" i="65"/>
  <c r="AN59" i="67"/>
  <c r="AO59" i="67" s="1"/>
  <c r="AM60" i="67" s="1"/>
  <c r="AT60" i="67"/>
  <c r="AU60" i="67" s="1"/>
  <c r="AS61" i="67" s="1"/>
  <c r="AF59" i="67"/>
  <c r="AD60" i="67" s="1"/>
  <c r="AE59" i="67"/>
  <c r="M60" i="67"/>
  <c r="N60" i="67" s="1"/>
  <c r="L61" i="67" s="1"/>
  <c r="T39" i="65"/>
  <c r="Q40" i="65"/>
  <c r="O41" i="65" s="1"/>
  <c r="P41" i="65" s="1"/>
  <c r="AB33" i="67"/>
  <c r="P43" i="67"/>
  <c r="Q43" i="67" s="1"/>
  <c r="L35" i="65"/>
  <c r="M35" i="65" s="1"/>
  <c r="F47" i="67"/>
  <c r="I38" i="65"/>
  <c r="E73" i="59"/>
  <c r="G73" i="59" s="1"/>
  <c r="H73" i="59" s="1"/>
  <c r="I73" i="59" s="1"/>
  <c r="J73" i="59" s="1"/>
  <c r="K73" i="59" s="1"/>
  <c r="E71" i="56"/>
  <c r="G71" i="56" s="1"/>
  <c r="H71" i="56" s="1"/>
  <c r="I71" i="56" s="1"/>
  <c r="J71" i="56" s="1"/>
  <c r="K71" i="56" s="1"/>
  <c r="AI21" i="58" l="1"/>
  <c r="U19" i="71"/>
  <c r="BI32" i="67"/>
  <c r="AG54" i="58"/>
  <c r="H54" i="58"/>
  <c r="L54" i="58" s="1"/>
  <c r="U41" i="67"/>
  <c r="BJ41" i="67" s="1"/>
  <c r="N39" i="56"/>
  <c r="Q39" i="56" s="1"/>
  <c r="C40" i="56"/>
  <c r="R32" i="71"/>
  <c r="E26" i="74" s="1"/>
  <c r="Y39" i="67"/>
  <c r="Z39" i="67" s="1"/>
  <c r="Z25" i="65"/>
  <c r="J26" i="71" s="1"/>
  <c r="AG25" i="65"/>
  <c r="L26" i="71" s="1"/>
  <c r="M26" i="71" s="1"/>
  <c r="F35" i="65"/>
  <c r="AD34" i="65"/>
  <c r="I35" i="71" s="1"/>
  <c r="S42" i="67"/>
  <c r="T42" i="67" s="1"/>
  <c r="R43" i="67" s="1"/>
  <c r="BL40" i="67"/>
  <c r="J48" i="67"/>
  <c r="K48" i="67" s="1"/>
  <c r="D39" i="67"/>
  <c r="E39" i="67"/>
  <c r="O44" i="67"/>
  <c r="C26" i="65"/>
  <c r="AF26" i="65" s="1"/>
  <c r="K27" i="71" s="1"/>
  <c r="W25" i="65"/>
  <c r="X25" i="65" s="1"/>
  <c r="U25" i="65"/>
  <c r="AN60" i="67"/>
  <c r="AO60" i="67" s="1"/>
  <c r="AM61" i="67" s="1"/>
  <c r="AT61" i="67"/>
  <c r="AU61" i="67" s="1"/>
  <c r="AS62" i="67" s="1"/>
  <c r="AE60" i="67"/>
  <c r="AF60" i="67"/>
  <c r="AD61" i="67" s="1"/>
  <c r="J38" i="65"/>
  <c r="K38" i="65" s="1"/>
  <c r="H47" i="67"/>
  <c r="M61" i="67"/>
  <c r="N61" i="67"/>
  <c r="L62" i="67" s="1"/>
  <c r="Q41" i="65"/>
  <c r="O42" i="65" s="1"/>
  <c r="P42" i="65" s="1"/>
  <c r="AC33" i="67"/>
  <c r="G47" i="67"/>
  <c r="N35" i="65"/>
  <c r="R40" i="65"/>
  <c r="S40" i="65" s="1"/>
  <c r="E74" i="59"/>
  <c r="G74" i="59" s="1"/>
  <c r="H74" i="59" s="1"/>
  <c r="I74" i="59" s="1"/>
  <c r="J74" i="59" s="1"/>
  <c r="K74" i="59" s="1"/>
  <c r="E75" i="59"/>
  <c r="G75" i="59" s="1"/>
  <c r="H75" i="59" s="1"/>
  <c r="I75" i="59" s="1"/>
  <c r="J75" i="59" s="1"/>
  <c r="K75" i="59" s="1"/>
  <c r="E72" i="56"/>
  <c r="G72" i="56" s="1"/>
  <c r="H72" i="56" s="1"/>
  <c r="I72" i="56" s="1"/>
  <c r="J72" i="56" s="1"/>
  <c r="K72" i="56" s="1"/>
  <c r="AA25" i="65" l="1"/>
  <c r="AB25" i="65" s="1"/>
  <c r="AI22" i="58"/>
  <c r="U20" i="71"/>
  <c r="D32" i="74" s="1"/>
  <c r="AH27" i="71"/>
  <c r="Z21" i="78" s="1"/>
  <c r="AE34" i="65"/>
  <c r="N26" i="71"/>
  <c r="S53" i="54"/>
  <c r="V41" i="67"/>
  <c r="W41" i="67" s="1"/>
  <c r="BK41" i="67" s="1"/>
  <c r="L40" i="56"/>
  <c r="M40" i="56" s="1"/>
  <c r="P40" i="56" s="1"/>
  <c r="X40" i="67"/>
  <c r="P44" i="67"/>
  <c r="Q44" i="67" s="1"/>
  <c r="O45" i="67" s="1"/>
  <c r="AI26" i="65"/>
  <c r="G35" i="65"/>
  <c r="AC35" i="65"/>
  <c r="H36" i="71" s="1"/>
  <c r="AG36" i="71" s="1"/>
  <c r="AI20" i="78" s="1"/>
  <c r="H35" i="65"/>
  <c r="AJ25" i="65"/>
  <c r="AH25" i="65"/>
  <c r="AI26" i="54"/>
  <c r="AK26" i="54" s="1"/>
  <c r="H25" i="70" s="1"/>
  <c r="Y16" i="78" s="1"/>
  <c r="S43" i="67"/>
  <c r="T43" i="67" s="1"/>
  <c r="R44" i="67" s="1"/>
  <c r="I49" i="67"/>
  <c r="C40" i="67"/>
  <c r="F48" i="67"/>
  <c r="H48" i="67" s="1"/>
  <c r="BD33" i="67"/>
  <c r="BE33" i="67" s="1"/>
  <c r="BG33" i="67"/>
  <c r="BT33" i="67" s="1"/>
  <c r="V26" i="65"/>
  <c r="Y26" i="65"/>
  <c r="D26" i="65"/>
  <c r="AN61" i="67"/>
  <c r="AO61" i="67" s="1"/>
  <c r="AM62" i="67" s="1"/>
  <c r="AT62" i="67"/>
  <c r="AU62" i="67" s="1"/>
  <c r="AS63" i="67" s="1"/>
  <c r="AF61" i="67"/>
  <c r="AD62" i="67" s="1"/>
  <c r="AE61" i="67"/>
  <c r="M62" i="67"/>
  <c r="N62" i="67" s="1"/>
  <c r="L63" i="67" s="1"/>
  <c r="Q42" i="65"/>
  <c r="O43" i="65" s="1"/>
  <c r="P43" i="65" s="1"/>
  <c r="T40" i="65"/>
  <c r="R41" i="65" s="1"/>
  <c r="S41" i="65" s="1"/>
  <c r="L36" i="65"/>
  <c r="M36" i="65" s="1"/>
  <c r="I39" i="65"/>
  <c r="E73" i="56"/>
  <c r="G73" i="56" s="1"/>
  <c r="H73" i="56" s="1"/>
  <c r="I73" i="56" s="1"/>
  <c r="J73" i="56" s="1"/>
  <c r="K73" i="56" s="1"/>
  <c r="AI23" i="58" l="1"/>
  <c r="U21" i="71"/>
  <c r="F52" i="70"/>
  <c r="BL41" i="67"/>
  <c r="U42" i="67"/>
  <c r="BJ42" i="67" s="1"/>
  <c r="C41" i="56"/>
  <c r="R33" i="71"/>
  <c r="N40" i="56"/>
  <c r="Q40" i="56" s="1"/>
  <c r="P45" i="67"/>
  <c r="Q45" i="67" s="1"/>
  <c r="O46" i="67" s="1"/>
  <c r="G48" i="67"/>
  <c r="Y40" i="67"/>
  <c r="Z40" i="67" s="1"/>
  <c r="X41" i="67" s="1"/>
  <c r="F36" i="65"/>
  <c r="AD35" i="65"/>
  <c r="AL26" i="65"/>
  <c r="AM25" i="65"/>
  <c r="AK25" i="65"/>
  <c r="AN25" i="65" s="1"/>
  <c r="E40" i="67"/>
  <c r="C41" i="67" s="1"/>
  <c r="D40" i="67"/>
  <c r="J49" i="67"/>
  <c r="K49" i="67" s="1"/>
  <c r="BH33" i="67"/>
  <c r="BU33" i="67" s="1"/>
  <c r="F49" i="67"/>
  <c r="AJ34" i="54"/>
  <c r="E26" i="65"/>
  <c r="AN62" i="67"/>
  <c r="AO62" i="67" s="1"/>
  <c r="AM63" i="67" s="1"/>
  <c r="AT63" i="67"/>
  <c r="AU63" i="67" s="1"/>
  <c r="AS64" i="67" s="1"/>
  <c r="AE62" i="67"/>
  <c r="AF62" i="67"/>
  <c r="AD63" i="67" s="1"/>
  <c r="J39" i="65"/>
  <c r="K39" i="65" s="1"/>
  <c r="I40" i="65" s="1"/>
  <c r="J40" i="65" s="1"/>
  <c r="M63" i="67"/>
  <c r="N63" i="67" s="1"/>
  <c r="L64" i="67" s="1"/>
  <c r="T41" i="65"/>
  <c r="R42" i="65" s="1"/>
  <c r="S42" i="65" s="1"/>
  <c r="Q43" i="65"/>
  <c r="O44" i="65" s="1"/>
  <c r="P44" i="65" s="1"/>
  <c r="N36" i="65"/>
  <c r="AB34" i="67"/>
  <c r="S44" i="67"/>
  <c r="T44" i="67" s="1"/>
  <c r="E75" i="56"/>
  <c r="G75" i="56" s="1"/>
  <c r="H75" i="56" s="1"/>
  <c r="I75" i="56" s="1"/>
  <c r="J75" i="56" s="1"/>
  <c r="K75" i="56" s="1"/>
  <c r="E74" i="56"/>
  <c r="G74" i="56" s="1"/>
  <c r="H74" i="56" s="1"/>
  <c r="I74" i="56" s="1"/>
  <c r="J74" i="56" s="1"/>
  <c r="K74" i="56" s="1"/>
  <c r="U22" i="71" l="1"/>
  <c r="AI24" i="58"/>
  <c r="AE35" i="65"/>
  <c r="I36" i="71"/>
  <c r="AG55" i="58"/>
  <c r="H55" i="58"/>
  <c r="L55" i="58" s="1"/>
  <c r="V42" i="67"/>
  <c r="W42" i="67" s="1"/>
  <c r="U43" i="67" s="1"/>
  <c r="BJ43" i="67" s="1"/>
  <c r="L41" i="56"/>
  <c r="M41" i="56" s="1"/>
  <c r="P41" i="56" s="1"/>
  <c r="BI33" i="67"/>
  <c r="H49" i="67"/>
  <c r="F50" i="67" s="1"/>
  <c r="Y41" i="67"/>
  <c r="Z41" i="67" s="1"/>
  <c r="Z26" i="65"/>
  <c r="J27" i="71" s="1"/>
  <c r="AG26" i="65"/>
  <c r="L27" i="71" s="1"/>
  <c r="M27" i="71" s="1"/>
  <c r="G36" i="65"/>
  <c r="AC36" i="65"/>
  <c r="H37" i="71" s="1"/>
  <c r="AG37" i="71" s="1"/>
  <c r="AJ20" i="78" s="1"/>
  <c r="H36" i="65"/>
  <c r="AD36" i="65" s="1"/>
  <c r="I37" i="71" s="1"/>
  <c r="D41" i="67"/>
  <c r="E41" i="67" s="1"/>
  <c r="C42" i="67" s="1"/>
  <c r="I50" i="67"/>
  <c r="G49" i="67"/>
  <c r="R45" i="67"/>
  <c r="U26" i="65"/>
  <c r="W26" i="65"/>
  <c r="X26" i="65" s="1"/>
  <c r="C27" i="65"/>
  <c r="AF27" i="65" s="1"/>
  <c r="K28" i="71" s="1"/>
  <c r="AN63" i="67"/>
  <c r="AO63" i="67" s="1"/>
  <c r="AM64" i="67" s="1"/>
  <c r="AT64" i="67"/>
  <c r="AU64" i="67" s="1"/>
  <c r="AS65" i="67" s="1"/>
  <c r="AF63" i="67"/>
  <c r="AD64" i="67" s="1"/>
  <c r="AE63" i="67"/>
  <c r="K40" i="65"/>
  <c r="M64" i="67"/>
  <c r="N64" i="67" s="1"/>
  <c r="L65" i="67" s="1"/>
  <c r="T42" i="65"/>
  <c r="Q44" i="65"/>
  <c r="O45" i="65" s="1"/>
  <c r="P45" i="65" s="1"/>
  <c r="AC34" i="67"/>
  <c r="P46" i="67"/>
  <c r="Q46" i="67" s="1"/>
  <c r="L37" i="65"/>
  <c r="M37" i="65" s="1"/>
  <c r="U23" i="71" l="1"/>
  <c r="AI25" i="58"/>
  <c r="N27" i="71"/>
  <c r="AH28" i="71"/>
  <c r="AA21" i="78" s="1"/>
  <c r="AA26" i="65"/>
  <c r="AB26" i="65" s="1"/>
  <c r="F37" i="65"/>
  <c r="G37" i="65" s="1"/>
  <c r="S54" i="54"/>
  <c r="F53" i="70" s="1"/>
  <c r="V43" i="67"/>
  <c r="W43" i="67" s="1"/>
  <c r="BK42" i="67"/>
  <c r="N41" i="56"/>
  <c r="Q41" i="56" s="1"/>
  <c r="C42" i="56"/>
  <c r="R34" i="71"/>
  <c r="X42" i="67"/>
  <c r="H37" i="65"/>
  <c r="AI27" i="65"/>
  <c r="AJ26" i="65"/>
  <c r="AH26" i="65"/>
  <c r="AE36" i="65"/>
  <c r="AI27" i="54"/>
  <c r="AK27" i="54" s="1"/>
  <c r="H26" i="70" s="1"/>
  <c r="Z16" i="78" s="1"/>
  <c r="E42" i="67"/>
  <c r="D42" i="67"/>
  <c r="S45" i="67"/>
  <c r="T45" i="67" s="1"/>
  <c r="R46" i="67" s="1"/>
  <c r="J50" i="67"/>
  <c r="K50" i="67" s="1"/>
  <c r="BD34" i="67"/>
  <c r="BE34" i="67" s="1"/>
  <c r="BG34" i="67"/>
  <c r="BT34" i="67" s="1"/>
  <c r="O47" i="67"/>
  <c r="V27" i="65"/>
  <c r="Y27" i="65"/>
  <c r="D27" i="65"/>
  <c r="AN64" i="67"/>
  <c r="AO64" i="67" s="1"/>
  <c r="AM65" i="67" s="1"/>
  <c r="AT65" i="67"/>
  <c r="AU65" i="67" s="1"/>
  <c r="AS66" i="67" s="1"/>
  <c r="AE64" i="67"/>
  <c r="AF64" i="67"/>
  <c r="AD65" i="67" s="1"/>
  <c r="I41" i="65"/>
  <c r="M65" i="67"/>
  <c r="N65" i="67"/>
  <c r="L66" i="67" s="1"/>
  <c r="Q45" i="65"/>
  <c r="O46" i="65" s="1"/>
  <c r="P46" i="65" s="1"/>
  <c r="N37" i="65"/>
  <c r="G50" i="67"/>
  <c r="H50" i="67" s="1"/>
  <c r="R43" i="65"/>
  <c r="S43" i="65" s="1"/>
  <c r="U24" i="71" l="1"/>
  <c r="AI26" i="58"/>
  <c r="AC37" i="65"/>
  <c r="H38" i="71" s="1"/>
  <c r="AG38" i="71" s="1"/>
  <c r="AK20" i="78" s="1"/>
  <c r="BL42" i="67"/>
  <c r="BK43" i="67"/>
  <c r="U44" i="67"/>
  <c r="L42" i="56"/>
  <c r="M42" i="56" s="1"/>
  <c r="P42" i="56" s="1"/>
  <c r="P47" i="67"/>
  <c r="Q47" i="67" s="1"/>
  <c r="O48" i="67" s="1"/>
  <c r="Y42" i="67"/>
  <c r="Z42" i="67" s="1"/>
  <c r="X43" i="67" s="1"/>
  <c r="AM26" i="65"/>
  <c r="AK26" i="65"/>
  <c r="AN26" i="65" s="1"/>
  <c r="AD37" i="65"/>
  <c r="I38" i="71" s="1"/>
  <c r="F38" i="65"/>
  <c r="AL27" i="65"/>
  <c r="C43" i="67"/>
  <c r="I51" i="67"/>
  <c r="S46" i="67"/>
  <c r="T46" i="67" s="1"/>
  <c r="R47" i="67" s="1"/>
  <c r="S47" i="67" s="1"/>
  <c r="T47" i="67" s="1"/>
  <c r="R48" i="67" s="1"/>
  <c r="BH34" i="67"/>
  <c r="BU34" i="67" s="1"/>
  <c r="F51" i="67"/>
  <c r="AJ35" i="54"/>
  <c r="E27" i="65"/>
  <c r="AN65" i="67"/>
  <c r="AO65" i="67" s="1"/>
  <c r="AM66" i="67" s="1"/>
  <c r="AT66" i="67"/>
  <c r="AU66" i="67" s="1"/>
  <c r="AS67" i="67" s="1"/>
  <c r="AF65" i="67"/>
  <c r="AD66" i="67" s="1"/>
  <c r="AE65" i="67"/>
  <c r="J41" i="65"/>
  <c r="K41" i="65" s="1"/>
  <c r="I42" i="65" s="1"/>
  <c r="J42" i="65" s="1"/>
  <c r="L38" i="65"/>
  <c r="M38" i="65" s="1"/>
  <c r="M66" i="67"/>
  <c r="N66" i="67" s="1"/>
  <c r="L67" i="67" s="1"/>
  <c r="Q46" i="65"/>
  <c r="O47" i="65" s="1"/>
  <c r="P47" i="65" s="1"/>
  <c r="AB35" i="67"/>
  <c r="AC35" i="67" s="1"/>
  <c r="T43" i="65"/>
  <c r="U25" i="71" l="1"/>
  <c r="AI27" i="58"/>
  <c r="AG56" i="58"/>
  <c r="H56" i="58"/>
  <c r="L56" i="58" s="1"/>
  <c r="BL43" i="67"/>
  <c r="BJ44" i="67"/>
  <c r="V44" i="67"/>
  <c r="W44" i="67" s="1"/>
  <c r="BK44" i="67" s="1"/>
  <c r="N42" i="56"/>
  <c r="Q42" i="56" s="1"/>
  <c r="R35" i="71"/>
  <c r="C43" i="56"/>
  <c r="G51" i="67"/>
  <c r="H51" i="67" s="1"/>
  <c r="F52" i="67" s="1"/>
  <c r="Y43" i="67"/>
  <c r="Z43" i="67" s="1"/>
  <c r="G38" i="65"/>
  <c r="AC38" i="65"/>
  <c r="H39" i="71" s="1"/>
  <c r="AG39" i="71" s="1"/>
  <c r="AL20" i="78" s="1"/>
  <c r="H38" i="65"/>
  <c r="Z27" i="65"/>
  <c r="J28" i="71" s="1"/>
  <c r="AG27" i="65"/>
  <c r="L28" i="71" s="1"/>
  <c r="M28" i="71" s="1"/>
  <c r="AE37" i="65"/>
  <c r="BI34" i="67"/>
  <c r="D43" i="67"/>
  <c r="E43" i="67" s="1"/>
  <c r="J51" i="67"/>
  <c r="K51" i="67" s="1"/>
  <c r="BD35" i="67"/>
  <c r="BE35" i="67" s="1"/>
  <c r="BG35" i="67"/>
  <c r="BT35" i="67" s="1"/>
  <c r="N38" i="65"/>
  <c r="L39" i="65" s="1"/>
  <c r="M39" i="65" s="1"/>
  <c r="C28" i="65"/>
  <c r="AF28" i="65" s="1"/>
  <c r="K29" i="71" s="1"/>
  <c r="W27" i="65"/>
  <c r="X27" i="65" s="1"/>
  <c r="U27" i="65"/>
  <c r="AN66" i="67"/>
  <c r="AO66" i="67" s="1"/>
  <c r="AM67" i="67" s="1"/>
  <c r="AT67" i="67"/>
  <c r="AU67" i="67" s="1"/>
  <c r="AU69" i="67" s="1"/>
  <c r="AE66" i="67"/>
  <c r="AF66" i="67"/>
  <c r="AD67" i="67" s="1"/>
  <c r="K42" i="65"/>
  <c r="M67" i="67"/>
  <c r="N67" i="67" s="1"/>
  <c r="N69" i="67" s="1"/>
  <c r="AB36" i="67"/>
  <c r="AC36" i="67" s="1"/>
  <c r="Q47" i="65"/>
  <c r="S48" i="67"/>
  <c r="T48" i="67" s="1"/>
  <c r="P48" i="67"/>
  <c r="Q48" i="67" s="1"/>
  <c r="R44" i="65"/>
  <c r="S44" i="65" s="1"/>
  <c r="U26" i="71" l="1"/>
  <c r="AI28" i="58"/>
  <c r="N28" i="71"/>
  <c r="AH29" i="71"/>
  <c r="AB21" i="78" s="1"/>
  <c r="S55" i="54"/>
  <c r="F54" i="70" s="1"/>
  <c r="BL44" i="67"/>
  <c r="U45" i="67"/>
  <c r="L43" i="56"/>
  <c r="M43" i="56" s="1"/>
  <c r="P43" i="56" s="1"/>
  <c r="X44" i="67"/>
  <c r="G52" i="67"/>
  <c r="H52" i="67" s="1"/>
  <c r="AA27" i="65"/>
  <c r="AB27" i="65" s="1"/>
  <c r="AI28" i="65"/>
  <c r="F39" i="65"/>
  <c r="AD38" i="65"/>
  <c r="I39" i="71" s="1"/>
  <c r="AJ27" i="65"/>
  <c r="AH27" i="65"/>
  <c r="AE38" i="65"/>
  <c r="AI28" i="54"/>
  <c r="AK28" i="54" s="1"/>
  <c r="H27" i="70" s="1"/>
  <c r="AA16" i="78" s="1"/>
  <c r="C44" i="67"/>
  <c r="I52" i="67"/>
  <c r="BH35" i="67"/>
  <c r="BU35" i="67" s="1"/>
  <c r="F53" i="67"/>
  <c r="G53" i="67" s="1"/>
  <c r="AJ36" i="54"/>
  <c r="O49" i="67"/>
  <c r="BD36" i="67"/>
  <c r="BE36" i="67" s="1"/>
  <c r="BG36" i="67"/>
  <c r="BT36" i="67" s="1"/>
  <c r="V28" i="65"/>
  <c r="Y28" i="65"/>
  <c r="D28" i="65"/>
  <c r="AN67" i="67"/>
  <c r="AO67" i="67" s="1"/>
  <c r="AO69" i="67" s="1"/>
  <c r="AF67" i="67"/>
  <c r="AF69" i="67" s="1"/>
  <c r="AE67" i="67"/>
  <c r="T44" i="65"/>
  <c r="R45" i="65" s="1"/>
  <c r="S45" i="65" s="1"/>
  <c r="N39" i="65"/>
  <c r="R49" i="67"/>
  <c r="O48" i="65"/>
  <c r="P48" i="65" s="1"/>
  <c r="I43" i="65"/>
  <c r="AI29" i="58" l="1"/>
  <c r="U27" i="71"/>
  <c r="BJ45" i="67"/>
  <c r="V45" i="67"/>
  <c r="W45" i="67" s="1"/>
  <c r="N43" i="56"/>
  <c r="Q43" i="56" s="1"/>
  <c r="C44" i="56"/>
  <c r="R36" i="71"/>
  <c r="BI35" i="67"/>
  <c r="H53" i="67"/>
  <c r="F54" i="67" s="1"/>
  <c r="P49" i="67"/>
  <c r="Q49" i="67" s="1"/>
  <c r="O50" i="67" s="1"/>
  <c r="Z44" i="67"/>
  <c r="X45" i="67" s="1"/>
  <c r="Y44" i="67"/>
  <c r="G39" i="65"/>
  <c r="AC39" i="65"/>
  <c r="H40" i="71" s="1"/>
  <c r="AG40" i="71" s="1"/>
  <c r="AM20" i="78" s="1"/>
  <c r="H39" i="65"/>
  <c r="AL28" i="65"/>
  <c r="AM27" i="65"/>
  <c r="AK27" i="65"/>
  <c r="AN27" i="65" s="1"/>
  <c r="J52" i="67"/>
  <c r="K52" i="67" s="1"/>
  <c r="D44" i="67"/>
  <c r="E44" i="67" s="1"/>
  <c r="C45" i="67" s="1"/>
  <c r="BH36" i="67"/>
  <c r="BU36" i="67" s="1"/>
  <c r="AJ37" i="54"/>
  <c r="E28" i="65"/>
  <c r="J43" i="65"/>
  <c r="K43" i="65" s="1"/>
  <c r="I44" i="65" s="1"/>
  <c r="T45" i="65"/>
  <c r="Q48" i="65"/>
  <c r="O49" i="65" s="1"/>
  <c r="P49" i="65" s="1"/>
  <c r="AB37" i="67"/>
  <c r="AC37" i="67"/>
  <c r="S49" i="67"/>
  <c r="T49" i="67" s="1"/>
  <c r="L40" i="65"/>
  <c r="M40" i="65" s="1"/>
  <c r="U28" i="71" l="1"/>
  <c r="AI30" i="58"/>
  <c r="BN37" i="67"/>
  <c r="AG57" i="58"/>
  <c r="H57" i="58"/>
  <c r="L57" i="58" s="1"/>
  <c r="BK45" i="67"/>
  <c r="U46" i="67"/>
  <c r="L44" i="56"/>
  <c r="M44" i="56" s="1"/>
  <c r="P44" i="56" s="1"/>
  <c r="BI36" i="67"/>
  <c r="Z45" i="67"/>
  <c r="Y45" i="67"/>
  <c r="Z28" i="65"/>
  <c r="AG28" i="65"/>
  <c r="L29" i="71" s="1"/>
  <c r="M29" i="71" s="1"/>
  <c r="F40" i="65"/>
  <c r="AD39" i="65"/>
  <c r="I40" i="71" s="1"/>
  <c r="E45" i="67"/>
  <c r="C46" i="67" s="1"/>
  <c r="D45" i="67"/>
  <c r="BB37" i="67"/>
  <c r="I53" i="67"/>
  <c r="BD37" i="67"/>
  <c r="BE37" i="67" s="1"/>
  <c r="BG37" i="67"/>
  <c r="W28" i="65"/>
  <c r="X28" i="65" s="1"/>
  <c r="U28" i="65"/>
  <c r="C29" i="65"/>
  <c r="AF29" i="65" s="1"/>
  <c r="K30" i="71" s="1"/>
  <c r="K44" i="65"/>
  <c r="I45" i="65" s="1"/>
  <c r="J44" i="65"/>
  <c r="AA38" i="67"/>
  <c r="Q49" i="65"/>
  <c r="O50" i="65" s="1"/>
  <c r="P50" i="65" s="1"/>
  <c r="N40" i="65"/>
  <c r="P50" i="67"/>
  <c r="Q50" i="67" s="1"/>
  <c r="G54" i="67"/>
  <c r="H54" i="67" s="1"/>
  <c r="R46" i="65"/>
  <c r="S46" i="65" s="1"/>
  <c r="R50" i="67"/>
  <c r="U29" i="71" l="1"/>
  <c r="AI31" i="58"/>
  <c r="BM38" i="67"/>
  <c r="AH30" i="71"/>
  <c r="AC21" i="78" s="1"/>
  <c r="S56" i="54"/>
  <c r="F55" i="70" s="1"/>
  <c r="N44" i="56"/>
  <c r="Q44" i="56" s="1"/>
  <c r="X46" i="67"/>
  <c r="Y46" i="67" s="1"/>
  <c r="BL45" i="67"/>
  <c r="V46" i="67"/>
  <c r="W46" i="67" s="1"/>
  <c r="BJ46" i="67"/>
  <c r="C45" i="56"/>
  <c r="R37" i="71"/>
  <c r="AI29" i="65"/>
  <c r="G40" i="65"/>
  <c r="AC40" i="65"/>
  <c r="H41" i="71" s="1"/>
  <c r="AG41" i="71" s="1"/>
  <c r="AN20" i="78" s="1"/>
  <c r="H40" i="65"/>
  <c r="AE39" i="65"/>
  <c r="AJ28" i="65"/>
  <c r="AH28" i="65"/>
  <c r="J29" i="71"/>
  <c r="N29" i="71" s="1"/>
  <c r="AA28" i="65"/>
  <c r="AB28" i="65" s="1"/>
  <c r="AI29" i="54"/>
  <c r="AK29" i="54" s="1"/>
  <c r="H28" i="70" s="1"/>
  <c r="AB16" i="78" s="1"/>
  <c r="D46" i="67"/>
  <c r="E46" i="67"/>
  <c r="BQ37" i="67"/>
  <c r="BO37" i="67"/>
  <c r="J53" i="67"/>
  <c r="K53" i="67" s="1"/>
  <c r="BH37" i="67"/>
  <c r="BI37" i="67" s="1"/>
  <c r="F55" i="67"/>
  <c r="AJ38" i="54"/>
  <c r="BC38" i="67"/>
  <c r="BF38" i="67"/>
  <c r="O51" i="67"/>
  <c r="V29" i="65"/>
  <c r="Y29" i="65"/>
  <c r="D29" i="65"/>
  <c r="AB38" i="67"/>
  <c r="AC38" i="67" s="1"/>
  <c r="K45" i="65"/>
  <c r="J45" i="65"/>
  <c r="Q50" i="65"/>
  <c r="S50" i="67"/>
  <c r="T50" i="67" s="1"/>
  <c r="L41" i="65"/>
  <c r="M41" i="65" s="1"/>
  <c r="I46" i="65"/>
  <c r="AI32" i="58" l="1"/>
  <c r="U30" i="71"/>
  <c r="BN38" i="67"/>
  <c r="BQ38" i="67" s="1"/>
  <c r="Z46" i="67"/>
  <c r="U47" i="67"/>
  <c r="BK46" i="67"/>
  <c r="L45" i="56"/>
  <c r="M45" i="56" s="1"/>
  <c r="P45" i="56" s="1"/>
  <c r="P51" i="67"/>
  <c r="Q51" i="67" s="1"/>
  <c r="O52" i="67" s="1"/>
  <c r="H55" i="67"/>
  <c r="F56" i="67" s="1"/>
  <c r="AM28" i="65"/>
  <c r="AK28" i="65"/>
  <c r="AN28" i="65" s="1"/>
  <c r="F41" i="65"/>
  <c r="AD40" i="65"/>
  <c r="I41" i="71" s="1"/>
  <c r="AL29" i="65"/>
  <c r="BR37" i="67"/>
  <c r="BU37" i="67" s="1"/>
  <c r="BT37" i="67"/>
  <c r="I54" i="67"/>
  <c r="C47" i="67"/>
  <c r="BP38" i="67"/>
  <c r="BS38" i="67" s="1"/>
  <c r="BB38" i="67"/>
  <c r="G55" i="67"/>
  <c r="BD38" i="67"/>
  <c r="BE38" i="67" s="1"/>
  <c r="BG38" i="67"/>
  <c r="E29" i="65"/>
  <c r="AA39" i="67"/>
  <c r="K46" i="65"/>
  <c r="I47" i="65" s="1"/>
  <c r="J46" i="65"/>
  <c r="T46" i="65"/>
  <c r="R47" i="65" s="1"/>
  <c r="S47" i="65" s="1"/>
  <c r="N41" i="65"/>
  <c r="R51" i="67"/>
  <c r="O51" i="65"/>
  <c r="P51" i="65" s="1"/>
  <c r="U31" i="71" l="1"/>
  <c r="AI33" i="58"/>
  <c r="BM39" i="67"/>
  <c r="AE40" i="65"/>
  <c r="AG58" i="58"/>
  <c r="H58" i="58"/>
  <c r="L58" i="58" s="1"/>
  <c r="X47" i="67"/>
  <c r="Z47" i="67" s="1"/>
  <c r="X48" i="67" s="1"/>
  <c r="BL46" i="67"/>
  <c r="V47" i="67"/>
  <c r="W47" i="67" s="1"/>
  <c r="BJ47" i="67"/>
  <c r="N45" i="56"/>
  <c r="Q45" i="56" s="1"/>
  <c r="C46" i="56"/>
  <c r="R38" i="71"/>
  <c r="BT38" i="67"/>
  <c r="G41" i="65"/>
  <c r="AC41" i="65"/>
  <c r="H42" i="71" s="1"/>
  <c r="AG42" i="71" s="1"/>
  <c r="AO20" i="78" s="1"/>
  <c r="H41" i="65"/>
  <c r="Z29" i="65"/>
  <c r="J30" i="71" s="1"/>
  <c r="AG29" i="65"/>
  <c r="L30" i="71" s="1"/>
  <c r="M30" i="71" s="1"/>
  <c r="BR38" i="67"/>
  <c r="J54" i="67"/>
  <c r="K54" i="67" s="1"/>
  <c r="BO38" i="67"/>
  <c r="D47" i="67"/>
  <c r="E47" i="67"/>
  <c r="C48" i="67" s="1"/>
  <c r="BH38" i="67"/>
  <c r="BI38" i="67" s="1"/>
  <c r="AJ39" i="54"/>
  <c r="AB39" i="67"/>
  <c r="AC39" i="67" s="1"/>
  <c r="BC39" i="67"/>
  <c r="BF39" i="67"/>
  <c r="W29" i="65"/>
  <c r="X29" i="65" s="1"/>
  <c r="U29" i="65"/>
  <c r="C30" i="65"/>
  <c r="AF30" i="65" s="1"/>
  <c r="K31" i="71" s="1"/>
  <c r="AH31" i="71" s="1"/>
  <c r="AD21" i="78" s="1"/>
  <c r="AA40" i="67"/>
  <c r="K47" i="65"/>
  <c r="J47" i="65"/>
  <c r="H56" i="67"/>
  <c r="T47" i="65"/>
  <c r="R48" i="65" s="1"/>
  <c r="S48" i="65" s="1"/>
  <c r="Q51" i="65"/>
  <c r="P52" i="67"/>
  <c r="Q52" i="67" s="1"/>
  <c r="S51" i="67"/>
  <c r="T51" i="67" s="1"/>
  <c r="G56" i="67"/>
  <c r="L42" i="65"/>
  <c r="M42" i="65" s="1"/>
  <c r="AI34" i="58" l="1"/>
  <c r="U32" i="71"/>
  <c r="E32" i="74" s="1"/>
  <c r="N30" i="71"/>
  <c r="BM40" i="67"/>
  <c r="BN39" i="67"/>
  <c r="BO39" i="67" s="1"/>
  <c r="S57" i="54"/>
  <c r="Y47" i="67"/>
  <c r="U48" i="67"/>
  <c r="BK47" i="67"/>
  <c r="L46" i="56"/>
  <c r="M46" i="56" s="1"/>
  <c r="P46" i="56" s="1"/>
  <c r="BU38" i="67"/>
  <c r="Z48" i="67"/>
  <c r="Y48" i="67"/>
  <c r="AJ29" i="65"/>
  <c r="AH29" i="65"/>
  <c r="F42" i="65"/>
  <c r="AD41" i="65"/>
  <c r="I42" i="71" s="1"/>
  <c r="AI30" i="65"/>
  <c r="AA29" i="65"/>
  <c r="AB29" i="65" s="1"/>
  <c r="AI30" i="54"/>
  <c r="AK30" i="54" s="1"/>
  <c r="H29" i="70" s="1"/>
  <c r="AC16" i="78" s="1"/>
  <c r="BB39" i="67"/>
  <c r="I55" i="67"/>
  <c r="BP39" i="67"/>
  <c r="BS39" i="67" s="1"/>
  <c r="D48" i="67"/>
  <c r="E48" i="67" s="1"/>
  <c r="C49" i="67" s="1"/>
  <c r="F57" i="67"/>
  <c r="R52" i="67"/>
  <c r="AB40" i="67"/>
  <c r="BC40" i="67"/>
  <c r="O53" i="67"/>
  <c r="BF40" i="67"/>
  <c r="BD39" i="67"/>
  <c r="BE39" i="67" s="1"/>
  <c r="BG39" i="67"/>
  <c r="V30" i="65"/>
  <c r="Y30" i="65"/>
  <c r="D30" i="65"/>
  <c r="AC40" i="67"/>
  <c r="BB40" i="67" s="1"/>
  <c r="T48" i="65"/>
  <c r="R49" i="65" s="1"/>
  <c r="S49" i="65" s="1"/>
  <c r="N42" i="65"/>
  <c r="O52" i="65"/>
  <c r="P52" i="65" s="1"/>
  <c r="I48" i="65"/>
  <c r="U33" i="71" l="1"/>
  <c r="AI35" i="58"/>
  <c r="BQ39" i="67"/>
  <c r="BR39" i="67" s="1"/>
  <c r="BN40" i="67"/>
  <c r="BQ40" i="67" s="1"/>
  <c r="F56" i="70"/>
  <c r="BL47" i="67"/>
  <c r="BJ48" i="67"/>
  <c r="V48" i="67"/>
  <c r="W48" i="67" s="1"/>
  <c r="BK48" i="67" s="1"/>
  <c r="N46" i="56"/>
  <c r="Q46" i="56" s="1"/>
  <c r="C47" i="56"/>
  <c r="R39" i="71"/>
  <c r="X49" i="67"/>
  <c r="P53" i="67"/>
  <c r="Q53" i="67" s="1"/>
  <c r="O54" i="67" s="1"/>
  <c r="G57" i="67"/>
  <c r="H57" i="67" s="1"/>
  <c r="F58" i="67" s="1"/>
  <c r="BT39" i="67"/>
  <c r="AL30" i="65"/>
  <c r="G42" i="65"/>
  <c r="AC42" i="65"/>
  <c r="H43" i="71" s="1"/>
  <c r="AG43" i="71" s="1"/>
  <c r="AP20" i="78" s="1"/>
  <c r="H42" i="65"/>
  <c r="AE41" i="65"/>
  <c r="AM29" i="65"/>
  <c r="AK29" i="65"/>
  <c r="AN29" i="65" s="1"/>
  <c r="D49" i="67"/>
  <c r="E49" i="67" s="1"/>
  <c r="C50" i="67"/>
  <c r="E50" i="67" s="1"/>
  <c r="BP40" i="67"/>
  <c r="J55" i="67"/>
  <c r="K55" i="67" s="1"/>
  <c r="S52" i="67"/>
  <c r="T52" i="67" s="1"/>
  <c r="BH39" i="67"/>
  <c r="BI39" i="67" s="1"/>
  <c r="AJ40" i="54"/>
  <c r="BD40" i="67"/>
  <c r="BE40" i="67" s="1"/>
  <c r="BG40" i="67"/>
  <c r="E30" i="65"/>
  <c r="AA41" i="67"/>
  <c r="K48" i="65"/>
  <c r="I49" i="65" s="1"/>
  <c r="J48" i="65"/>
  <c r="T49" i="65"/>
  <c r="R50" i="65" s="1"/>
  <c r="S50" i="65" s="1"/>
  <c r="Q52" i="65"/>
  <c r="L43" i="65"/>
  <c r="M43" i="65" s="1"/>
  <c r="D50" i="67" l="1"/>
  <c r="U34" i="71"/>
  <c r="AI36" i="58"/>
  <c r="BM41" i="67"/>
  <c r="AG59" i="58"/>
  <c r="H59" i="58"/>
  <c r="L59" i="58" s="1"/>
  <c r="BL48" i="67"/>
  <c r="U49" i="67"/>
  <c r="L47" i="56"/>
  <c r="M47" i="56" s="1"/>
  <c r="P47" i="56" s="1"/>
  <c r="G58" i="67"/>
  <c r="H58" i="67" s="1"/>
  <c r="F59" i="67" s="1"/>
  <c r="BU39" i="67"/>
  <c r="BT40" i="67"/>
  <c r="Y49" i="67"/>
  <c r="Z49" i="67"/>
  <c r="X50" i="67" s="1"/>
  <c r="Z30" i="65"/>
  <c r="J31" i="71" s="1"/>
  <c r="AG30" i="65"/>
  <c r="L31" i="71" s="1"/>
  <c r="M31" i="71" s="1"/>
  <c r="F43" i="65"/>
  <c r="AD42" i="65"/>
  <c r="I43" i="71" s="1"/>
  <c r="BR40" i="67"/>
  <c r="BS40" i="67"/>
  <c r="R53" i="67"/>
  <c r="BO40" i="67"/>
  <c r="I56" i="67"/>
  <c r="BH40" i="67"/>
  <c r="BI40" i="67" s="1"/>
  <c r="AJ41" i="54"/>
  <c r="AB41" i="67"/>
  <c r="AC41" i="67" s="1"/>
  <c r="BC41" i="67"/>
  <c r="BF41" i="67"/>
  <c r="C51" i="67"/>
  <c r="U30" i="65"/>
  <c r="W30" i="65"/>
  <c r="X30" i="65" s="1"/>
  <c r="C31" i="65"/>
  <c r="AF31" i="65" s="1"/>
  <c r="K32" i="71" s="1"/>
  <c r="K49" i="65"/>
  <c r="I50" i="65" s="1"/>
  <c r="J49" i="65"/>
  <c r="T50" i="65"/>
  <c r="R51" i="65" s="1"/>
  <c r="S51" i="65" s="1"/>
  <c r="P54" i="67"/>
  <c r="Q54" i="67" s="1"/>
  <c r="N43" i="65"/>
  <c r="O53" i="65"/>
  <c r="P53" i="65" s="1"/>
  <c r="AI37" i="58" l="1"/>
  <c r="U35" i="71"/>
  <c r="N31" i="71"/>
  <c r="BN41" i="67"/>
  <c r="BQ41" i="67" s="1"/>
  <c r="E18" i="74"/>
  <c r="AH32" i="71"/>
  <c r="AE21" i="78" s="1"/>
  <c r="AA30" i="65"/>
  <c r="AB30" i="65" s="1"/>
  <c r="S58" i="54"/>
  <c r="BJ49" i="67"/>
  <c r="V49" i="67"/>
  <c r="W49" i="67" s="1"/>
  <c r="N47" i="56"/>
  <c r="Q47" i="56" s="1"/>
  <c r="C48" i="56"/>
  <c r="R40" i="71"/>
  <c r="H59" i="67"/>
  <c r="F60" i="67" s="1"/>
  <c r="BU40" i="67"/>
  <c r="Z50" i="67"/>
  <c r="Y50" i="67"/>
  <c r="AI31" i="65"/>
  <c r="G43" i="65"/>
  <c r="AC43" i="65"/>
  <c r="H44" i="71" s="1"/>
  <c r="H43" i="65"/>
  <c r="AE42" i="65"/>
  <c r="AJ30" i="65"/>
  <c r="AH30" i="65"/>
  <c r="AI31" i="54"/>
  <c r="AK31" i="54" s="1"/>
  <c r="H30" i="70" s="1"/>
  <c r="AD16" i="78" s="1"/>
  <c r="J56" i="67"/>
  <c r="K56" i="67" s="1"/>
  <c r="BP41" i="67"/>
  <c r="BS41" i="67" s="1"/>
  <c r="BB41" i="67"/>
  <c r="AA42" i="67"/>
  <c r="S53" i="67"/>
  <c r="T53" i="67" s="1"/>
  <c r="G59" i="67"/>
  <c r="O55" i="67"/>
  <c r="D51" i="67"/>
  <c r="E51" i="67" s="1"/>
  <c r="BD41" i="67"/>
  <c r="BE41" i="67" s="1"/>
  <c r="BG41" i="67"/>
  <c r="BF42" i="67"/>
  <c r="V31" i="65"/>
  <c r="Y31" i="65"/>
  <c r="D31" i="65"/>
  <c r="K50" i="65"/>
  <c r="I51" i="65" s="1"/>
  <c r="J50" i="65"/>
  <c r="Q53" i="65"/>
  <c r="O54" i="65" s="1"/>
  <c r="P54" i="65" s="1"/>
  <c r="L44" i="65"/>
  <c r="M44" i="65" s="1"/>
  <c r="T51" i="65"/>
  <c r="AI38" i="58" l="1"/>
  <c r="U36" i="71"/>
  <c r="BM42" i="67"/>
  <c r="F14" i="74"/>
  <c r="AG44" i="71"/>
  <c r="AQ20" i="78" s="1"/>
  <c r="F57" i="70"/>
  <c r="U50" i="67"/>
  <c r="BK49" i="67"/>
  <c r="L48" i="56"/>
  <c r="M48" i="56" s="1"/>
  <c r="P48" i="56" s="1"/>
  <c r="BT41" i="67"/>
  <c r="H60" i="67"/>
  <c r="P55" i="67"/>
  <c r="Q55" i="67" s="1"/>
  <c r="O56" i="67" s="1"/>
  <c r="X51" i="67"/>
  <c r="AM30" i="65"/>
  <c r="AK30" i="65"/>
  <c r="AN30" i="65" s="1"/>
  <c r="F44" i="65"/>
  <c r="AD43" i="65"/>
  <c r="I44" i="71" s="1"/>
  <c r="F15" i="74" s="1"/>
  <c r="AL31" i="65"/>
  <c r="BR41" i="67"/>
  <c r="AB42" i="67"/>
  <c r="AC42" i="67" s="1"/>
  <c r="R54" i="67"/>
  <c r="I57" i="67"/>
  <c r="BC42" i="67"/>
  <c r="BO41" i="67"/>
  <c r="BH41" i="67"/>
  <c r="BI41" i="67" s="1"/>
  <c r="G60" i="67"/>
  <c r="AJ42" i="54"/>
  <c r="C52" i="67"/>
  <c r="E31" i="65"/>
  <c r="K51" i="65"/>
  <c r="I52" i="65" s="1"/>
  <c r="J51" i="65"/>
  <c r="Q54" i="65"/>
  <c r="O55" i="65" s="1"/>
  <c r="P55" i="65" s="1"/>
  <c r="N44" i="65"/>
  <c r="L45" i="65" s="1"/>
  <c r="R52" i="65"/>
  <c r="S52" i="65" s="1"/>
  <c r="P9" i="58"/>
  <c r="S11" i="58"/>
  <c r="Q11" i="58"/>
  <c r="R11" i="58"/>
  <c r="R69" i="58"/>
  <c r="Q69" i="58"/>
  <c r="S69" i="58"/>
  <c r="Q37" i="58"/>
  <c r="S37" i="58"/>
  <c r="R37" i="58"/>
  <c r="S32" i="58"/>
  <c r="Q32" i="58"/>
  <c r="R32" i="58"/>
  <c r="Q38" i="58"/>
  <c r="S38" i="58"/>
  <c r="R38" i="58"/>
  <c r="R67" i="58"/>
  <c r="S67" i="58"/>
  <c r="Q67" i="58"/>
  <c r="R34" i="58"/>
  <c r="Q34" i="58"/>
  <c r="S34" i="58"/>
  <c r="Q13" i="58"/>
  <c r="R13" i="58"/>
  <c r="S13" i="58"/>
  <c r="R15" i="58"/>
  <c r="S15" i="58"/>
  <c r="Q15" i="58"/>
  <c r="Q52" i="58"/>
  <c r="S52" i="58"/>
  <c r="R52" i="58"/>
  <c r="R43" i="58"/>
  <c r="S43" i="58"/>
  <c r="Q43" i="58"/>
  <c r="R17" i="58"/>
  <c r="S17" i="58"/>
  <c r="Q17" i="58"/>
  <c r="Q29" i="58"/>
  <c r="S29" i="58"/>
  <c r="R29" i="58"/>
  <c r="R27" i="58"/>
  <c r="S27" i="58"/>
  <c r="Q27" i="58"/>
  <c r="S23" i="58"/>
  <c r="Q23" i="58"/>
  <c r="R23" i="58"/>
  <c r="R60" i="58"/>
  <c r="Q60" i="58"/>
  <c r="S60" i="58"/>
  <c r="R47" i="58"/>
  <c r="Q47" i="58"/>
  <c r="S47" i="58"/>
  <c r="Q56" i="58"/>
  <c r="S56" i="58"/>
  <c r="R56" i="58"/>
  <c r="S58" i="58"/>
  <c r="R58" i="58"/>
  <c r="Q58" i="58"/>
  <c r="R53" i="58"/>
  <c r="Q53" i="58"/>
  <c r="S53" i="58"/>
  <c r="R21" i="58"/>
  <c r="S21" i="58"/>
  <c r="Q21" i="58"/>
  <c r="S48" i="58"/>
  <c r="R48" i="58"/>
  <c r="Q48" i="58"/>
  <c r="R55" i="58"/>
  <c r="Q55" i="58"/>
  <c r="S55" i="58"/>
  <c r="Q54" i="58"/>
  <c r="S54" i="58"/>
  <c r="R54" i="58"/>
  <c r="S33" i="58"/>
  <c r="Q33" i="58"/>
  <c r="R33" i="58"/>
  <c r="S51" i="58"/>
  <c r="Q51" i="58"/>
  <c r="R51" i="58"/>
  <c r="Q19" i="58"/>
  <c r="R19" i="58"/>
  <c r="S19" i="58"/>
  <c r="S45" i="58"/>
  <c r="R45" i="58"/>
  <c r="Q45" i="58"/>
  <c r="S40" i="58"/>
  <c r="R40" i="58"/>
  <c r="Q40" i="58"/>
  <c r="Q46" i="58"/>
  <c r="S46" i="58"/>
  <c r="R46" i="58"/>
  <c r="S57" i="58"/>
  <c r="R57" i="58"/>
  <c r="Q57" i="58"/>
  <c r="R36" i="58"/>
  <c r="S36" i="58"/>
  <c r="Q36" i="58"/>
  <c r="R10" i="58"/>
  <c r="S10" i="58"/>
  <c r="Q10" i="58"/>
  <c r="Q16" i="58"/>
  <c r="S16" i="58"/>
  <c r="R16" i="58"/>
  <c r="Q44" i="58"/>
  <c r="S44" i="58"/>
  <c r="R44" i="58"/>
  <c r="S24" i="58"/>
  <c r="Q24" i="58"/>
  <c r="R24" i="58"/>
  <c r="S26" i="58"/>
  <c r="Q26" i="58"/>
  <c r="R26" i="58"/>
  <c r="R22" i="58"/>
  <c r="S22" i="58"/>
  <c r="Q22" i="58"/>
  <c r="Q18" i="58"/>
  <c r="R18" i="58"/>
  <c r="S18" i="58"/>
  <c r="S31" i="58"/>
  <c r="Q31" i="58"/>
  <c r="R31" i="58"/>
  <c r="S68" i="58"/>
  <c r="Q68" i="58"/>
  <c r="R68" i="58"/>
  <c r="Q62" i="58"/>
  <c r="S62" i="58"/>
  <c r="R62" i="58"/>
  <c r="Q66" i="58"/>
  <c r="S66" i="58"/>
  <c r="R66" i="58"/>
  <c r="S59" i="58"/>
  <c r="R59" i="58"/>
  <c r="Q59" i="58"/>
  <c r="S30" i="58"/>
  <c r="Q30" i="58"/>
  <c r="R30" i="58"/>
  <c r="R65" i="58"/>
  <c r="Q65" i="58"/>
  <c r="S65" i="58"/>
  <c r="R28" i="58"/>
  <c r="S28" i="58"/>
  <c r="Q28" i="58"/>
  <c r="R50" i="58"/>
  <c r="Q50" i="58"/>
  <c r="S50" i="58"/>
  <c r="Q42" i="58"/>
  <c r="S42" i="58"/>
  <c r="R42" i="58"/>
  <c r="R64" i="58"/>
  <c r="Q64" i="58"/>
  <c r="S64" i="58"/>
  <c r="R39" i="58"/>
  <c r="S39" i="58"/>
  <c r="Q39" i="58"/>
  <c r="R49" i="58"/>
  <c r="Q49" i="58"/>
  <c r="S49" i="58"/>
  <c r="S35" i="58"/>
  <c r="Q35" i="58"/>
  <c r="R35" i="58"/>
  <c r="S61" i="58"/>
  <c r="Q61" i="58"/>
  <c r="R61" i="58"/>
  <c r="Q63" i="58"/>
  <c r="R63" i="58"/>
  <c r="S63" i="58"/>
  <c r="S14" i="58"/>
  <c r="Q14" i="58"/>
  <c r="R14" i="58"/>
  <c r="Q25" i="58"/>
  <c r="S25" i="58"/>
  <c r="R25" i="58"/>
  <c r="Q20" i="58"/>
  <c r="S20" i="58"/>
  <c r="R20" i="58"/>
  <c r="O9" i="58"/>
  <c r="S41" i="58"/>
  <c r="Q41" i="58"/>
  <c r="R41" i="58"/>
  <c r="S12" i="58"/>
  <c r="Q12" i="58"/>
  <c r="R12" i="58"/>
  <c r="AE43" i="65" l="1"/>
  <c r="U37" i="71"/>
  <c r="AI39" i="58"/>
  <c r="F16" i="74"/>
  <c r="AA43" i="67"/>
  <c r="BN42" i="67"/>
  <c r="BQ42" i="67" s="1"/>
  <c r="BG42" i="67"/>
  <c r="BH42" i="67" s="1"/>
  <c r="BD42" i="67"/>
  <c r="BE42" i="67" s="1"/>
  <c r="AG60" i="58"/>
  <c r="H60" i="58"/>
  <c r="L60" i="58" s="1"/>
  <c r="BL49" i="67"/>
  <c r="V50" i="67"/>
  <c r="W50" i="67" s="1"/>
  <c r="BK50" i="67" s="1"/>
  <c r="BJ50" i="67"/>
  <c r="N48" i="56"/>
  <c r="Q48" i="56" s="1"/>
  <c r="C49" i="56"/>
  <c r="R41" i="71"/>
  <c r="BU41" i="67"/>
  <c r="F61" i="67"/>
  <c r="Z51" i="67"/>
  <c r="X52" i="67" s="1"/>
  <c r="Y51" i="67"/>
  <c r="Z31" i="65"/>
  <c r="J32" i="71" s="1"/>
  <c r="AG31" i="65"/>
  <c r="L32" i="71" s="1"/>
  <c r="G44" i="65"/>
  <c r="AC44" i="65"/>
  <c r="H45" i="71" s="1"/>
  <c r="AG45" i="71" s="1"/>
  <c r="AR20" i="78" s="1"/>
  <c r="H44" i="65"/>
  <c r="AA31" i="65"/>
  <c r="AB43" i="67"/>
  <c r="AC43" i="67" s="1"/>
  <c r="BC43" i="67"/>
  <c r="BF43" i="67"/>
  <c r="J57" i="67"/>
  <c r="K57" i="67" s="1"/>
  <c r="S54" i="67"/>
  <c r="T54" i="67" s="1"/>
  <c r="BO42" i="67"/>
  <c r="BP42" i="67"/>
  <c r="BS42" i="67" s="1"/>
  <c r="BB42" i="67"/>
  <c r="AJ43" i="54" s="1"/>
  <c r="G69" i="73"/>
  <c r="BD43" i="67"/>
  <c r="BG43" i="67"/>
  <c r="D52" i="67"/>
  <c r="E52" i="67"/>
  <c r="U31" i="65"/>
  <c r="W31" i="65"/>
  <c r="X31" i="65" s="1"/>
  <c r="C32" i="65"/>
  <c r="AF32" i="65" s="1"/>
  <c r="K33" i="71" s="1"/>
  <c r="AH33" i="71" s="1"/>
  <c r="AF21" i="78" s="1"/>
  <c r="N45" i="65"/>
  <c r="M45" i="65"/>
  <c r="K52" i="65"/>
  <c r="I53" i="65" s="1"/>
  <c r="J52" i="65"/>
  <c r="Q55" i="65"/>
  <c r="O56" i="65" s="1"/>
  <c r="P56" i="65" s="1"/>
  <c r="P56" i="67"/>
  <c r="Q56" i="67"/>
  <c r="T52" i="65"/>
  <c r="R53" i="65" s="1"/>
  <c r="S53" i="65" s="1"/>
  <c r="L46" i="65"/>
  <c r="T10" i="58"/>
  <c r="AC10" i="58" s="1"/>
  <c r="AF10" i="58" s="1"/>
  <c r="T40" i="58"/>
  <c r="AC40" i="58" s="1"/>
  <c r="AF40" i="58" s="1"/>
  <c r="R39" i="54" s="1"/>
  <c r="T12" i="58"/>
  <c r="AC12" i="58" s="1"/>
  <c r="AF12" i="58" s="1"/>
  <c r="R11" i="54" s="1"/>
  <c r="T20" i="58"/>
  <c r="AC20" i="58" s="1"/>
  <c r="AF20" i="58" s="1"/>
  <c r="R19" i="54" s="1"/>
  <c r="T59" i="58"/>
  <c r="AC59" i="58" s="1"/>
  <c r="AF59" i="58" s="1"/>
  <c r="R58" i="54" s="1"/>
  <c r="T62" i="58"/>
  <c r="AC62" i="58" s="1"/>
  <c r="AF62" i="58" s="1"/>
  <c r="R61" i="54" s="1"/>
  <c r="T16" i="58"/>
  <c r="AC16" i="58" s="1"/>
  <c r="AF16" i="58" s="1"/>
  <c r="R15" i="54" s="1"/>
  <c r="T36" i="58"/>
  <c r="AC36" i="58" s="1"/>
  <c r="AF36" i="58" s="1"/>
  <c r="R35" i="54" s="1"/>
  <c r="T46" i="58"/>
  <c r="AC46" i="58" s="1"/>
  <c r="AF46" i="58" s="1"/>
  <c r="T45" i="58"/>
  <c r="AC45" i="58" s="1"/>
  <c r="AF45" i="58" s="1"/>
  <c r="R44" i="54" s="1"/>
  <c r="T55" i="58"/>
  <c r="AC55" i="58" s="1"/>
  <c r="AF55" i="58" s="1"/>
  <c r="R54" i="54" s="1"/>
  <c r="T56" i="58"/>
  <c r="AC56" i="58" s="1"/>
  <c r="AF56" i="58" s="1"/>
  <c r="R55" i="54" s="1"/>
  <c r="T23" i="58"/>
  <c r="AC23" i="58" s="1"/>
  <c r="AF23" i="58" s="1"/>
  <c r="R22" i="54" s="1"/>
  <c r="T17" i="58"/>
  <c r="AC17" i="58" s="1"/>
  <c r="AF17" i="58" s="1"/>
  <c r="R16" i="54" s="1"/>
  <c r="T21" i="58"/>
  <c r="AC21" i="58" s="1"/>
  <c r="AF21" i="58" s="1"/>
  <c r="R20" i="54" s="1"/>
  <c r="T52" i="58"/>
  <c r="AC52" i="58" s="1"/>
  <c r="AF52" i="58" s="1"/>
  <c r="R51" i="54" s="1"/>
  <c r="T34" i="58"/>
  <c r="AC34" i="58" s="1"/>
  <c r="AF34" i="58" s="1"/>
  <c r="T15" i="58"/>
  <c r="AC15" i="58" s="1"/>
  <c r="AF15" i="58" s="1"/>
  <c r="R14" i="54" s="1"/>
  <c r="T63" i="58"/>
  <c r="AC63" i="58" s="1"/>
  <c r="AF63" i="58" s="1"/>
  <c r="R62" i="54" s="1"/>
  <c r="T49" i="58"/>
  <c r="AC49" i="58" s="1"/>
  <c r="AF49" i="58" s="1"/>
  <c r="R48" i="54" s="1"/>
  <c r="T50" i="58"/>
  <c r="AC50" i="58" s="1"/>
  <c r="AF50" i="58" s="1"/>
  <c r="R49" i="54" s="1"/>
  <c r="T66" i="58"/>
  <c r="AC66" i="58" s="1"/>
  <c r="AF66" i="58" s="1"/>
  <c r="R65" i="54" s="1"/>
  <c r="T31" i="58"/>
  <c r="AC31" i="58" s="1"/>
  <c r="AF31" i="58" s="1"/>
  <c r="R30" i="54" s="1"/>
  <c r="T44" i="58"/>
  <c r="AC44" i="58" s="1"/>
  <c r="AF44" i="58" s="1"/>
  <c r="R43" i="54" s="1"/>
  <c r="T19" i="58"/>
  <c r="AC19" i="58" s="1"/>
  <c r="AF19" i="58" s="1"/>
  <c r="R18" i="54" s="1"/>
  <c r="T60" i="58"/>
  <c r="AC60" i="58" s="1"/>
  <c r="AF60" i="58" s="1"/>
  <c r="R59" i="54" s="1"/>
  <c r="T32" i="58"/>
  <c r="AC32" i="58" s="1"/>
  <c r="AF32" i="58" s="1"/>
  <c r="R31" i="54" s="1"/>
  <c r="T35" i="58"/>
  <c r="AC35" i="58" s="1"/>
  <c r="AF35" i="58" s="1"/>
  <c r="R34" i="54" s="1"/>
  <c r="T30" i="58"/>
  <c r="AC30" i="58" s="1"/>
  <c r="AF30" i="58" s="1"/>
  <c r="R29" i="54" s="1"/>
  <c r="T68" i="58"/>
  <c r="AC68" i="58" s="1"/>
  <c r="AF68" i="58" s="1"/>
  <c r="R67" i="54" s="1"/>
  <c r="T22" i="58"/>
  <c r="AC22" i="58" s="1"/>
  <c r="AF22" i="58" s="1"/>
  <c r="T26" i="58"/>
  <c r="AC26" i="58" s="1"/>
  <c r="AF26" i="58" s="1"/>
  <c r="R25" i="54" s="1"/>
  <c r="T33" i="58"/>
  <c r="AC33" i="58" s="1"/>
  <c r="AF33" i="58" s="1"/>
  <c r="R32" i="54" s="1"/>
  <c r="T54" i="58"/>
  <c r="AC54" i="58" s="1"/>
  <c r="AF54" i="58" s="1"/>
  <c r="R53" i="54" s="1"/>
  <c r="T48" i="58"/>
  <c r="AC48" i="58" s="1"/>
  <c r="AF48" i="58" s="1"/>
  <c r="R47" i="54" s="1"/>
  <c r="T47" i="58"/>
  <c r="AC47" i="58" s="1"/>
  <c r="AF47" i="58" s="1"/>
  <c r="R46" i="54" s="1"/>
  <c r="T27" i="58"/>
  <c r="AC27" i="58" s="1"/>
  <c r="AF27" i="58" s="1"/>
  <c r="R26" i="54" s="1"/>
  <c r="T13" i="58"/>
  <c r="AC13" i="58" s="1"/>
  <c r="AF13" i="58" s="1"/>
  <c r="R12" i="54" s="1"/>
  <c r="T67" i="58"/>
  <c r="AC67" i="58" s="1"/>
  <c r="AF67" i="58" s="1"/>
  <c r="R66" i="54" s="1"/>
  <c r="T11" i="58"/>
  <c r="AC11" i="58" s="1"/>
  <c r="AF11" i="58" s="1"/>
  <c r="R10" i="54" s="1"/>
  <c r="T9" i="58"/>
  <c r="AC9" i="58" s="1"/>
  <c r="AF9" i="58" s="1"/>
  <c r="T14" i="58"/>
  <c r="AC14" i="58" s="1"/>
  <c r="AF14" i="58" s="1"/>
  <c r="R13" i="54" s="1"/>
  <c r="T18" i="58"/>
  <c r="AC18" i="58" s="1"/>
  <c r="AF18" i="58" s="1"/>
  <c r="R17" i="54" s="1"/>
  <c r="T24" i="58"/>
  <c r="AC24" i="58" s="1"/>
  <c r="AF24" i="58" s="1"/>
  <c r="R23" i="54" s="1"/>
  <c r="T53" i="58"/>
  <c r="AC53" i="58" s="1"/>
  <c r="AF53" i="58" s="1"/>
  <c r="R52" i="54" s="1"/>
  <c r="T37" i="58"/>
  <c r="AC37" i="58" s="1"/>
  <c r="AF37" i="58" s="1"/>
  <c r="R36" i="54" s="1"/>
  <c r="T41" i="58"/>
  <c r="AC41" i="58" s="1"/>
  <c r="AF41" i="58" s="1"/>
  <c r="R40" i="54" s="1"/>
  <c r="T25" i="58"/>
  <c r="AC25" i="58" s="1"/>
  <c r="AF25" i="58" s="1"/>
  <c r="R24" i="54" s="1"/>
  <c r="T61" i="58"/>
  <c r="AC61" i="58" s="1"/>
  <c r="AF61" i="58" s="1"/>
  <c r="R60" i="54" s="1"/>
  <c r="T39" i="58"/>
  <c r="AC39" i="58" s="1"/>
  <c r="AF39" i="58" s="1"/>
  <c r="R38" i="54" s="1"/>
  <c r="T64" i="58"/>
  <c r="AC64" i="58" s="1"/>
  <c r="AF64" i="58" s="1"/>
  <c r="R63" i="54" s="1"/>
  <c r="T42" i="58"/>
  <c r="AC42" i="58" s="1"/>
  <c r="AF42" i="58" s="1"/>
  <c r="R41" i="54" s="1"/>
  <c r="T28" i="58"/>
  <c r="AC28" i="58" s="1"/>
  <c r="AF28" i="58" s="1"/>
  <c r="R27" i="54" s="1"/>
  <c r="T65" i="58"/>
  <c r="AC65" i="58" s="1"/>
  <c r="AF65" i="58" s="1"/>
  <c r="R64" i="54" s="1"/>
  <c r="T57" i="58"/>
  <c r="AC57" i="58" s="1"/>
  <c r="AF57" i="58" s="1"/>
  <c r="R56" i="54" s="1"/>
  <c r="T51" i="58"/>
  <c r="AC51" i="58" s="1"/>
  <c r="AF51" i="58" s="1"/>
  <c r="R50" i="54" s="1"/>
  <c r="T58" i="58"/>
  <c r="AC58" i="58" s="1"/>
  <c r="AF58" i="58" s="1"/>
  <c r="T29" i="58"/>
  <c r="AC29" i="58" s="1"/>
  <c r="AF29" i="58" s="1"/>
  <c r="R28" i="54" s="1"/>
  <c r="T43" i="58"/>
  <c r="AC43" i="58" s="1"/>
  <c r="AF43" i="58" s="1"/>
  <c r="R42" i="54" s="1"/>
  <c r="T38" i="58"/>
  <c r="AC38" i="58" s="1"/>
  <c r="AF38" i="58" s="1"/>
  <c r="R37" i="54" s="1"/>
  <c r="T69" i="58"/>
  <c r="AC69" i="58" s="1"/>
  <c r="AF69" i="58" s="1"/>
  <c r="R68" i="54" s="1"/>
  <c r="R57" i="54" l="1"/>
  <c r="D14" i="102"/>
  <c r="R33" i="54"/>
  <c r="R11" i="76" s="1"/>
  <c r="D12" i="102"/>
  <c r="R45" i="54"/>
  <c r="D13" i="102"/>
  <c r="R9" i="54"/>
  <c r="R9" i="76" s="1"/>
  <c r="D10" i="102"/>
  <c r="R21" i="54"/>
  <c r="R10" i="76" s="1"/>
  <c r="D11" i="102"/>
  <c r="U38" i="71"/>
  <c r="AI40" i="58"/>
  <c r="BT42" i="67"/>
  <c r="AA44" i="67"/>
  <c r="BN43" i="67"/>
  <c r="BQ43" i="67" s="1"/>
  <c r="BT43" i="67" s="1"/>
  <c r="BM43" i="67"/>
  <c r="BP43" i="67" s="1"/>
  <c r="BS43" i="67" s="1"/>
  <c r="E19" i="74"/>
  <c r="E20" i="74" s="1"/>
  <c r="E21" i="74" s="1"/>
  <c r="M32" i="71"/>
  <c r="N32" i="71" s="1"/>
  <c r="AB31" i="65"/>
  <c r="R13" i="76"/>
  <c r="R12" i="76"/>
  <c r="S59" i="54"/>
  <c r="BE43" i="67"/>
  <c r="AF71" i="58"/>
  <c r="R8" i="54"/>
  <c r="R8" i="76" s="1"/>
  <c r="U51" i="67"/>
  <c r="V51" i="67" s="1"/>
  <c r="W51" i="67" s="1"/>
  <c r="BK51" i="67" s="1"/>
  <c r="BL50" i="67"/>
  <c r="BI42" i="67"/>
  <c r="L49" i="56"/>
  <c r="M49" i="56" s="1"/>
  <c r="P49" i="56" s="1"/>
  <c r="Z52" i="67"/>
  <c r="Y52" i="67"/>
  <c r="G61" i="67"/>
  <c r="H61" i="67" s="1"/>
  <c r="AD9" i="58"/>
  <c r="AE9" i="58" s="1"/>
  <c r="Q8" i="54" s="1"/>
  <c r="Q8" i="76" s="1"/>
  <c r="AI32" i="65"/>
  <c r="F45" i="65"/>
  <c r="AD44" i="65"/>
  <c r="I45" i="71" s="1"/>
  <c r="AJ31" i="65"/>
  <c r="AH31" i="65"/>
  <c r="AI32" i="54"/>
  <c r="AK32" i="54" s="1"/>
  <c r="H31" i="70" s="1"/>
  <c r="AE16" i="78" s="1"/>
  <c r="BC44" i="67"/>
  <c r="BF44" i="67"/>
  <c r="AB44" i="67"/>
  <c r="AC44" i="67" s="1"/>
  <c r="R55" i="67"/>
  <c r="BB43" i="67"/>
  <c r="AJ44" i="54" s="1"/>
  <c r="BR42" i="67"/>
  <c r="BU42" i="67" s="1"/>
  <c r="I58" i="67"/>
  <c r="BH43" i="67"/>
  <c r="AD23" i="58"/>
  <c r="AD10" i="58"/>
  <c r="AD55" i="58"/>
  <c r="AD12" i="58"/>
  <c r="AD40" i="58"/>
  <c r="AD45" i="58"/>
  <c r="AD17" i="58"/>
  <c r="AD21" i="58"/>
  <c r="C53" i="67"/>
  <c r="BD44" i="67"/>
  <c r="BG44" i="67"/>
  <c r="O57" i="67"/>
  <c r="V32" i="65"/>
  <c r="Y32" i="65"/>
  <c r="D32" i="65"/>
  <c r="N46" i="65"/>
  <c r="M46" i="65"/>
  <c r="K53" i="65"/>
  <c r="J53" i="65"/>
  <c r="Q56" i="65"/>
  <c r="O57" i="65" s="1"/>
  <c r="P57" i="65" s="1"/>
  <c r="T53" i="65"/>
  <c r="I54" i="65"/>
  <c r="AD20" i="58"/>
  <c r="AD56" i="58"/>
  <c r="AD36" i="58"/>
  <c r="AD16" i="58"/>
  <c r="AD59" i="58"/>
  <c r="AD46" i="58"/>
  <c r="AD57" i="58"/>
  <c r="AD28" i="58"/>
  <c r="AD53" i="58"/>
  <c r="AD30" i="58"/>
  <c r="AD38" i="58"/>
  <c r="AD51" i="58"/>
  <c r="AD42" i="58"/>
  <c r="AD25" i="58"/>
  <c r="AD24" i="58"/>
  <c r="AD11" i="58"/>
  <c r="AD47" i="58"/>
  <c r="AD26" i="58"/>
  <c r="AD35" i="58"/>
  <c r="AD44" i="58"/>
  <c r="AD49" i="58"/>
  <c r="AD41" i="58"/>
  <c r="AD32" i="58"/>
  <c r="AD15" i="58"/>
  <c r="AD43" i="58"/>
  <c r="AD18" i="58"/>
  <c r="AD22" i="58"/>
  <c r="AD31" i="58"/>
  <c r="AD29" i="58"/>
  <c r="AD39" i="58"/>
  <c r="AD37" i="58"/>
  <c r="AD14" i="58"/>
  <c r="AD13" i="58"/>
  <c r="AD54" i="58"/>
  <c r="AD60" i="58"/>
  <c r="AD34" i="58"/>
  <c r="AD48" i="58"/>
  <c r="AD58" i="58"/>
  <c r="AD27" i="58"/>
  <c r="AD33" i="58"/>
  <c r="AD19" i="58"/>
  <c r="AD50" i="58"/>
  <c r="AD52" i="58"/>
  <c r="AI41" i="58" l="1"/>
  <c r="U39" i="71"/>
  <c r="BI43" i="67"/>
  <c r="BJ51" i="67"/>
  <c r="BL51" i="67" s="1"/>
  <c r="BM44" i="67"/>
  <c r="BP44" i="67" s="1"/>
  <c r="AA45" i="67"/>
  <c r="BN44" i="67"/>
  <c r="BQ44" i="67" s="1"/>
  <c r="BT44" i="67" s="1"/>
  <c r="AE44" i="65"/>
  <c r="R15" i="76"/>
  <c r="F58" i="70"/>
  <c r="W8" i="76"/>
  <c r="BE44" i="67"/>
  <c r="AE11" i="58"/>
  <c r="Q10" i="54" s="1"/>
  <c r="W10" i="54" s="1"/>
  <c r="AE54" i="58"/>
  <c r="Q53" i="54" s="1"/>
  <c r="W53" i="54" s="1"/>
  <c r="AE22" i="58"/>
  <c r="AE44" i="58"/>
  <c r="Q43" i="54" s="1"/>
  <c r="W43" i="54" s="1"/>
  <c r="AE28" i="58"/>
  <c r="Q27" i="54" s="1"/>
  <c r="W27" i="54" s="1"/>
  <c r="AE56" i="58"/>
  <c r="Q55" i="54" s="1"/>
  <c r="W55" i="54" s="1"/>
  <c r="AE55" i="58"/>
  <c r="Q54" i="54" s="1"/>
  <c r="W54" i="54" s="1"/>
  <c r="AE19" i="58"/>
  <c r="Q18" i="54" s="1"/>
  <c r="W18" i="54" s="1"/>
  <c r="AE32" i="58"/>
  <c r="Q31" i="54" s="1"/>
  <c r="W31" i="54" s="1"/>
  <c r="AE24" i="58"/>
  <c r="Q23" i="54" s="1"/>
  <c r="W23" i="54" s="1"/>
  <c r="AE20" i="58"/>
  <c r="Q19" i="54" s="1"/>
  <c r="W19" i="54" s="1"/>
  <c r="AE23" i="58"/>
  <c r="Q22" i="54" s="1"/>
  <c r="W22" i="54" s="1"/>
  <c r="AE50" i="58"/>
  <c r="Q49" i="54" s="1"/>
  <c r="W49" i="54" s="1"/>
  <c r="AE34" i="58"/>
  <c r="AE39" i="58"/>
  <c r="Q38" i="54" s="1"/>
  <c r="W38" i="54" s="1"/>
  <c r="AE51" i="58"/>
  <c r="Q50" i="54" s="1"/>
  <c r="W50" i="54" s="1"/>
  <c r="AE46" i="58"/>
  <c r="AE21" i="58"/>
  <c r="Q20" i="54" s="1"/>
  <c r="W20" i="54" s="1"/>
  <c r="AE12" i="58"/>
  <c r="Q11" i="54" s="1"/>
  <c r="W11" i="54" s="1"/>
  <c r="AE10" i="58"/>
  <c r="AE48" i="58"/>
  <c r="Q47" i="54" s="1"/>
  <c r="W47" i="54" s="1"/>
  <c r="AE14" i="58"/>
  <c r="Q13" i="54" s="1"/>
  <c r="W13" i="54" s="1"/>
  <c r="AE41" i="58"/>
  <c r="Q40" i="54" s="1"/>
  <c r="W40" i="54" s="1"/>
  <c r="AE30" i="58"/>
  <c r="Q29" i="54" s="1"/>
  <c r="W29" i="54" s="1"/>
  <c r="AE58" i="58"/>
  <c r="AE13" i="58"/>
  <c r="Q12" i="54" s="1"/>
  <c r="W12" i="54" s="1"/>
  <c r="AE18" i="58"/>
  <c r="Q17" i="54" s="1"/>
  <c r="W17" i="54" s="1"/>
  <c r="AE35" i="58"/>
  <c r="Q34" i="54" s="1"/>
  <c r="W34" i="54" s="1"/>
  <c r="AE38" i="58"/>
  <c r="Q37" i="54" s="1"/>
  <c r="W37" i="54" s="1"/>
  <c r="AE59" i="58"/>
  <c r="Q58" i="54" s="1"/>
  <c r="AE17" i="58"/>
  <c r="Q16" i="54" s="1"/>
  <c r="W16" i="54" s="1"/>
  <c r="AE33" i="58"/>
  <c r="Q32" i="54" s="1"/>
  <c r="W32" i="54" s="1"/>
  <c r="AE60" i="58"/>
  <c r="Q59" i="54" s="1"/>
  <c r="W59" i="54" s="1"/>
  <c r="AE29" i="58"/>
  <c r="Q28" i="54" s="1"/>
  <c r="W28" i="54" s="1"/>
  <c r="AE43" i="58"/>
  <c r="Q42" i="54" s="1"/>
  <c r="W42" i="54" s="1"/>
  <c r="AE26" i="58"/>
  <c r="Q25" i="54" s="1"/>
  <c r="W25" i="54" s="1"/>
  <c r="AE25" i="58"/>
  <c r="Q24" i="54" s="1"/>
  <c r="W24" i="54" s="1"/>
  <c r="AE16" i="58"/>
  <c r="Q15" i="54" s="1"/>
  <c r="W15" i="54" s="1"/>
  <c r="AE45" i="58"/>
  <c r="Q44" i="54" s="1"/>
  <c r="W44" i="54" s="1"/>
  <c r="AE52" i="58"/>
  <c r="Q51" i="54" s="1"/>
  <c r="W51" i="54" s="1"/>
  <c r="AE27" i="58"/>
  <c r="Q26" i="54" s="1"/>
  <c r="W26" i="54" s="1"/>
  <c r="AE37" i="58"/>
  <c r="Q36" i="54" s="1"/>
  <c r="W36" i="54" s="1"/>
  <c r="AE31" i="58"/>
  <c r="Q30" i="54" s="1"/>
  <c r="W30" i="54" s="1"/>
  <c r="AE15" i="58"/>
  <c r="Q14" i="54" s="1"/>
  <c r="W14" i="54" s="1"/>
  <c r="AE49" i="58"/>
  <c r="Q48" i="54" s="1"/>
  <c r="W48" i="54" s="1"/>
  <c r="AE47" i="58"/>
  <c r="Q46" i="54" s="1"/>
  <c r="W46" i="54" s="1"/>
  <c r="AE42" i="58"/>
  <c r="Q41" i="54" s="1"/>
  <c r="W41" i="54" s="1"/>
  <c r="AE53" i="58"/>
  <c r="Q52" i="54" s="1"/>
  <c r="W52" i="54" s="1"/>
  <c r="AE57" i="58"/>
  <c r="Q56" i="54" s="1"/>
  <c r="W56" i="54" s="1"/>
  <c r="AE36" i="58"/>
  <c r="Q35" i="54" s="1"/>
  <c r="W35" i="54" s="1"/>
  <c r="AE40" i="58"/>
  <c r="Q39" i="54" s="1"/>
  <c r="W39" i="54" s="1"/>
  <c r="U52" i="67"/>
  <c r="N49" i="56"/>
  <c r="Q49" i="56" s="1"/>
  <c r="R42" i="71"/>
  <c r="C50" i="56"/>
  <c r="Q57" i="67"/>
  <c r="O58" i="67" s="1"/>
  <c r="F62" i="67"/>
  <c r="X53" i="67"/>
  <c r="G45" i="65"/>
  <c r="AC45" i="65"/>
  <c r="H46" i="71" s="1"/>
  <c r="AG46" i="71" s="1"/>
  <c r="AS20" i="78" s="1"/>
  <c r="H45" i="65"/>
  <c r="AL32" i="65"/>
  <c r="AM31" i="65"/>
  <c r="AK31" i="65"/>
  <c r="AN31" i="65" s="1"/>
  <c r="BC45" i="67"/>
  <c r="BF45" i="67"/>
  <c r="AB45" i="67"/>
  <c r="AC45" i="67" s="1"/>
  <c r="BN45" i="67" s="1"/>
  <c r="BR43" i="67"/>
  <c r="BU43" i="67" s="1"/>
  <c r="S55" i="67"/>
  <c r="T55" i="67" s="1"/>
  <c r="BO43" i="67"/>
  <c r="J58" i="67"/>
  <c r="K58" i="67" s="1"/>
  <c r="BB44" i="67"/>
  <c r="AJ45" i="54" s="1"/>
  <c r="BH44" i="67"/>
  <c r="P57" i="67"/>
  <c r="BD45" i="67"/>
  <c r="BG45" i="67"/>
  <c r="D53" i="67"/>
  <c r="E53" i="67"/>
  <c r="E32" i="65"/>
  <c r="K54" i="65"/>
  <c r="I55" i="65" s="1"/>
  <c r="J54" i="65"/>
  <c r="Q57" i="65"/>
  <c r="O58" i="65" s="1"/>
  <c r="P58" i="65" s="1"/>
  <c r="AA46" i="67"/>
  <c r="BM46" i="67" s="1"/>
  <c r="L47" i="65"/>
  <c r="M47" i="65" s="1"/>
  <c r="R54" i="65"/>
  <c r="S54" i="65" s="1"/>
  <c r="R70" i="54"/>
  <c r="Q9" i="54" l="1"/>
  <c r="C10" i="102"/>
  <c r="F10" i="102" s="1"/>
  <c r="Q21" i="54"/>
  <c r="C11" i="102"/>
  <c r="F11" i="102" s="1"/>
  <c r="Q33" i="54"/>
  <c r="C12" i="102"/>
  <c r="F12" i="102" s="1"/>
  <c r="Q57" i="54"/>
  <c r="C14" i="102"/>
  <c r="F14" i="102" s="1"/>
  <c r="Q45" i="54"/>
  <c r="C13" i="102"/>
  <c r="F13" i="102" s="1"/>
  <c r="AI42" i="58"/>
  <c r="U40" i="71"/>
  <c r="AB39" i="54"/>
  <c r="AB22" i="54"/>
  <c r="AB9" i="54"/>
  <c r="E51" i="70"/>
  <c r="AB51" i="54"/>
  <c r="E13" i="70"/>
  <c r="I13" i="70" s="1"/>
  <c r="M7" i="78" s="1"/>
  <c r="M8" i="78" s="1"/>
  <c r="AB13" i="54"/>
  <c r="E50" i="70"/>
  <c r="AB50" i="54"/>
  <c r="E24" i="70"/>
  <c r="I24" i="70" s="1"/>
  <c r="X7" i="78" s="1"/>
  <c r="X8" i="78" s="1"/>
  <c r="AB24" i="54"/>
  <c r="E31" i="70"/>
  <c r="I31" i="70" s="1"/>
  <c r="AE7" i="78" s="1"/>
  <c r="AE8" i="78" s="1"/>
  <c r="E33" i="70"/>
  <c r="AB33" i="54"/>
  <c r="E28" i="70"/>
  <c r="I28" i="70" s="1"/>
  <c r="AB7" i="78" s="1"/>
  <c r="AB8" i="78" s="1"/>
  <c r="AB28" i="54"/>
  <c r="E49" i="70"/>
  <c r="AB49" i="54"/>
  <c r="E21" i="70"/>
  <c r="I21" i="70" s="1"/>
  <c r="U7" i="78" s="1"/>
  <c r="U8" i="78" s="1"/>
  <c r="AB21" i="54"/>
  <c r="E17" i="70"/>
  <c r="I17" i="70" s="1"/>
  <c r="Q7" i="78" s="1"/>
  <c r="Q8" i="78" s="1"/>
  <c r="AB17" i="54"/>
  <c r="E42" i="70"/>
  <c r="AB42" i="54"/>
  <c r="E38" i="70"/>
  <c r="AB38" i="54"/>
  <c r="E40" i="70"/>
  <c r="AB40" i="54"/>
  <c r="E29" i="70"/>
  <c r="I29" i="70" s="1"/>
  <c r="AC7" i="78" s="1"/>
  <c r="AC8" i="78" s="1"/>
  <c r="AB29" i="54"/>
  <c r="E41" i="70"/>
  <c r="AB41" i="54"/>
  <c r="E15" i="70"/>
  <c r="I15" i="70" s="1"/>
  <c r="O7" i="78" s="1"/>
  <c r="O8" i="78" s="1"/>
  <c r="AB15" i="54"/>
  <c r="E16" i="70"/>
  <c r="I16" i="70" s="1"/>
  <c r="P7" i="78" s="1"/>
  <c r="P8" i="78" s="1"/>
  <c r="AB16" i="54"/>
  <c r="E10" i="70"/>
  <c r="I10" i="70" s="1"/>
  <c r="J7" i="78" s="1"/>
  <c r="J8" i="78" s="1"/>
  <c r="AB10" i="54"/>
  <c r="E37" i="70"/>
  <c r="AB37" i="54"/>
  <c r="E18" i="70"/>
  <c r="I18" i="70" s="1"/>
  <c r="R7" i="78" s="1"/>
  <c r="R8" i="78" s="1"/>
  <c r="AB18" i="54"/>
  <c r="E53" i="70"/>
  <c r="AB53" i="54"/>
  <c r="E34" i="70"/>
  <c r="AB34" i="54"/>
  <c r="E45" i="70"/>
  <c r="AB45" i="54"/>
  <c r="E35" i="70"/>
  <c r="AB35" i="54"/>
  <c r="E14" i="70"/>
  <c r="I14" i="70" s="1"/>
  <c r="N7" i="78" s="1"/>
  <c r="N8" i="78" s="1"/>
  <c r="AB14" i="54"/>
  <c r="E27" i="70"/>
  <c r="I27" i="70" s="1"/>
  <c r="AA7" i="78" s="1"/>
  <c r="AA8" i="78" s="1"/>
  <c r="AB27" i="54"/>
  <c r="E11" i="70"/>
  <c r="I11" i="70" s="1"/>
  <c r="K7" i="78" s="1"/>
  <c r="K8" i="78" s="1"/>
  <c r="AB11" i="54"/>
  <c r="E12" i="70"/>
  <c r="I12" i="70" s="1"/>
  <c r="L7" i="78" s="1"/>
  <c r="L8" i="78" s="1"/>
  <c r="AB12" i="54"/>
  <c r="E19" i="70"/>
  <c r="I19" i="70" s="1"/>
  <c r="S7" i="78" s="1"/>
  <c r="S8" i="78" s="1"/>
  <c r="E54" i="70"/>
  <c r="AB54" i="54"/>
  <c r="E52" i="70"/>
  <c r="AB52" i="54"/>
  <c r="E55" i="70"/>
  <c r="E47" i="70"/>
  <c r="AB47" i="54"/>
  <c r="E25" i="70"/>
  <c r="I25" i="70" s="1"/>
  <c r="Y7" i="78" s="1"/>
  <c r="Y8" i="78" s="1"/>
  <c r="AB25" i="54"/>
  <c r="E23" i="70"/>
  <c r="I23" i="70" s="1"/>
  <c r="W7" i="78" s="1"/>
  <c r="W8" i="78" s="1"/>
  <c r="AB23" i="54"/>
  <c r="E36" i="70"/>
  <c r="AB36" i="54"/>
  <c r="E46" i="70"/>
  <c r="AB46" i="54"/>
  <c r="E48" i="70"/>
  <c r="AB48" i="54"/>
  <c r="E30" i="70"/>
  <c r="I30" i="70" s="1"/>
  <c r="AD7" i="78" s="1"/>
  <c r="AD8" i="78" s="1"/>
  <c r="AB30" i="54"/>
  <c r="E26" i="70"/>
  <c r="I26" i="70" s="1"/>
  <c r="Z7" i="78" s="1"/>
  <c r="Z8" i="78" s="1"/>
  <c r="AB26" i="54"/>
  <c r="BI44" i="67"/>
  <c r="BO44" i="67"/>
  <c r="E9" i="70"/>
  <c r="I9" i="70" s="1"/>
  <c r="I7" i="78" s="1"/>
  <c r="I8" i="78" s="1"/>
  <c r="BM45" i="67"/>
  <c r="BP45" i="67" s="1"/>
  <c r="BS45" i="67" s="1"/>
  <c r="W57" i="54"/>
  <c r="AB55" i="54" s="1"/>
  <c r="W33" i="54"/>
  <c r="AB31" i="54" s="1"/>
  <c r="Q11" i="76"/>
  <c r="W11" i="76" s="1"/>
  <c r="W45" i="54"/>
  <c r="AB43" i="54" s="1"/>
  <c r="Q12" i="76"/>
  <c r="W9" i="54"/>
  <c r="Q9" i="76"/>
  <c r="W21" i="54"/>
  <c r="AB19" i="54" s="1"/>
  <c r="Q10" i="76"/>
  <c r="W10" i="76" s="1"/>
  <c r="W58" i="54"/>
  <c r="E22" i="70"/>
  <c r="I22" i="70" s="1"/>
  <c r="V7" i="78" s="1"/>
  <c r="V8" i="78" s="1"/>
  <c r="AG61" i="58"/>
  <c r="H61" i="58"/>
  <c r="L61" i="58" s="1"/>
  <c r="AD61" i="58" s="1"/>
  <c r="E58" i="70"/>
  <c r="E39" i="70"/>
  <c r="E43" i="70"/>
  <c r="BE45" i="67"/>
  <c r="V52" i="67"/>
  <c r="W52" i="67" s="1"/>
  <c r="BJ52" i="67"/>
  <c r="L50" i="56"/>
  <c r="M50" i="56" s="1"/>
  <c r="P50" i="56" s="1"/>
  <c r="Z53" i="67"/>
  <c r="X54" i="67" s="1"/>
  <c r="Y53" i="67"/>
  <c r="H62" i="67"/>
  <c r="F63" i="67" s="1"/>
  <c r="G62" i="67"/>
  <c r="F46" i="65"/>
  <c r="AD45" i="65"/>
  <c r="Z32" i="65"/>
  <c r="J33" i="71" s="1"/>
  <c r="AG32" i="65"/>
  <c r="L33" i="71" s="1"/>
  <c r="M33" i="71" s="1"/>
  <c r="BR44" i="67"/>
  <c r="BU44" i="67" s="1"/>
  <c r="BS44" i="67"/>
  <c r="R56" i="67"/>
  <c r="I59" i="67"/>
  <c r="BP46" i="67"/>
  <c r="BB45" i="67"/>
  <c r="AJ46" i="54" s="1"/>
  <c r="BQ45" i="67"/>
  <c r="BT45" i="67" s="1"/>
  <c r="BH45" i="67"/>
  <c r="BC46" i="67"/>
  <c r="BF46" i="67"/>
  <c r="C54" i="67"/>
  <c r="W32" i="65"/>
  <c r="X32" i="65" s="1"/>
  <c r="U32" i="65"/>
  <c r="C33" i="65"/>
  <c r="AF33" i="65" s="1"/>
  <c r="K34" i="71" s="1"/>
  <c r="K55" i="65"/>
  <c r="J55" i="65"/>
  <c r="Q58" i="65"/>
  <c r="O59" i="65" s="1"/>
  <c r="P59" i="65" s="1"/>
  <c r="N47" i="65"/>
  <c r="L48" i="65" s="1"/>
  <c r="M48" i="65" s="1"/>
  <c r="AB46" i="67"/>
  <c r="P58" i="67"/>
  <c r="Q58" i="67"/>
  <c r="T54" i="65"/>
  <c r="R55" i="65" s="1"/>
  <c r="S55" i="65" s="1"/>
  <c r="AI43" i="58" l="1"/>
  <c r="U41" i="71"/>
  <c r="J31" i="70"/>
  <c r="J13" i="70"/>
  <c r="J28" i="70"/>
  <c r="J17" i="70"/>
  <c r="J24" i="70"/>
  <c r="J15" i="70"/>
  <c r="J29" i="70"/>
  <c r="J21" i="70"/>
  <c r="J23" i="70"/>
  <c r="J18" i="70"/>
  <c r="J19" i="70"/>
  <c r="J16" i="70"/>
  <c r="J30" i="70"/>
  <c r="J27" i="70"/>
  <c r="J11" i="70"/>
  <c r="E56" i="70"/>
  <c r="AB56" i="54"/>
  <c r="AB12" i="76" s="1"/>
  <c r="J26" i="70"/>
  <c r="J12" i="70"/>
  <c r="J10" i="70"/>
  <c r="E44" i="70"/>
  <c r="AB44" i="54"/>
  <c r="J25" i="70"/>
  <c r="J9" i="70"/>
  <c r="J14" i="70"/>
  <c r="E20" i="70"/>
  <c r="I20" i="70" s="1"/>
  <c r="T7" i="78" s="1"/>
  <c r="AB20" i="54"/>
  <c r="E8" i="70"/>
  <c r="I8" i="70" s="1"/>
  <c r="H7" i="78" s="1"/>
  <c r="AB8" i="54"/>
  <c r="E32" i="70"/>
  <c r="AB32" i="54"/>
  <c r="E57" i="70"/>
  <c r="AB57" i="54"/>
  <c r="AB11" i="76"/>
  <c r="AB10" i="76"/>
  <c r="BI45" i="67"/>
  <c r="AB8" i="76"/>
  <c r="N33" i="71"/>
  <c r="AH34" i="71"/>
  <c r="AG21" i="78" s="1"/>
  <c r="AE45" i="65"/>
  <c r="I46" i="71"/>
  <c r="J22" i="70"/>
  <c r="AE61" i="58"/>
  <c r="S60" i="54"/>
  <c r="BK52" i="67"/>
  <c r="U53" i="67"/>
  <c r="N50" i="56"/>
  <c r="Q50" i="56" s="1"/>
  <c r="C51" i="56"/>
  <c r="R43" i="71"/>
  <c r="Y54" i="67"/>
  <c r="Z54" i="67"/>
  <c r="G63" i="67"/>
  <c r="H63" i="67"/>
  <c r="F64" i="67" s="1"/>
  <c r="BS46" i="67"/>
  <c r="AI33" i="65"/>
  <c r="AA32" i="65"/>
  <c r="AB32" i="65" s="1"/>
  <c r="AJ32" i="65"/>
  <c r="AH32" i="65"/>
  <c r="G46" i="65"/>
  <c r="AC46" i="65"/>
  <c r="H47" i="71" s="1"/>
  <c r="AG47" i="71" s="1"/>
  <c r="AT20" i="78" s="1"/>
  <c r="H46" i="65"/>
  <c r="AD46" i="65" s="1"/>
  <c r="I47" i="71" s="1"/>
  <c r="AI33" i="54"/>
  <c r="BR45" i="67"/>
  <c r="BU45" i="67" s="1"/>
  <c r="J59" i="67"/>
  <c r="K59" i="67" s="1"/>
  <c r="BO45" i="67"/>
  <c r="S56" i="67"/>
  <c r="T56" i="67" s="1"/>
  <c r="O59" i="67"/>
  <c r="D54" i="67"/>
  <c r="E54" i="67" s="1"/>
  <c r="V33" i="65"/>
  <c r="Y33" i="65"/>
  <c r="D33" i="65"/>
  <c r="Q59" i="65"/>
  <c r="O60" i="65" s="1"/>
  <c r="P60" i="65" s="1"/>
  <c r="N48" i="65"/>
  <c r="L49" i="65" s="1"/>
  <c r="M49" i="65" s="1"/>
  <c r="AC46" i="67"/>
  <c r="I56" i="65"/>
  <c r="J56" i="65" s="1"/>
  <c r="T8" i="78" l="1"/>
  <c r="I8" i="103"/>
  <c r="I9" i="103" s="1"/>
  <c r="H8" i="78"/>
  <c r="H8" i="103"/>
  <c r="H9" i="103" s="1"/>
  <c r="AI44" i="58"/>
  <c r="U42" i="71"/>
  <c r="D9" i="75"/>
  <c r="D10" i="75" s="1"/>
  <c r="E9" i="75"/>
  <c r="E10" i="75" s="1"/>
  <c r="J20" i="70"/>
  <c r="J8" i="70"/>
  <c r="AB9" i="76"/>
  <c r="D15" i="23"/>
  <c r="BN46" i="67"/>
  <c r="F47" i="65"/>
  <c r="AK33" i="54"/>
  <c r="H32" i="70" s="1"/>
  <c r="I32" i="70" s="1"/>
  <c r="AF7" i="78" s="1"/>
  <c r="F59" i="70"/>
  <c r="Q60" i="54"/>
  <c r="BL52" i="67"/>
  <c r="V53" i="67"/>
  <c r="W53" i="67" s="1"/>
  <c r="BJ53" i="67"/>
  <c r="L51" i="56"/>
  <c r="M51" i="56" s="1"/>
  <c r="P51" i="56" s="1"/>
  <c r="H64" i="67"/>
  <c r="F65" i="67" s="1"/>
  <c r="G64" i="67"/>
  <c r="X55" i="67"/>
  <c r="Q59" i="67"/>
  <c r="O60" i="67" s="1"/>
  <c r="AE46" i="65"/>
  <c r="AM32" i="65"/>
  <c r="AK32" i="65"/>
  <c r="AN32" i="65" s="1"/>
  <c r="G47" i="65"/>
  <c r="AC47" i="65"/>
  <c r="H48" i="71" s="1"/>
  <c r="AG48" i="71" s="1"/>
  <c r="AU20" i="78" s="1"/>
  <c r="H47" i="65"/>
  <c r="AL33" i="65"/>
  <c r="I60" i="67"/>
  <c r="BB46" i="67"/>
  <c r="R57" i="67"/>
  <c r="P59" i="67"/>
  <c r="BD46" i="67"/>
  <c r="BE46" i="67" s="1"/>
  <c r="BG46" i="67"/>
  <c r="C55" i="67"/>
  <c r="E33" i="65"/>
  <c r="AA47" i="67"/>
  <c r="T55" i="65"/>
  <c r="R56" i="65" s="1"/>
  <c r="S56" i="65" s="1"/>
  <c r="Q60" i="65"/>
  <c r="O61" i="65" s="1"/>
  <c r="P61" i="65" s="1"/>
  <c r="N49" i="65"/>
  <c r="L50" i="65" s="1"/>
  <c r="M50" i="65" s="1"/>
  <c r="K56" i="65"/>
  <c r="I57" i="65"/>
  <c r="J57" i="65" s="1"/>
  <c r="AF8" i="78" l="1"/>
  <c r="AI45" i="58"/>
  <c r="U43" i="71"/>
  <c r="D16" i="23"/>
  <c r="D8" i="54" s="1"/>
  <c r="G8" i="54" s="1"/>
  <c r="AE8" i="54"/>
  <c r="C17" i="55"/>
  <c r="C18" i="55" s="1"/>
  <c r="BM47" i="67"/>
  <c r="AF16" i="78"/>
  <c r="J32" i="70"/>
  <c r="W60" i="54"/>
  <c r="AG62" i="58"/>
  <c r="H62" i="58"/>
  <c r="L62" i="58" s="1"/>
  <c r="AD62" i="58" s="1"/>
  <c r="BK53" i="67"/>
  <c r="U54" i="67"/>
  <c r="C52" i="56"/>
  <c r="R44" i="71"/>
  <c r="F26" i="74" s="1"/>
  <c r="N51" i="56"/>
  <c r="Q51" i="56" s="1"/>
  <c r="Y55" i="67"/>
  <c r="Z55" i="67"/>
  <c r="G65" i="67"/>
  <c r="H65" i="67" s="1"/>
  <c r="Z33" i="65"/>
  <c r="J34" i="71" s="1"/>
  <c r="AG33" i="65"/>
  <c r="L34" i="71" s="1"/>
  <c r="M34" i="71" s="1"/>
  <c r="F48" i="65"/>
  <c r="AD47" i="65"/>
  <c r="I48" i="71" s="1"/>
  <c r="J60" i="67"/>
  <c r="K60" i="67" s="1"/>
  <c r="S57" i="67"/>
  <c r="T57" i="67" s="1"/>
  <c r="BQ46" i="67"/>
  <c r="BO46" i="67"/>
  <c r="BH46" i="67"/>
  <c r="BI46" i="67" s="1"/>
  <c r="AJ47" i="54"/>
  <c r="AB47" i="67"/>
  <c r="BC47" i="67"/>
  <c r="BF47" i="67"/>
  <c r="D55" i="67"/>
  <c r="E55" i="67"/>
  <c r="U33" i="65"/>
  <c r="W33" i="65"/>
  <c r="X33" i="65" s="1"/>
  <c r="C34" i="65"/>
  <c r="AF34" i="65" s="1"/>
  <c r="K35" i="71" s="1"/>
  <c r="AH35" i="71" s="1"/>
  <c r="AH21" i="78" s="1"/>
  <c r="AC47" i="67"/>
  <c r="T56" i="65"/>
  <c r="Q61" i="65"/>
  <c r="O62" i="65" s="1"/>
  <c r="P62" i="65" s="1"/>
  <c r="N50" i="65"/>
  <c r="L51" i="65" s="1"/>
  <c r="M51" i="65" s="1"/>
  <c r="K57" i="65"/>
  <c r="I58" i="65" s="1"/>
  <c r="P60" i="67"/>
  <c r="Q60" i="67"/>
  <c r="U44" i="71" l="1"/>
  <c r="F32" i="74" s="1"/>
  <c r="AI46" i="58"/>
  <c r="AB58" i="54"/>
  <c r="D8" i="76"/>
  <c r="D15" i="76" s="1"/>
  <c r="D22" i="23"/>
  <c r="C25" i="55" s="1"/>
  <c r="C23" i="55" s="1"/>
  <c r="C29" i="55" s="1"/>
  <c r="C31" i="55" s="1"/>
  <c r="D70" i="54"/>
  <c r="N34" i="71"/>
  <c r="BN47" i="67"/>
  <c r="BO47" i="67" s="1"/>
  <c r="S61" i="54"/>
  <c r="AE62" i="58"/>
  <c r="E59" i="70"/>
  <c r="BJ54" i="67"/>
  <c r="V54" i="67"/>
  <c r="W54" i="67" s="1"/>
  <c r="BL53" i="67"/>
  <c r="L52" i="56"/>
  <c r="M52" i="56"/>
  <c r="P52" i="56" s="1"/>
  <c r="F66" i="67"/>
  <c r="X56" i="67"/>
  <c r="AA33" i="65"/>
  <c r="AB33" i="65" s="1"/>
  <c r="AI34" i="65"/>
  <c r="G48" i="65"/>
  <c r="AC48" i="65"/>
  <c r="H49" i="71" s="1"/>
  <c r="AG49" i="71" s="1"/>
  <c r="AV20" i="78" s="1"/>
  <c r="H48" i="65"/>
  <c r="AD48" i="65" s="1"/>
  <c r="I49" i="71" s="1"/>
  <c r="AE47" i="65"/>
  <c r="AJ33" i="65"/>
  <c r="AH33" i="65"/>
  <c r="AI34" i="54"/>
  <c r="BR46" i="67"/>
  <c r="BU46" i="67" s="1"/>
  <c r="BT46" i="67"/>
  <c r="I61" i="67"/>
  <c r="BB47" i="67"/>
  <c r="BP47" i="67"/>
  <c r="BS47" i="67" s="1"/>
  <c r="R58" i="67"/>
  <c r="O61" i="67"/>
  <c r="C56" i="67"/>
  <c r="BD47" i="67"/>
  <c r="BE47" i="67" s="1"/>
  <c r="BG47" i="67"/>
  <c r="V34" i="65"/>
  <c r="Y34" i="65"/>
  <c r="D34" i="65"/>
  <c r="K58" i="65"/>
  <c r="J58" i="65"/>
  <c r="AA48" i="67"/>
  <c r="Q62" i="65"/>
  <c r="N51" i="65"/>
  <c r="L52" i="65" s="1"/>
  <c r="M52" i="65" s="1"/>
  <c r="I59" i="65"/>
  <c r="R57" i="65"/>
  <c r="S57" i="65" s="1"/>
  <c r="U45" i="71" l="1"/>
  <c r="AI47" i="58"/>
  <c r="G8" i="76"/>
  <c r="C2" i="59"/>
  <c r="O15" i="59" s="1"/>
  <c r="P15" i="59" s="1"/>
  <c r="Q8" i="71" s="1"/>
  <c r="C25" i="74" s="1"/>
  <c r="D23" i="23"/>
  <c r="BQ47" i="67"/>
  <c r="BR47" i="67" s="1"/>
  <c r="BM48" i="67"/>
  <c r="F49" i="65"/>
  <c r="G49" i="65" s="1"/>
  <c r="AK34" i="54"/>
  <c r="H33" i="70" s="1"/>
  <c r="I33" i="70" s="1"/>
  <c r="AG7" i="78" s="1"/>
  <c r="F60" i="70"/>
  <c r="Q61" i="54"/>
  <c r="BK54" i="67"/>
  <c r="U55" i="67"/>
  <c r="N52" i="56"/>
  <c r="Q52" i="56" s="1"/>
  <c r="C53" i="56"/>
  <c r="R45" i="71"/>
  <c r="Z56" i="67"/>
  <c r="X57" i="67" s="1"/>
  <c r="Y56" i="67"/>
  <c r="P61" i="67"/>
  <c r="BT47" i="67"/>
  <c r="G66" i="67"/>
  <c r="H66" i="67"/>
  <c r="AC49" i="65"/>
  <c r="H50" i="71" s="1"/>
  <c r="AG50" i="71" s="1"/>
  <c r="AW20" i="78" s="1"/>
  <c r="H49" i="65"/>
  <c r="AL34" i="65"/>
  <c r="AM33" i="65"/>
  <c r="AK33" i="65"/>
  <c r="AN33" i="65" s="1"/>
  <c r="AE48" i="65"/>
  <c r="S58" i="67"/>
  <c r="T58" i="67" s="1"/>
  <c r="J61" i="67"/>
  <c r="K61" i="67" s="1"/>
  <c r="BH47" i="67"/>
  <c r="BI47" i="67" s="1"/>
  <c r="Q61" i="67"/>
  <c r="AJ48" i="54"/>
  <c r="AB48" i="67"/>
  <c r="AC48" i="67" s="1"/>
  <c r="BC48" i="67"/>
  <c r="BF48" i="67"/>
  <c r="D56" i="67"/>
  <c r="E56" i="67"/>
  <c r="E34" i="65"/>
  <c r="K59" i="65"/>
  <c r="I60" i="65" s="1"/>
  <c r="J59" i="65"/>
  <c r="N52" i="65"/>
  <c r="T57" i="65"/>
  <c r="R58" i="65" s="1"/>
  <c r="S58" i="65" s="1"/>
  <c r="O63" i="65"/>
  <c r="P63" i="65" s="1"/>
  <c r="AG8" i="78" l="1"/>
  <c r="AI48" i="58"/>
  <c r="U46" i="71"/>
  <c r="O77" i="59"/>
  <c r="Q15" i="59"/>
  <c r="BH8" i="54" s="1"/>
  <c r="C16" i="59"/>
  <c r="AG16" i="78"/>
  <c r="BN48" i="67"/>
  <c r="BQ48" i="67" s="1"/>
  <c r="J33" i="70"/>
  <c r="AG63" i="58"/>
  <c r="H63" i="58"/>
  <c r="L63" i="58" s="1"/>
  <c r="AD63" i="58" s="1"/>
  <c r="W61" i="54"/>
  <c r="BL54" i="67"/>
  <c r="V55" i="67"/>
  <c r="W55" i="67" s="1"/>
  <c r="BJ55" i="67"/>
  <c r="L53" i="56"/>
  <c r="M53" i="56" s="1"/>
  <c r="P53" i="56" s="1"/>
  <c r="Y57" i="67"/>
  <c r="Z57" i="67"/>
  <c r="O62" i="67"/>
  <c r="P62" i="67" s="1"/>
  <c r="BU47" i="67"/>
  <c r="F67" i="67"/>
  <c r="Z34" i="65"/>
  <c r="J35" i="71" s="1"/>
  <c r="AG34" i="65"/>
  <c r="L35" i="71" s="1"/>
  <c r="M35" i="71" s="1"/>
  <c r="F50" i="65"/>
  <c r="AD49" i="65"/>
  <c r="I50" i="71" s="1"/>
  <c r="AA34" i="65"/>
  <c r="BP48" i="67"/>
  <c r="BS48" i="67" s="1"/>
  <c r="R59" i="67"/>
  <c r="BB48" i="67"/>
  <c r="I62" i="67"/>
  <c r="AA49" i="67"/>
  <c r="AB49" i="67" s="1"/>
  <c r="AC49" i="67" s="1"/>
  <c r="C57" i="67"/>
  <c r="BD48" i="67"/>
  <c r="BE48" i="67" s="1"/>
  <c r="BG48" i="67"/>
  <c r="BF49" i="67"/>
  <c r="C35" i="65"/>
  <c r="AF35" i="65" s="1"/>
  <c r="K36" i="71" s="1"/>
  <c r="AH36" i="71" s="1"/>
  <c r="AI21" i="78" s="1"/>
  <c r="W34" i="65"/>
  <c r="X34" i="65" s="1"/>
  <c r="AB34" i="65" s="1"/>
  <c r="U34" i="65"/>
  <c r="K60" i="65"/>
  <c r="I61" i="65" s="1"/>
  <c r="J60" i="65"/>
  <c r="Q63" i="65"/>
  <c r="O64" i="65" s="1"/>
  <c r="P64" i="65" s="1"/>
  <c r="T58" i="65"/>
  <c r="R59" i="65" s="1"/>
  <c r="S59" i="65" s="1"/>
  <c r="L53" i="65"/>
  <c r="M53" i="65" s="1"/>
  <c r="BC49" i="67" l="1"/>
  <c r="U47" i="71"/>
  <c r="AI49" i="58"/>
  <c r="AB59" i="54"/>
  <c r="M16" i="59"/>
  <c r="P16" i="59" s="1"/>
  <c r="L16" i="59"/>
  <c r="BN49" i="67"/>
  <c r="BQ49" i="67" s="1"/>
  <c r="BM49" i="67"/>
  <c r="N35" i="71"/>
  <c r="E60" i="70"/>
  <c r="AE63" i="58"/>
  <c r="S62" i="54"/>
  <c r="F61" i="70" s="1"/>
  <c r="X58" i="67"/>
  <c r="Z58" i="67" s="1"/>
  <c r="BK55" i="67"/>
  <c r="U56" i="67"/>
  <c r="Q62" i="67"/>
  <c r="O63" i="67" s="1"/>
  <c r="C54" i="56"/>
  <c r="R46" i="71"/>
  <c r="N53" i="56"/>
  <c r="Q53" i="56" s="1"/>
  <c r="BT48" i="67"/>
  <c r="G67" i="67"/>
  <c r="H67" i="67" s="1"/>
  <c r="AI35" i="65"/>
  <c r="G50" i="65"/>
  <c r="AC50" i="65"/>
  <c r="H51" i="71" s="1"/>
  <c r="AG51" i="71" s="1"/>
  <c r="AX20" i="78" s="1"/>
  <c r="H50" i="65"/>
  <c r="AE49" i="65"/>
  <c r="AJ34" i="65"/>
  <c r="AH34" i="65"/>
  <c r="AI35" i="54"/>
  <c r="S59" i="67"/>
  <c r="T59" i="67" s="1"/>
  <c r="BB49" i="67"/>
  <c r="BR48" i="67"/>
  <c r="J62" i="67"/>
  <c r="K62" i="67" s="1"/>
  <c r="BO48" i="67"/>
  <c r="BH48" i="67"/>
  <c r="BI48" i="67" s="1"/>
  <c r="AJ49" i="54"/>
  <c r="AA50" i="67"/>
  <c r="D57" i="67"/>
  <c r="E57" i="67" s="1"/>
  <c r="BD49" i="67"/>
  <c r="BE49" i="67" s="1"/>
  <c r="BG49" i="67"/>
  <c r="V35" i="65"/>
  <c r="Y35" i="65"/>
  <c r="D35" i="65"/>
  <c r="K61" i="65"/>
  <c r="I62" i="65" s="1"/>
  <c r="J61" i="65"/>
  <c r="Q64" i="65"/>
  <c r="O65" i="65" s="1"/>
  <c r="P65" i="65" s="1"/>
  <c r="N53" i="65"/>
  <c r="L54" i="65" s="1"/>
  <c r="M54" i="65" s="1"/>
  <c r="T59" i="65"/>
  <c r="R60" i="65" s="1"/>
  <c r="S60" i="65" s="1"/>
  <c r="U48" i="71" l="1"/>
  <c r="AI50" i="58"/>
  <c r="C17" i="59"/>
  <c r="Q9" i="71"/>
  <c r="Q77" i="71" s="1"/>
  <c r="Q78" i="71" s="1"/>
  <c r="N16" i="59"/>
  <c r="Q16" i="59" s="1"/>
  <c r="BH9" i="54" s="1"/>
  <c r="BM50" i="67"/>
  <c r="BP50" i="67" s="1"/>
  <c r="AK35" i="54"/>
  <c r="H34" i="70" s="1"/>
  <c r="I34" i="70" s="1"/>
  <c r="AH7" i="78" s="1"/>
  <c r="Q62" i="54"/>
  <c r="Y58" i="67"/>
  <c r="L54" i="56"/>
  <c r="BJ56" i="67"/>
  <c r="V56" i="67"/>
  <c r="W56" i="67" s="1"/>
  <c r="BL55" i="67"/>
  <c r="H69" i="67"/>
  <c r="BU48" i="67"/>
  <c r="BT49" i="67"/>
  <c r="X59" i="67"/>
  <c r="AM34" i="65"/>
  <c r="AK34" i="65"/>
  <c r="AN34" i="65" s="1"/>
  <c r="F51" i="65"/>
  <c r="AD50" i="65"/>
  <c r="I51" i="71" s="1"/>
  <c r="AL35" i="65"/>
  <c r="AE50" i="65"/>
  <c r="I63" i="67"/>
  <c r="BO49" i="67"/>
  <c r="BP49" i="67"/>
  <c r="R60" i="67"/>
  <c r="BH49" i="67"/>
  <c r="BI49" i="67" s="1"/>
  <c r="AJ50" i="54"/>
  <c r="C58" i="67"/>
  <c r="AB50" i="67"/>
  <c r="AC50" i="67" s="1"/>
  <c r="BC50" i="67"/>
  <c r="BF50" i="67"/>
  <c r="E35" i="65"/>
  <c r="K62" i="65"/>
  <c r="I63" i="65" s="1"/>
  <c r="J62" i="65"/>
  <c r="Q65" i="65"/>
  <c r="O66" i="65" s="1"/>
  <c r="P66" i="65" s="1"/>
  <c r="N54" i="65"/>
  <c r="L55" i="65" s="1"/>
  <c r="M55" i="65" s="1"/>
  <c r="P63" i="67"/>
  <c r="Q63" i="67"/>
  <c r="T60" i="65"/>
  <c r="AH8" i="78" l="1"/>
  <c r="AI51" i="58"/>
  <c r="U49" i="71"/>
  <c r="M17" i="59"/>
  <c r="P17" i="59" s="1"/>
  <c r="L17" i="59"/>
  <c r="BN50" i="67"/>
  <c r="AH16" i="78"/>
  <c r="M54" i="56"/>
  <c r="P54" i="56" s="1"/>
  <c r="C55" i="56" s="1"/>
  <c r="J34" i="70"/>
  <c r="AG64" i="58"/>
  <c r="H64" i="58"/>
  <c r="L64" i="58" s="1"/>
  <c r="AD64" i="58" s="1"/>
  <c r="W62" i="54"/>
  <c r="BK56" i="67"/>
  <c r="U57" i="67"/>
  <c r="BS50" i="67"/>
  <c r="Y59" i="67"/>
  <c r="Z59" i="67"/>
  <c r="X60" i="67" s="1"/>
  <c r="G51" i="65"/>
  <c r="AC51" i="65"/>
  <c r="H52" i="71" s="1"/>
  <c r="AG52" i="71" s="1"/>
  <c r="AY20" i="78" s="1"/>
  <c r="H51" i="65"/>
  <c r="Z35" i="65"/>
  <c r="J36" i="71" s="1"/>
  <c r="AG35" i="65"/>
  <c r="L36" i="71" s="1"/>
  <c r="M36" i="71" s="1"/>
  <c r="BR49" i="67"/>
  <c r="BU49" i="67" s="1"/>
  <c r="BS49" i="67"/>
  <c r="S60" i="67"/>
  <c r="T60" i="67" s="1"/>
  <c r="BB50" i="67"/>
  <c r="J63" i="67"/>
  <c r="K63" i="67" s="1"/>
  <c r="E58" i="67"/>
  <c r="D58" i="67"/>
  <c r="C59" i="67"/>
  <c r="O64" i="67"/>
  <c r="BD50" i="67"/>
  <c r="BE50" i="67" s="1"/>
  <c r="BG50" i="67"/>
  <c r="AA51" i="67"/>
  <c r="C36" i="65"/>
  <c r="AF36" i="65" s="1"/>
  <c r="K37" i="71" s="1"/>
  <c r="AH37" i="71" s="1"/>
  <c r="AJ21" i="78" s="1"/>
  <c r="U35" i="65"/>
  <c r="W35" i="65"/>
  <c r="X35" i="65" s="1"/>
  <c r="K63" i="65"/>
  <c r="J63" i="65"/>
  <c r="Q66" i="65"/>
  <c r="N55" i="65"/>
  <c r="I64" i="65"/>
  <c r="J64" i="65" s="1"/>
  <c r="R61" i="65"/>
  <c r="S61" i="65" s="1"/>
  <c r="U50" i="71" l="1"/>
  <c r="AI52" i="58"/>
  <c r="AB60" i="54"/>
  <c r="C18" i="59"/>
  <c r="Q10" i="71"/>
  <c r="N17" i="59"/>
  <c r="Q17" i="59" s="1"/>
  <c r="BH10" i="54" s="1"/>
  <c r="BM51" i="67"/>
  <c r="N36" i="71"/>
  <c r="R47" i="71"/>
  <c r="N54" i="56"/>
  <c r="Q54" i="56" s="1"/>
  <c r="E61" i="70"/>
  <c r="AE64" i="58"/>
  <c r="S63" i="54"/>
  <c r="F62" i="70" s="1"/>
  <c r="BL56" i="67"/>
  <c r="V57" i="67"/>
  <c r="W57" i="67" s="1"/>
  <c r="BK57" i="67" s="1"/>
  <c r="BJ57" i="67"/>
  <c r="L55" i="56"/>
  <c r="M55" i="56" s="1"/>
  <c r="P55" i="56" s="1"/>
  <c r="Q64" i="67"/>
  <c r="Z60" i="67"/>
  <c r="Y60" i="67"/>
  <c r="AI36" i="65"/>
  <c r="AA35" i="65"/>
  <c r="AB35" i="65" s="1"/>
  <c r="F52" i="65"/>
  <c r="AD51" i="65"/>
  <c r="AJ35" i="65"/>
  <c r="AH35" i="65"/>
  <c r="AI36" i="54"/>
  <c r="I64" i="67"/>
  <c r="BQ50" i="67"/>
  <c r="BO50" i="67"/>
  <c r="R61" i="67"/>
  <c r="BH50" i="67"/>
  <c r="BI50" i="67" s="1"/>
  <c r="P64" i="67"/>
  <c r="AJ51" i="54"/>
  <c r="AB51" i="67"/>
  <c r="AC51" i="67" s="1"/>
  <c r="BC51" i="67"/>
  <c r="BF51" i="67"/>
  <c r="E59" i="67"/>
  <c r="D59" i="67"/>
  <c r="V36" i="65"/>
  <c r="Y36" i="65"/>
  <c r="D36" i="65"/>
  <c r="T61" i="65"/>
  <c r="R62" i="65" s="1"/>
  <c r="S62" i="65" s="1"/>
  <c r="K64" i="65"/>
  <c r="I65" i="65" s="1"/>
  <c r="J65" i="65" s="1"/>
  <c r="L56" i="65"/>
  <c r="O67" i="65"/>
  <c r="P67" i="65" s="1"/>
  <c r="AI53" i="58" l="1"/>
  <c r="U51" i="71"/>
  <c r="M18" i="59"/>
  <c r="P18" i="59" s="1"/>
  <c r="L18" i="59"/>
  <c r="BN51" i="67"/>
  <c r="BQ51" i="67" s="1"/>
  <c r="AE51" i="65"/>
  <c r="I52" i="71"/>
  <c r="AK36" i="54"/>
  <c r="H35" i="70" s="1"/>
  <c r="AI16" i="78" s="1"/>
  <c r="Q63" i="54"/>
  <c r="U58" i="67"/>
  <c r="V58" i="67" s="1"/>
  <c r="W58" i="67" s="1"/>
  <c r="BK58" i="67" s="1"/>
  <c r="BL57" i="67"/>
  <c r="C56" i="56"/>
  <c r="L56" i="56" s="1"/>
  <c r="R48" i="71"/>
  <c r="N55" i="56"/>
  <c r="Q55" i="56" s="1"/>
  <c r="O65" i="67"/>
  <c r="P65" i="67" s="1"/>
  <c r="X61" i="67"/>
  <c r="AM35" i="65"/>
  <c r="AK35" i="65"/>
  <c r="AN35" i="65" s="1"/>
  <c r="G52" i="65"/>
  <c r="AC52" i="65"/>
  <c r="H53" i="71" s="1"/>
  <c r="AG53" i="71" s="1"/>
  <c r="AZ20" i="78" s="1"/>
  <c r="H52" i="65"/>
  <c r="AL36" i="65"/>
  <c r="BR50" i="67"/>
  <c r="BU50" i="67" s="1"/>
  <c r="BT50" i="67"/>
  <c r="S61" i="67"/>
  <c r="T61" i="67" s="1"/>
  <c r="R62" i="67" s="1"/>
  <c r="S62" i="67" s="1"/>
  <c r="T62" i="67" s="1"/>
  <c r="BB51" i="67"/>
  <c r="AA52" i="67"/>
  <c r="J64" i="67"/>
  <c r="K64" i="67" s="1"/>
  <c r="BP51" i="67"/>
  <c r="BS51" i="67" s="1"/>
  <c r="BD51" i="67"/>
  <c r="BE51" i="67" s="1"/>
  <c r="BG51" i="67"/>
  <c r="C60" i="67"/>
  <c r="BF52" i="67"/>
  <c r="E36" i="65"/>
  <c r="N56" i="65"/>
  <c r="M56" i="65"/>
  <c r="T62" i="65"/>
  <c r="Q67" i="65"/>
  <c r="Q69" i="65" s="1"/>
  <c r="K65" i="65"/>
  <c r="I66" i="65" s="1"/>
  <c r="J66" i="65" s="1"/>
  <c r="U52" i="71" l="1"/>
  <c r="AI54" i="58"/>
  <c r="C19" i="59"/>
  <c r="Q11" i="71"/>
  <c r="N18" i="59"/>
  <c r="Q18" i="59" s="1"/>
  <c r="BH11" i="54" s="1"/>
  <c r="AB52" i="67"/>
  <c r="AC52" i="67" s="1"/>
  <c r="BM52" i="67"/>
  <c r="I35" i="70"/>
  <c r="AI7" i="78" s="1"/>
  <c r="AG65" i="58"/>
  <c r="H65" i="58"/>
  <c r="L65" i="58" s="1"/>
  <c r="AD65" i="58" s="1"/>
  <c r="W63" i="54"/>
  <c r="BJ58" i="67"/>
  <c r="U59" i="67"/>
  <c r="M56" i="56"/>
  <c r="P56" i="56" s="1"/>
  <c r="Y61" i="67"/>
  <c r="Z61" i="67"/>
  <c r="Q65" i="67"/>
  <c r="Z36" i="65"/>
  <c r="J37" i="71" s="1"/>
  <c r="AG36" i="65"/>
  <c r="L37" i="71" s="1"/>
  <c r="M37" i="71" s="1"/>
  <c r="F53" i="65"/>
  <c r="AD52" i="65"/>
  <c r="BR51" i="67"/>
  <c r="BT51" i="67"/>
  <c r="BB52" i="67"/>
  <c r="BO51" i="67"/>
  <c r="BC52" i="67"/>
  <c r="I65" i="67"/>
  <c r="R63" i="67"/>
  <c r="BH51" i="67"/>
  <c r="BI51" i="67" s="1"/>
  <c r="AJ52" i="54"/>
  <c r="BD52" i="67"/>
  <c r="BG52" i="67"/>
  <c r="AA53" i="67"/>
  <c r="BM53" i="67" s="1"/>
  <c r="E60" i="67"/>
  <c r="D60" i="67"/>
  <c r="W36" i="65"/>
  <c r="X36" i="65" s="1"/>
  <c r="U36" i="65"/>
  <c r="C37" i="65"/>
  <c r="AF37" i="65" s="1"/>
  <c r="K38" i="71" s="1"/>
  <c r="AH38" i="71" s="1"/>
  <c r="AK21" i="78" s="1"/>
  <c r="K66" i="65"/>
  <c r="L57" i="65"/>
  <c r="M57" i="65" s="1"/>
  <c r="I67" i="65"/>
  <c r="J67" i="65" s="1"/>
  <c r="R63" i="65"/>
  <c r="S63" i="65" s="1"/>
  <c r="AI8" i="78" l="1"/>
  <c r="U53" i="71"/>
  <c r="AI55" i="58"/>
  <c r="AB61" i="54"/>
  <c r="M19" i="59"/>
  <c r="P19" i="59" s="1"/>
  <c r="L19" i="59"/>
  <c r="N37" i="71"/>
  <c r="BN52" i="67"/>
  <c r="BQ52" i="67" s="1"/>
  <c r="BT52" i="67" s="1"/>
  <c r="AE52" i="65"/>
  <c r="I53" i="71"/>
  <c r="J35" i="70"/>
  <c r="E62" i="70"/>
  <c r="AE65" i="58"/>
  <c r="S64" i="54"/>
  <c r="F63" i="70" s="1"/>
  <c r="BL58" i="67"/>
  <c r="V59" i="67"/>
  <c r="W59" i="67" s="1"/>
  <c r="BJ59" i="67"/>
  <c r="BU51" i="67"/>
  <c r="N56" i="56"/>
  <c r="Q56" i="56" s="1"/>
  <c r="BE52" i="67"/>
  <c r="O66" i="67"/>
  <c r="C57" i="56"/>
  <c r="R49" i="71"/>
  <c r="X62" i="67"/>
  <c r="G53" i="65"/>
  <c r="AC53" i="65"/>
  <c r="H54" i="71" s="1"/>
  <c r="AG54" i="71" s="1"/>
  <c r="BA20" i="78" s="1"/>
  <c r="H53" i="65"/>
  <c r="AD53" i="65" s="1"/>
  <c r="I54" i="71" s="1"/>
  <c r="F54" i="65"/>
  <c r="AA36" i="65"/>
  <c r="AB36" i="65" s="1"/>
  <c r="AI37" i="65"/>
  <c r="AJ36" i="65"/>
  <c r="AH36" i="65"/>
  <c r="AI37" i="54"/>
  <c r="AK37" i="54" s="1"/>
  <c r="H36" i="70" s="1"/>
  <c r="J65" i="67"/>
  <c r="K65" i="67" s="1"/>
  <c r="BP52" i="67"/>
  <c r="BP53" i="67"/>
  <c r="S63" i="67"/>
  <c r="T63" i="67" s="1"/>
  <c r="BH52" i="67"/>
  <c r="AJ53" i="54"/>
  <c r="C61" i="67"/>
  <c r="BC53" i="67"/>
  <c r="BF53" i="67"/>
  <c r="AB53" i="67"/>
  <c r="AC53" i="67" s="1"/>
  <c r="BN53" i="67" s="1"/>
  <c r="V37" i="65"/>
  <c r="Y37" i="65"/>
  <c r="D37" i="65"/>
  <c r="T63" i="65"/>
  <c r="N57" i="65"/>
  <c r="L58" i="65" s="1"/>
  <c r="M58" i="65" s="1"/>
  <c r="K67" i="65"/>
  <c r="K69" i="65" s="1"/>
  <c r="U54" i="71" l="1"/>
  <c r="AI56" i="58"/>
  <c r="C20" i="59"/>
  <c r="Q12" i="71"/>
  <c r="N19" i="59"/>
  <c r="Q19" i="59" s="1"/>
  <c r="BH12" i="54" s="1"/>
  <c r="BO52" i="67"/>
  <c r="I36" i="70"/>
  <c r="AJ7" i="78" s="1"/>
  <c r="AJ16" i="78"/>
  <c r="Q64" i="54"/>
  <c r="U60" i="67"/>
  <c r="BK59" i="67"/>
  <c r="BI52" i="67"/>
  <c r="L57" i="56"/>
  <c r="M57" i="56" s="1"/>
  <c r="P57" i="56" s="1"/>
  <c r="BS53" i="67"/>
  <c r="Y62" i="67"/>
  <c r="Z62" i="67"/>
  <c r="Q66" i="67"/>
  <c r="O67" i="67" s="1"/>
  <c r="P66" i="67"/>
  <c r="G54" i="65"/>
  <c r="AC54" i="65"/>
  <c r="H55" i="71" s="1"/>
  <c r="AG55" i="71" s="1"/>
  <c r="BB20" i="78" s="1"/>
  <c r="H54" i="65"/>
  <c r="AL37" i="65"/>
  <c r="AE53" i="65"/>
  <c r="AM36" i="65"/>
  <c r="AK36" i="65"/>
  <c r="AN36" i="65" s="1"/>
  <c r="BR52" i="67"/>
  <c r="BU52" i="67" s="1"/>
  <c r="BS52" i="67"/>
  <c r="I66" i="67"/>
  <c r="BB53" i="67"/>
  <c r="R64" i="67"/>
  <c r="BD53" i="67"/>
  <c r="BE53" i="67" s="1"/>
  <c r="BG53" i="67"/>
  <c r="AA54" i="67"/>
  <c r="D61" i="67"/>
  <c r="E61" i="67"/>
  <c r="E37" i="65"/>
  <c r="N58" i="65"/>
  <c r="L59" i="65" s="1"/>
  <c r="M59" i="65" s="1"/>
  <c r="R64" i="65"/>
  <c r="S64" i="65" s="1"/>
  <c r="AJ8" i="78" l="1"/>
  <c r="U55" i="71"/>
  <c r="AI57" i="58"/>
  <c r="M20" i="59"/>
  <c r="P20" i="59" s="1"/>
  <c r="L20" i="59"/>
  <c r="BM54" i="67"/>
  <c r="J36" i="70"/>
  <c r="AG66" i="58"/>
  <c r="H66" i="58"/>
  <c r="L66" i="58" s="1"/>
  <c r="AD66" i="58" s="1"/>
  <c r="AE66" i="58" s="1"/>
  <c r="Q65" i="54" s="1"/>
  <c r="W64" i="54"/>
  <c r="V60" i="67"/>
  <c r="W60" i="67" s="1"/>
  <c r="U61" i="67" s="1"/>
  <c r="BJ60" i="67"/>
  <c r="BL59" i="67"/>
  <c r="P67" i="67"/>
  <c r="Q67" i="67"/>
  <c r="N57" i="56"/>
  <c r="Q57" i="56" s="1"/>
  <c r="X63" i="67"/>
  <c r="C58" i="56"/>
  <c r="R50" i="71"/>
  <c r="F55" i="65"/>
  <c r="AD54" i="65"/>
  <c r="I55" i="71" s="1"/>
  <c r="Z37" i="65"/>
  <c r="J38" i="71" s="1"/>
  <c r="AG37" i="65"/>
  <c r="L38" i="71" s="1"/>
  <c r="M38" i="71" s="1"/>
  <c r="BQ53" i="67"/>
  <c r="BO53" i="67"/>
  <c r="S64" i="67"/>
  <c r="T64" i="67" s="1"/>
  <c r="J66" i="67"/>
  <c r="K66" i="67" s="1"/>
  <c r="BH53" i="67"/>
  <c r="BI53" i="67" s="1"/>
  <c r="AJ54" i="54"/>
  <c r="C62" i="67"/>
  <c r="BC54" i="67"/>
  <c r="BF54" i="67"/>
  <c r="AB54" i="67"/>
  <c r="AC54" i="67"/>
  <c r="W37" i="65"/>
  <c r="X37" i="65" s="1"/>
  <c r="U37" i="65"/>
  <c r="C38" i="65"/>
  <c r="AF38" i="65" s="1"/>
  <c r="K39" i="71" s="1"/>
  <c r="AH39" i="71" s="1"/>
  <c r="AL21" i="78" s="1"/>
  <c r="T64" i="65"/>
  <c r="R65" i="65" s="1"/>
  <c r="S65" i="65" s="1"/>
  <c r="N59" i="65"/>
  <c r="L60" i="65" s="1"/>
  <c r="M60" i="65" s="1"/>
  <c r="U56" i="71" l="1"/>
  <c r="G32" i="74" s="1"/>
  <c r="AI58" i="58"/>
  <c r="AB62" i="54"/>
  <c r="C21" i="59"/>
  <c r="Q13" i="71"/>
  <c r="N20" i="59"/>
  <c r="Q20" i="59" s="1"/>
  <c r="BH13" i="54" s="1"/>
  <c r="BN54" i="67"/>
  <c r="BQ54" i="67" s="1"/>
  <c r="N38" i="71"/>
  <c r="AE54" i="65"/>
  <c r="E63" i="70"/>
  <c r="S65" i="54"/>
  <c r="F64" i="70" s="1"/>
  <c r="V61" i="67"/>
  <c r="W61" i="67" s="1"/>
  <c r="BK61" i="67" s="1"/>
  <c r="BJ61" i="67"/>
  <c r="BK60" i="67"/>
  <c r="Z63" i="67"/>
  <c r="Y63" i="67"/>
  <c r="L58" i="56"/>
  <c r="M58" i="56" s="1"/>
  <c r="P58" i="56" s="1"/>
  <c r="Q69" i="67"/>
  <c r="AI38" i="65"/>
  <c r="AA37" i="65"/>
  <c r="AB37" i="65" s="1"/>
  <c r="AJ37" i="65"/>
  <c r="AH37" i="65"/>
  <c r="G55" i="65"/>
  <c r="AC55" i="65"/>
  <c r="H56" i="71" s="1"/>
  <c r="H55" i="65"/>
  <c r="AI38" i="54"/>
  <c r="AK38" i="54" s="1"/>
  <c r="H37" i="70" s="1"/>
  <c r="BR53" i="67"/>
  <c r="BU53" i="67" s="1"/>
  <c r="BT53" i="67"/>
  <c r="I67" i="67"/>
  <c r="BP54" i="67"/>
  <c r="BS54" i="67" s="1"/>
  <c r="R65" i="67"/>
  <c r="AA55" i="67"/>
  <c r="AB55" i="67" s="1"/>
  <c r="BB54" i="67"/>
  <c r="BD54" i="67"/>
  <c r="BE54" i="67" s="1"/>
  <c r="BG54" i="67"/>
  <c r="E62" i="67"/>
  <c r="D62" i="67"/>
  <c r="BC55" i="67"/>
  <c r="BF55" i="67"/>
  <c r="V38" i="65"/>
  <c r="Y38" i="65"/>
  <c r="D38" i="65"/>
  <c r="T65" i="65"/>
  <c r="N60" i="65"/>
  <c r="L61" i="65"/>
  <c r="M61" i="65" s="1"/>
  <c r="U57" i="71" l="1"/>
  <c r="AI59" i="58"/>
  <c r="M21" i="59"/>
  <c r="P21" i="59" s="1"/>
  <c r="L21" i="59"/>
  <c r="BM55" i="67"/>
  <c r="AG56" i="71"/>
  <c r="BC20" i="78" s="1"/>
  <c r="G14" i="74"/>
  <c r="W65" i="54"/>
  <c r="I37" i="70"/>
  <c r="AK7" i="78" s="1"/>
  <c r="AK8" i="78" s="1"/>
  <c r="AK16" i="78"/>
  <c r="N58" i="56"/>
  <c r="Q58" i="56" s="1"/>
  <c r="BL60" i="67"/>
  <c r="BL61" i="67"/>
  <c r="U62" i="67"/>
  <c r="C59" i="56"/>
  <c r="R51" i="71"/>
  <c r="X64" i="67"/>
  <c r="BT54" i="67"/>
  <c r="AM37" i="65"/>
  <c r="AK37" i="65"/>
  <c r="AN37" i="65" s="1"/>
  <c r="AL38" i="65"/>
  <c r="F56" i="65"/>
  <c r="AD55" i="65"/>
  <c r="I56" i="71" s="1"/>
  <c r="G15" i="74" s="1"/>
  <c r="AC55" i="67"/>
  <c r="S65" i="67"/>
  <c r="T65" i="67" s="1"/>
  <c r="J67" i="67"/>
  <c r="K67" i="67" s="1"/>
  <c r="BR54" i="67"/>
  <c r="BO54" i="67"/>
  <c r="BH54" i="67"/>
  <c r="BI54" i="67" s="1"/>
  <c r="AJ55" i="54"/>
  <c r="C63" i="67"/>
  <c r="E38" i="65"/>
  <c r="N61" i="65"/>
  <c r="L62" i="65" s="1"/>
  <c r="M62" i="65" s="1"/>
  <c r="R66" i="65"/>
  <c r="S66" i="65" s="1"/>
  <c r="AI60" i="58" l="1"/>
  <c r="U58" i="71"/>
  <c r="AB63" i="54"/>
  <c r="C22" i="59"/>
  <c r="Q14" i="71"/>
  <c r="N21" i="59"/>
  <c r="Q21" i="59" s="1"/>
  <c r="BH14" i="54" s="1"/>
  <c r="E64" i="70"/>
  <c r="BD55" i="67"/>
  <c r="BE55" i="67" s="1"/>
  <c r="BN55" i="67"/>
  <c r="BQ55" i="67" s="1"/>
  <c r="G16" i="74"/>
  <c r="J37" i="70"/>
  <c r="AG67" i="58"/>
  <c r="H67" i="58"/>
  <c r="L67" i="58" s="1"/>
  <c r="AD67" i="58" s="1"/>
  <c r="AE67" i="58" s="1"/>
  <c r="Q66" i="54" s="1"/>
  <c r="V62" i="67"/>
  <c r="W62" i="67" s="1"/>
  <c r="BJ62" i="67"/>
  <c r="L59" i="56"/>
  <c r="M59" i="56" s="1"/>
  <c r="P59" i="56" s="1"/>
  <c r="BU54" i="67"/>
  <c r="Y64" i="67"/>
  <c r="Z64" i="67"/>
  <c r="X65" i="67" s="1"/>
  <c r="Z38" i="65"/>
  <c r="J39" i="71" s="1"/>
  <c r="AG38" i="65"/>
  <c r="L39" i="71" s="1"/>
  <c r="M39" i="71" s="1"/>
  <c r="G56" i="65"/>
  <c r="AC56" i="65"/>
  <c r="H57" i="71" s="1"/>
  <c r="AG57" i="71" s="1"/>
  <c r="BD20" i="78" s="1"/>
  <c r="H56" i="65"/>
  <c r="AE55" i="65"/>
  <c r="BP55" i="67"/>
  <c r="BS55" i="67" s="1"/>
  <c r="K69" i="67"/>
  <c r="R66" i="67"/>
  <c r="BB55" i="67"/>
  <c r="BG55" i="67"/>
  <c r="AA56" i="67"/>
  <c r="E63" i="67"/>
  <c r="D63" i="67"/>
  <c r="C39" i="65"/>
  <c r="AF39" i="65" s="1"/>
  <c r="K40" i="71" s="1"/>
  <c r="AH40" i="71" s="1"/>
  <c r="AM21" i="78" s="1"/>
  <c r="W38" i="65"/>
  <c r="X38" i="65" s="1"/>
  <c r="U38" i="65"/>
  <c r="T66" i="65"/>
  <c r="R67" i="65" s="1"/>
  <c r="S67" i="65" s="1"/>
  <c r="N62" i="65"/>
  <c r="L63" i="65" s="1"/>
  <c r="M63" i="65" s="1"/>
  <c r="AI61" i="58" l="1"/>
  <c r="U59" i="71"/>
  <c r="M22" i="59"/>
  <c r="P22" i="59" s="1"/>
  <c r="L22" i="59"/>
  <c r="BM56" i="67"/>
  <c r="N39" i="71"/>
  <c r="AA38" i="65"/>
  <c r="AB38" i="65" s="1"/>
  <c r="S66" i="54"/>
  <c r="F65" i="70" s="1"/>
  <c r="U63" i="67"/>
  <c r="BK62" i="67"/>
  <c r="Z65" i="67"/>
  <c r="Y65" i="67"/>
  <c r="C60" i="56"/>
  <c r="R52" i="71"/>
  <c r="N59" i="56"/>
  <c r="Q59" i="56" s="1"/>
  <c r="AI39" i="65"/>
  <c r="AJ38" i="65"/>
  <c r="AH38" i="65"/>
  <c r="F57" i="65"/>
  <c r="AD56" i="65"/>
  <c r="AI39" i="54"/>
  <c r="AK39" i="54" s="1"/>
  <c r="H38" i="70" s="1"/>
  <c r="BR55" i="67"/>
  <c r="BT55" i="67"/>
  <c r="S66" i="67"/>
  <c r="T66" i="67" s="1"/>
  <c r="AB56" i="67"/>
  <c r="AC56" i="67" s="1"/>
  <c r="BC56" i="67"/>
  <c r="BF56" i="67"/>
  <c r="BH55" i="67"/>
  <c r="BI55" i="67" s="1"/>
  <c r="AJ56" i="54"/>
  <c r="BO55" i="67"/>
  <c r="C64" i="67"/>
  <c r="V39" i="65"/>
  <c r="Y39" i="65"/>
  <c r="D39" i="65"/>
  <c r="T67" i="65"/>
  <c r="T69" i="65" s="1"/>
  <c r="N63" i="65"/>
  <c r="L64" i="65" s="1"/>
  <c r="U60" i="71" l="1"/>
  <c r="AI62" i="58"/>
  <c r="C23" i="59"/>
  <c r="Q15" i="71"/>
  <c r="N22" i="59"/>
  <c r="Q22" i="59" s="1"/>
  <c r="BH15" i="54" s="1"/>
  <c r="BN56" i="67"/>
  <c r="BQ56" i="67" s="1"/>
  <c r="AE56" i="65"/>
  <c r="I57" i="71"/>
  <c r="I38" i="70"/>
  <c r="AL7" i="78" s="1"/>
  <c r="AL8" i="78" s="1"/>
  <c r="AL16" i="78"/>
  <c r="W66" i="54"/>
  <c r="V63" i="67"/>
  <c r="W63" i="67" s="1"/>
  <c r="BJ63" i="67"/>
  <c r="BL62" i="67"/>
  <c r="BU55" i="67"/>
  <c r="L60" i="56"/>
  <c r="M60" i="56" s="1"/>
  <c r="P60" i="56" s="1"/>
  <c r="X66" i="67"/>
  <c r="G57" i="65"/>
  <c r="AC57" i="65"/>
  <c r="H58" i="71" s="1"/>
  <c r="AG58" i="71" s="1"/>
  <c r="BE20" i="78" s="1"/>
  <c r="H57" i="65"/>
  <c r="AL39" i="65"/>
  <c r="AM38" i="65"/>
  <c r="AK38" i="65"/>
  <c r="AN38" i="65" s="1"/>
  <c r="R67" i="67"/>
  <c r="BP56" i="67"/>
  <c r="BS56" i="67" s="1"/>
  <c r="BB56" i="67"/>
  <c r="BD56" i="67"/>
  <c r="BE56" i="67" s="1"/>
  <c r="BG56" i="67"/>
  <c r="AA57" i="67"/>
  <c r="D64" i="67"/>
  <c r="E64" i="67"/>
  <c r="E39" i="65"/>
  <c r="N64" i="65"/>
  <c r="L65" i="65" s="1"/>
  <c r="M65" i="65" s="1"/>
  <c r="M64" i="65"/>
  <c r="U61" i="71" l="1"/>
  <c r="AI63" i="58"/>
  <c r="AB64" i="54"/>
  <c r="M23" i="59"/>
  <c r="P23" i="59" s="1"/>
  <c r="L23" i="59"/>
  <c r="BM57" i="67"/>
  <c r="J38" i="70"/>
  <c r="E65" i="70"/>
  <c r="AG68" i="58"/>
  <c r="H68" i="58"/>
  <c r="L68" i="58" s="1"/>
  <c r="AD68" i="58" s="1"/>
  <c r="AE68" i="58" s="1"/>
  <c r="Q67" i="54" s="1"/>
  <c r="U64" i="67"/>
  <c r="BK63" i="67"/>
  <c r="N60" i="56"/>
  <c r="Q60" i="56" s="1"/>
  <c r="BT56" i="67"/>
  <c r="C61" i="56"/>
  <c r="R53" i="71"/>
  <c r="Z66" i="67"/>
  <c r="Y66" i="67"/>
  <c r="F58" i="65"/>
  <c r="AD57" i="65"/>
  <c r="I58" i="71" s="1"/>
  <c r="Z39" i="65"/>
  <c r="J40" i="71" s="1"/>
  <c r="AG39" i="65"/>
  <c r="L40" i="71" s="1"/>
  <c r="M40" i="71" s="1"/>
  <c r="BH56" i="67"/>
  <c r="BI56" i="67" s="1"/>
  <c r="AJ57" i="54"/>
  <c r="BR56" i="67"/>
  <c r="AB57" i="67"/>
  <c r="AC57" i="67" s="1"/>
  <c r="BC57" i="67"/>
  <c r="BF57" i="67"/>
  <c r="BO56" i="67"/>
  <c r="S67" i="67"/>
  <c r="T67" i="67" s="1"/>
  <c r="C65" i="67"/>
  <c r="U39" i="65"/>
  <c r="W39" i="65"/>
  <c r="X39" i="65" s="1"/>
  <c r="C40" i="65"/>
  <c r="AF40" i="65" s="1"/>
  <c r="K41" i="71" s="1"/>
  <c r="AH41" i="71" s="1"/>
  <c r="AN21" i="78" s="1"/>
  <c r="N65" i="65"/>
  <c r="L66" i="65" s="1"/>
  <c r="M66" i="65" s="1"/>
  <c r="U62" i="71" l="1"/>
  <c r="AI64" i="58"/>
  <c r="C24" i="59"/>
  <c r="Q16" i="71"/>
  <c r="N23" i="59"/>
  <c r="Q23" i="59" s="1"/>
  <c r="BH16" i="54" s="1"/>
  <c r="BN57" i="67"/>
  <c r="BQ57" i="67" s="1"/>
  <c r="AA58" i="67"/>
  <c r="N40" i="71"/>
  <c r="AA39" i="65"/>
  <c r="AB39" i="65" s="1"/>
  <c r="AE57" i="65"/>
  <c r="S67" i="54"/>
  <c r="F66" i="70" s="1"/>
  <c r="BU56" i="67"/>
  <c r="V64" i="67"/>
  <c r="W64" i="67" s="1"/>
  <c r="U65" i="67" s="1"/>
  <c r="BJ65" i="67" s="1"/>
  <c r="BJ64" i="67"/>
  <c r="BL63" i="67"/>
  <c r="X67" i="67"/>
  <c r="Y67" i="67" s="1"/>
  <c r="L61" i="56"/>
  <c r="M61" i="56" s="1"/>
  <c r="P61" i="56" s="1"/>
  <c r="AI40" i="65"/>
  <c r="AJ39" i="65"/>
  <c r="AH39" i="65"/>
  <c r="G58" i="65"/>
  <c r="AC58" i="65"/>
  <c r="H59" i="71" s="1"/>
  <c r="AG59" i="71" s="1"/>
  <c r="BF20" i="78" s="1"/>
  <c r="H58" i="65"/>
  <c r="AI40" i="54"/>
  <c r="AK40" i="54" s="1"/>
  <c r="H39" i="70" s="1"/>
  <c r="BC58" i="67"/>
  <c r="AB58" i="67"/>
  <c r="AC58" i="67" s="1"/>
  <c r="BN58" i="67" s="1"/>
  <c r="BP57" i="67"/>
  <c r="BS57" i="67" s="1"/>
  <c r="T69" i="67"/>
  <c r="BB57" i="67"/>
  <c r="BD57" i="67"/>
  <c r="BE57" i="67" s="1"/>
  <c r="BG57" i="67"/>
  <c r="BF58" i="67"/>
  <c r="D65" i="67"/>
  <c r="E65" i="67" s="1"/>
  <c r="V40" i="65"/>
  <c r="Y40" i="65"/>
  <c r="D40" i="65"/>
  <c r="N66" i="65"/>
  <c r="L67" i="65"/>
  <c r="U63" i="71" l="1"/>
  <c r="AI65" i="58"/>
  <c r="M24" i="59"/>
  <c r="P24" i="59" s="1"/>
  <c r="L24" i="59"/>
  <c r="BM58" i="67"/>
  <c r="BO58" i="67" s="1"/>
  <c r="I39" i="70"/>
  <c r="AM7" i="78" s="1"/>
  <c r="AM8" i="78" s="1"/>
  <c r="AM16" i="78"/>
  <c r="W67" i="54"/>
  <c r="Z67" i="67"/>
  <c r="V65" i="67"/>
  <c r="W65" i="67" s="1"/>
  <c r="BK65" i="67" s="1"/>
  <c r="BK64" i="67"/>
  <c r="N61" i="56"/>
  <c r="Q61" i="56" s="1"/>
  <c r="Z69" i="67"/>
  <c r="C62" i="56"/>
  <c r="R54" i="71"/>
  <c r="AM39" i="65"/>
  <c r="AK39" i="65"/>
  <c r="AN39" i="65" s="1"/>
  <c r="AL40" i="65"/>
  <c r="F59" i="65"/>
  <c r="AD58" i="65"/>
  <c r="I59" i="71" s="1"/>
  <c r="BR57" i="67"/>
  <c r="BT57" i="67"/>
  <c r="BH57" i="67"/>
  <c r="BI57" i="67" s="1"/>
  <c r="AJ58" i="54"/>
  <c r="BB58" i="67"/>
  <c r="BQ58" i="67"/>
  <c r="BD58" i="67"/>
  <c r="BE58" i="67" s="1"/>
  <c r="BG58" i="67"/>
  <c r="AA59" i="67"/>
  <c r="BM59" i="67" s="1"/>
  <c r="BO57" i="67"/>
  <c r="C66" i="67"/>
  <c r="E40" i="65"/>
  <c r="N67" i="65"/>
  <c r="N69" i="65" s="1"/>
  <c r="M67" i="65"/>
  <c r="AE58" i="65" l="1"/>
  <c r="U64" i="71"/>
  <c r="AI66" i="58"/>
  <c r="AB65" i="54"/>
  <c r="C25" i="59"/>
  <c r="Q17" i="71"/>
  <c r="N24" i="59"/>
  <c r="Q24" i="59" s="1"/>
  <c r="BH17" i="54" s="1"/>
  <c r="BP58" i="67"/>
  <c r="BS58" i="67" s="1"/>
  <c r="E66" i="67"/>
  <c r="D66" i="67"/>
  <c r="J39" i="70"/>
  <c r="E66" i="70"/>
  <c r="BL65" i="67"/>
  <c r="U66" i="67"/>
  <c r="BL64" i="67"/>
  <c r="BT58" i="67"/>
  <c r="BU57" i="67"/>
  <c r="L62" i="56"/>
  <c r="M62" i="56" s="1"/>
  <c r="P62" i="56" s="1"/>
  <c r="Z40" i="65"/>
  <c r="J41" i="71" s="1"/>
  <c r="AG40" i="65"/>
  <c r="L41" i="71" s="1"/>
  <c r="M41" i="71" s="1"/>
  <c r="G59" i="65"/>
  <c r="AC59" i="65"/>
  <c r="H60" i="71" s="1"/>
  <c r="AG60" i="71" s="1"/>
  <c r="BG20" i="78" s="1"/>
  <c r="H59" i="65"/>
  <c r="AJ59" i="54"/>
  <c r="BH58" i="67"/>
  <c r="BI58" i="67" s="1"/>
  <c r="BF59" i="67"/>
  <c r="BC59" i="67"/>
  <c r="AB59" i="67"/>
  <c r="AC59" i="67" s="1"/>
  <c r="C67" i="67"/>
  <c r="C41" i="65"/>
  <c r="AF41" i="65" s="1"/>
  <c r="K42" i="71" s="1"/>
  <c r="AH42" i="71" s="1"/>
  <c r="AO21" i="78" s="1"/>
  <c r="W40" i="65"/>
  <c r="X40" i="65" s="1"/>
  <c r="U40" i="65"/>
  <c r="U65" i="71" l="1"/>
  <c r="AI67" i="58"/>
  <c r="M25" i="59"/>
  <c r="P25" i="59" s="1"/>
  <c r="L25" i="59"/>
  <c r="BR58" i="67"/>
  <c r="BU58" i="67" s="1"/>
  <c r="BN59" i="67"/>
  <c r="BQ59" i="67" s="1"/>
  <c r="N41" i="71"/>
  <c r="V66" i="67"/>
  <c r="W66" i="67" s="1"/>
  <c r="U67" i="67" s="1"/>
  <c r="V67" i="67" s="1"/>
  <c r="W67" i="67" s="1"/>
  <c r="W69" i="67" s="1"/>
  <c r="BJ66" i="67"/>
  <c r="N62" i="56"/>
  <c r="Q62" i="56" s="1"/>
  <c r="C63" i="56"/>
  <c r="R55" i="71"/>
  <c r="AI41" i="65"/>
  <c r="AA40" i="65"/>
  <c r="AB40" i="65" s="1"/>
  <c r="AJ40" i="65"/>
  <c r="AH40" i="65"/>
  <c r="F60" i="65"/>
  <c r="AD59" i="65"/>
  <c r="I60" i="71" s="1"/>
  <c r="AI41" i="54"/>
  <c r="AK41" i="54" s="1"/>
  <c r="H40" i="70" s="1"/>
  <c r="BB59" i="67"/>
  <c r="BG59" i="67"/>
  <c r="BD59" i="67"/>
  <c r="BE59" i="67" s="1"/>
  <c r="BP59" i="67"/>
  <c r="BS59" i="67" s="1"/>
  <c r="AA60" i="67"/>
  <c r="D67" i="67"/>
  <c r="E67" i="67"/>
  <c r="V41" i="65"/>
  <c r="Y41" i="65"/>
  <c r="D41" i="65"/>
  <c r="U66" i="71" l="1"/>
  <c r="AI68" i="58"/>
  <c r="N25" i="59"/>
  <c r="Q25" i="59" s="1"/>
  <c r="BH18" i="54" s="1"/>
  <c r="C26" i="59"/>
  <c r="Q18" i="71"/>
  <c r="BO59" i="67"/>
  <c r="BM60" i="67"/>
  <c r="S9" i="76"/>
  <c r="S12" i="76"/>
  <c r="W12" i="76" s="1"/>
  <c r="I40" i="70"/>
  <c r="AN7" i="78" s="1"/>
  <c r="AN8" i="78" s="1"/>
  <c r="AN16" i="78"/>
  <c r="BJ67" i="67"/>
  <c r="BK66" i="67"/>
  <c r="BK67" i="67"/>
  <c r="BT59" i="67"/>
  <c r="L63" i="56"/>
  <c r="M63" i="56" s="1"/>
  <c r="P63" i="56" s="1"/>
  <c r="AM40" i="65"/>
  <c r="AK40" i="65"/>
  <c r="AN40" i="65" s="1"/>
  <c r="G60" i="65"/>
  <c r="AC60" i="65"/>
  <c r="H61" i="71" s="1"/>
  <c r="AG61" i="71" s="1"/>
  <c r="BH20" i="78" s="1"/>
  <c r="H60" i="65"/>
  <c r="AL41" i="65"/>
  <c r="AE59" i="65"/>
  <c r="BR59" i="67"/>
  <c r="BH59" i="67"/>
  <c r="BI59" i="67" s="1"/>
  <c r="AJ60" i="54"/>
  <c r="AB60" i="67"/>
  <c r="BC60" i="67"/>
  <c r="AC60" i="67"/>
  <c r="BF60" i="67"/>
  <c r="E69" i="67"/>
  <c r="E41" i="65"/>
  <c r="G69" i="58" l="1"/>
  <c r="U67" i="71"/>
  <c r="M26" i="59"/>
  <c r="P26" i="59" s="1"/>
  <c r="L26" i="59"/>
  <c r="BN60" i="67"/>
  <c r="BQ60" i="67" s="1"/>
  <c r="W9" i="76"/>
  <c r="J40" i="70"/>
  <c r="BJ69" i="67"/>
  <c r="BL66" i="67"/>
  <c r="BK69" i="67"/>
  <c r="BL67" i="67"/>
  <c r="N63" i="56"/>
  <c r="Q63" i="56" s="1"/>
  <c r="C64" i="56"/>
  <c r="R56" i="71"/>
  <c r="G26" i="74" s="1"/>
  <c r="BU59" i="67"/>
  <c r="Z41" i="65"/>
  <c r="J42" i="71" s="1"/>
  <c r="AG41" i="65"/>
  <c r="L42" i="71" s="1"/>
  <c r="M42" i="71" s="1"/>
  <c r="F61" i="65"/>
  <c r="AD60" i="65"/>
  <c r="I61" i="71" s="1"/>
  <c r="BG60" i="67"/>
  <c r="BB60" i="67"/>
  <c r="BD60" i="67"/>
  <c r="BE60" i="67" s="1"/>
  <c r="BP60" i="67"/>
  <c r="BS60" i="67" s="1"/>
  <c r="AA61" i="67"/>
  <c r="W41" i="65"/>
  <c r="X41" i="65" s="1"/>
  <c r="U41" i="65"/>
  <c r="C42" i="65"/>
  <c r="AF42" i="65" s="1"/>
  <c r="K43" i="71" s="1"/>
  <c r="AH43" i="71" s="1"/>
  <c r="AG69" i="58" l="1"/>
  <c r="H69" i="58"/>
  <c r="L69" i="58" s="1"/>
  <c r="AD69" i="58" s="1"/>
  <c r="AB66" i="54"/>
  <c r="C27" i="59"/>
  <c r="Q19" i="71"/>
  <c r="N26" i="59"/>
  <c r="Q26" i="59" s="1"/>
  <c r="BH19" i="54" s="1"/>
  <c r="N42" i="71"/>
  <c r="BM61" i="67"/>
  <c r="AP21" i="78"/>
  <c r="AA41" i="65"/>
  <c r="AB41" i="65" s="1"/>
  <c r="BL69" i="67"/>
  <c r="BT60" i="67"/>
  <c r="L64" i="56"/>
  <c r="M64" i="56"/>
  <c r="P64" i="56" s="1"/>
  <c r="G61" i="65"/>
  <c r="AC61" i="65"/>
  <c r="H62" i="71" s="1"/>
  <c r="AG62" i="71" s="1"/>
  <c r="BI20" i="78" s="1"/>
  <c r="H61" i="65"/>
  <c r="AI42" i="65"/>
  <c r="AE60" i="65"/>
  <c r="AJ41" i="65"/>
  <c r="AH41" i="65"/>
  <c r="AI42" i="54"/>
  <c r="AK42" i="54" s="1"/>
  <c r="H41" i="70" s="1"/>
  <c r="BR60" i="67"/>
  <c r="BF61" i="67"/>
  <c r="AC61" i="67"/>
  <c r="BC61" i="67"/>
  <c r="AB61" i="67"/>
  <c r="BO60" i="67"/>
  <c r="AJ61" i="54"/>
  <c r="BH60" i="67"/>
  <c r="BI60" i="67" s="1"/>
  <c r="V42" i="65"/>
  <c r="Y42" i="65"/>
  <c r="D42" i="65"/>
  <c r="AD71" i="58" l="1"/>
  <c r="AE69" i="58"/>
  <c r="S68" i="54"/>
  <c r="AG71" i="58"/>
  <c r="AI69" i="58"/>
  <c r="U68" i="71" s="1"/>
  <c r="H32" i="74" s="1"/>
  <c r="M27" i="59"/>
  <c r="P27" i="59" s="1"/>
  <c r="L27" i="59"/>
  <c r="BN61" i="67"/>
  <c r="BQ61" i="67" s="1"/>
  <c r="I41" i="70"/>
  <c r="AO7" i="78" s="1"/>
  <c r="AO8" i="78" s="1"/>
  <c r="AO16" i="78"/>
  <c r="C65" i="56"/>
  <c r="R57" i="71"/>
  <c r="BU60" i="67"/>
  <c r="N64" i="56"/>
  <c r="Q64" i="56" s="1"/>
  <c r="AM41" i="65"/>
  <c r="AK41" i="65"/>
  <c r="AN41" i="65" s="1"/>
  <c r="F62" i="65"/>
  <c r="AD61" i="65"/>
  <c r="I62" i="71" s="1"/>
  <c r="AL42" i="65"/>
  <c r="BD61" i="67"/>
  <c r="BE61" i="67" s="1"/>
  <c r="BG61" i="67"/>
  <c r="BB61" i="67"/>
  <c r="BP61" i="67"/>
  <c r="BS61" i="67" s="1"/>
  <c r="AA62" i="67"/>
  <c r="BM62" i="67" s="1"/>
  <c r="E42" i="65"/>
  <c r="F67" i="70" l="1"/>
  <c r="F69" i="70" s="1"/>
  <c r="S13" i="76"/>
  <c r="S15" i="76" s="1"/>
  <c r="S70" i="54"/>
  <c r="AE71" i="58"/>
  <c r="Q68" i="54"/>
  <c r="N27" i="59"/>
  <c r="Q27" i="59" s="1"/>
  <c r="BH20" i="54" s="1"/>
  <c r="Q20" i="71"/>
  <c r="D25" i="74" s="1"/>
  <c r="C28" i="59"/>
  <c r="L28" i="59" s="1"/>
  <c r="T27" i="59"/>
  <c r="J41" i="70"/>
  <c r="BT61" i="67"/>
  <c r="M65" i="56"/>
  <c r="P65" i="56" s="1"/>
  <c r="L65" i="56"/>
  <c r="G62" i="65"/>
  <c r="AC62" i="65"/>
  <c r="H63" i="71" s="1"/>
  <c r="AG63" i="71" s="1"/>
  <c r="H62" i="65"/>
  <c r="Z42" i="65"/>
  <c r="J43" i="71" s="1"/>
  <c r="AG42" i="65"/>
  <c r="L43" i="71" s="1"/>
  <c r="M43" i="71" s="1"/>
  <c r="AE61" i="65"/>
  <c r="BR61" i="67"/>
  <c r="BO61" i="67"/>
  <c r="BC62" i="67"/>
  <c r="BF62" i="67"/>
  <c r="AB62" i="67"/>
  <c r="AC62" i="67" s="1"/>
  <c r="AJ62" i="54"/>
  <c r="BH61" i="67"/>
  <c r="BI61" i="67" s="1"/>
  <c r="C43" i="65"/>
  <c r="AF43" i="65" s="1"/>
  <c r="K44" i="71" s="1"/>
  <c r="U42" i="65"/>
  <c r="W42" i="65"/>
  <c r="X42" i="65" s="1"/>
  <c r="AA42" i="65" l="1"/>
  <c r="AB42" i="65" s="1"/>
  <c r="Q13" i="76"/>
  <c r="Q70" i="54"/>
  <c r="W68" i="54"/>
  <c r="M28" i="59"/>
  <c r="P28" i="59" s="1"/>
  <c r="AA63" i="67"/>
  <c r="BM63" i="67" s="1"/>
  <c r="BN62" i="67"/>
  <c r="BQ62" i="67" s="1"/>
  <c r="F18" i="74"/>
  <c r="AH44" i="71"/>
  <c r="N43" i="71"/>
  <c r="BJ20" i="78"/>
  <c r="N65" i="56"/>
  <c r="Q65" i="56" s="1"/>
  <c r="C66" i="56"/>
  <c r="R58" i="71"/>
  <c r="BU61" i="67"/>
  <c r="AI43" i="65"/>
  <c r="F63" i="65"/>
  <c r="AD62" i="65"/>
  <c r="I63" i="71" s="1"/>
  <c r="AJ42" i="65"/>
  <c r="AH42" i="65"/>
  <c r="AI43" i="54"/>
  <c r="AK43" i="54" s="1"/>
  <c r="H42" i="70" s="1"/>
  <c r="AB63" i="67"/>
  <c r="AC63" i="67"/>
  <c r="BN63" i="67" s="1"/>
  <c r="BF63" i="67"/>
  <c r="BG62" i="67"/>
  <c r="BB62" i="67"/>
  <c r="BD62" i="67"/>
  <c r="BE62" i="67" s="1"/>
  <c r="BP62" i="67"/>
  <c r="BS62" i="67" s="1"/>
  <c r="V43" i="65"/>
  <c r="Y43" i="65"/>
  <c r="D43" i="65"/>
  <c r="W13" i="76" l="1"/>
  <c r="W15" i="76" s="1"/>
  <c r="Q15" i="76"/>
  <c r="AA64" i="67"/>
  <c r="AB67" i="54"/>
  <c r="AB68" i="54" s="1"/>
  <c r="E67" i="70"/>
  <c r="N28" i="59"/>
  <c r="Q28" i="59" s="1"/>
  <c r="BH21" i="54" s="1"/>
  <c r="C29" i="59"/>
  <c r="Q21" i="71"/>
  <c r="BO62" i="67"/>
  <c r="BC63" i="67"/>
  <c r="AQ21" i="78"/>
  <c r="I42" i="70"/>
  <c r="AP7" i="78" s="1"/>
  <c r="AP8" i="78" s="1"/>
  <c r="AP16" i="78"/>
  <c r="BT62" i="67"/>
  <c r="M66" i="56"/>
  <c r="P66" i="56" s="1"/>
  <c r="L66" i="56"/>
  <c r="AM42" i="65"/>
  <c r="AK42" i="65"/>
  <c r="AN42" i="65" s="1"/>
  <c r="G63" i="65"/>
  <c r="AC63" i="65"/>
  <c r="H64" i="71" s="1"/>
  <c r="AG64" i="71" s="1"/>
  <c r="H63" i="65"/>
  <c r="AE62" i="65"/>
  <c r="AL43" i="65"/>
  <c r="AC64" i="67"/>
  <c r="BN64" i="67" s="1"/>
  <c r="AJ63" i="54"/>
  <c r="BH62" i="67"/>
  <c r="BI62" i="67" s="1"/>
  <c r="BC64" i="67"/>
  <c r="BR62" i="67"/>
  <c r="BQ63" i="67"/>
  <c r="BG63" i="67"/>
  <c r="BB63" i="67"/>
  <c r="BD63" i="67"/>
  <c r="BP63" i="67"/>
  <c r="BS63" i="67" s="1"/>
  <c r="BG64" i="67"/>
  <c r="E43" i="65"/>
  <c r="BD64" i="67" l="1"/>
  <c r="BM64" i="67"/>
  <c r="BP64" i="67" s="1"/>
  <c r="AB64" i="67"/>
  <c r="BF64" i="67"/>
  <c r="BH64" i="67" s="1"/>
  <c r="M29" i="59"/>
  <c r="P29" i="59" s="1"/>
  <c r="L29" i="59"/>
  <c r="BE63" i="67"/>
  <c r="BE64" i="67"/>
  <c r="BB64" i="67"/>
  <c r="AJ65" i="54" s="1"/>
  <c r="BK20" i="78"/>
  <c r="J42" i="70"/>
  <c r="N66" i="56"/>
  <c r="Q66" i="56" s="1"/>
  <c r="BU62" i="67"/>
  <c r="C67" i="56"/>
  <c r="R59" i="71"/>
  <c r="BT63" i="67"/>
  <c r="F64" i="65"/>
  <c r="AD63" i="65"/>
  <c r="I64" i="71" s="1"/>
  <c r="Z43" i="65"/>
  <c r="J44" i="71" s="1"/>
  <c r="AG43" i="65"/>
  <c r="L44" i="71" s="1"/>
  <c r="AA43" i="65"/>
  <c r="BR63" i="67"/>
  <c r="AJ64" i="54"/>
  <c r="BH63" i="67"/>
  <c r="BO63" i="67"/>
  <c r="AA65" i="67"/>
  <c r="BM65" i="67" s="1"/>
  <c r="C44" i="65"/>
  <c r="AF44" i="65" s="1"/>
  <c r="K45" i="71" s="1"/>
  <c r="AH45" i="71" s="1"/>
  <c r="U43" i="65"/>
  <c r="W43" i="65"/>
  <c r="X43" i="65" s="1"/>
  <c r="BS64" i="67" l="1"/>
  <c r="BI64" i="67"/>
  <c r="N29" i="59"/>
  <c r="Q29" i="59" s="1"/>
  <c r="BH22" i="54" s="1"/>
  <c r="C30" i="59"/>
  <c r="Q22" i="71"/>
  <c r="BI63" i="67"/>
  <c r="F19" i="74"/>
  <c r="F20" i="74" s="1"/>
  <c r="F21" i="74" s="1"/>
  <c r="M44" i="71"/>
  <c r="N44" i="71" s="1"/>
  <c r="AB43" i="65"/>
  <c r="AR21" i="78"/>
  <c r="AE63" i="65"/>
  <c r="BU63" i="67"/>
  <c r="M67" i="56"/>
  <c r="P67" i="56" s="1"/>
  <c r="L67" i="56"/>
  <c r="AJ43" i="65"/>
  <c r="AH43" i="65"/>
  <c r="AI44" i="65"/>
  <c r="G64" i="65"/>
  <c r="AC64" i="65"/>
  <c r="H65" i="71" s="1"/>
  <c r="AG65" i="71" s="1"/>
  <c r="H64" i="65"/>
  <c r="BF65" i="67"/>
  <c r="BC65" i="67"/>
  <c r="AC65" i="67"/>
  <c r="BN65" i="67" s="1"/>
  <c r="AB65" i="67"/>
  <c r="BQ64" i="67"/>
  <c r="BO64" i="67"/>
  <c r="AI44" i="54"/>
  <c r="V44" i="65"/>
  <c r="Y44" i="65"/>
  <c r="D44" i="65"/>
  <c r="L30" i="59" l="1"/>
  <c r="M30" i="59"/>
  <c r="P30" i="59" s="1"/>
  <c r="AA66" i="67"/>
  <c r="BM66" i="67" s="1"/>
  <c r="BL20" i="78"/>
  <c r="N67" i="56"/>
  <c r="Q67" i="56" s="1"/>
  <c r="C68" i="56"/>
  <c r="R60" i="71"/>
  <c r="AM43" i="65"/>
  <c r="AK43" i="65"/>
  <c r="AN43" i="65" s="1"/>
  <c r="F65" i="65"/>
  <c r="AD64" i="65"/>
  <c r="I65" i="71" s="1"/>
  <c r="AL44" i="65"/>
  <c r="BR64" i="67"/>
  <c r="BU64" i="67" s="1"/>
  <c r="BT64" i="67"/>
  <c r="BF66" i="67"/>
  <c r="BC66" i="67"/>
  <c r="BQ65" i="67"/>
  <c r="BG65" i="67"/>
  <c r="BH65" i="67" s="1"/>
  <c r="BB65" i="67"/>
  <c r="BD65" i="67"/>
  <c r="BE65" i="67" s="1"/>
  <c r="BO65" i="67"/>
  <c r="BP65" i="67"/>
  <c r="E44" i="65"/>
  <c r="AK44" i="54"/>
  <c r="H43" i="70" s="1"/>
  <c r="C31" i="59" l="1"/>
  <c r="Q23" i="71"/>
  <c r="N30" i="59"/>
  <c r="Q30" i="59" s="1"/>
  <c r="BH23" i="54" s="1"/>
  <c r="AB66" i="67"/>
  <c r="AC66" i="67" s="1"/>
  <c r="AE64" i="65"/>
  <c r="I43" i="70"/>
  <c r="AQ7" i="78" s="1"/>
  <c r="AQ8" i="78" s="1"/>
  <c r="AQ16" i="78"/>
  <c r="BI65" i="67"/>
  <c r="BT65" i="67"/>
  <c r="M68" i="56"/>
  <c r="P68" i="56" s="1"/>
  <c r="L68" i="56"/>
  <c r="G65" i="65"/>
  <c r="AC65" i="65"/>
  <c r="H66" i="71" s="1"/>
  <c r="AG66" i="71" s="1"/>
  <c r="H65" i="65"/>
  <c r="Z44" i="65"/>
  <c r="J45" i="71" s="1"/>
  <c r="AG44" i="65"/>
  <c r="L45" i="71" s="1"/>
  <c r="M45" i="71" s="1"/>
  <c r="BR65" i="67"/>
  <c r="BU65" i="67" s="1"/>
  <c r="BS65" i="67"/>
  <c r="BG66" i="67"/>
  <c r="BB66" i="67"/>
  <c r="BD66" i="67"/>
  <c r="BE66" i="67" s="1"/>
  <c r="AJ66" i="54"/>
  <c r="BP66" i="67"/>
  <c r="W44" i="65"/>
  <c r="X44" i="65" s="1"/>
  <c r="U44" i="65"/>
  <c r="C45" i="65"/>
  <c r="AF45" i="65" s="1"/>
  <c r="K46" i="71" s="1"/>
  <c r="L31" i="59" l="1"/>
  <c r="N45" i="71"/>
  <c r="BN66" i="67"/>
  <c r="BQ66" i="67" s="1"/>
  <c r="BT66" i="67" s="1"/>
  <c r="AA67" i="67"/>
  <c r="AH46" i="71"/>
  <c r="BM20" i="78"/>
  <c r="J43" i="70"/>
  <c r="N68" i="56"/>
  <c r="Q68" i="56" s="1"/>
  <c r="C69" i="56"/>
  <c r="R61" i="71"/>
  <c r="AA44" i="65"/>
  <c r="AB44" i="65" s="1"/>
  <c r="F66" i="65"/>
  <c r="AD65" i="65"/>
  <c r="I66" i="71" s="1"/>
  <c r="AI45" i="65"/>
  <c r="AJ44" i="65"/>
  <c r="AH44" i="65"/>
  <c r="BS66" i="67"/>
  <c r="AJ67" i="54"/>
  <c r="BH66" i="67"/>
  <c r="BI66" i="67" s="1"/>
  <c r="V45" i="65"/>
  <c r="Y45" i="65"/>
  <c r="D45" i="65"/>
  <c r="AI45" i="54"/>
  <c r="M31" i="59" l="1"/>
  <c r="P31" i="59" s="1"/>
  <c r="BR66" i="67"/>
  <c r="BU66" i="67" s="1"/>
  <c r="BO66" i="67"/>
  <c r="BM67" i="67"/>
  <c r="BF67" i="67"/>
  <c r="AB67" i="67"/>
  <c r="AC67" i="67" s="1"/>
  <c r="BC67" i="67"/>
  <c r="BC69" i="67" s="1"/>
  <c r="AS21" i="78"/>
  <c r="L69" i="56"/>
  <c r="M69" i="56"/>
  <c r="P69" i="56" s="1"/>
  <c r="AM44" i="65"/>
  <c r="AK44" i="65"/>
  <c r="AN44" i="65" s="1"/>
  <c r="G66" i="65"/>
  <c r="AC66" i="65"/>
  <c r="H67" i="71" s="1"/>
  <c r="AG67" i="71" s="1"/>
  <c r="H66" i="65"/>
  <c r="AL45" i="65"/>
  <c r="AE65" i="65"/>
  <c r="AK45" i="54"/>
  <c r="H44" i="70" s="1"/>
  <c r="E45" i="65"/>
  <c r="N31" i="59" l="1"/>
  <c r="Q31" i="59" s="1"/>
  <c r="BH24" i="54" s="1"/>
  <c r="C32" i="59"/>
  <c r="Q24" i="71"/>
  <c r="BN67" i="67"/>
  <c r="AC69" i="67"/>
  <c r="BG67" i="67"/>
  <c r="BG69" i="67" s="1"/>
  <c r="BB67" i="67"/>
  <c r="BD67" i="67"/>
  <c r="BD69" i="67" s="1"/>
  <c r="BE69" i="67" s="1"/>
  <c r="BF69" i="67"/>
  <c r="BM69" i="67"/>
  <c r="BP67" i="67"/>
  <c r="BN20" i="78"/>
  <c r="AJ9" i="76"/>
  <c r="AJ10" i="76"/>
  <c r="AJ11" i="76"/>
  <c r="AJ12" i="76"/>
  <c r="I44" i="70"/>
  <c r="AR7" i="78" s="1"/>
  <c r="AR16" i="78"/>
  <c r="C70" i="56"/>
  <c r="R62" i="71"/>
  <c r="N69" i="56"/>
  <c r="Q69" i="56" s="1"/>
  <c r="Z45" i="65"/>
  <c r="J46" i="71" s="1"/>
  <c r="AG45" i="65"/>
  <c r="L46" i="71" s="1"/>
  <c r="M46" i="71" s="1"/>
  <c r="F67" i="65"/>
  <c r="AD66" i="65"/>
  <c r="I67" i="71" s="1"/>
  <c r="W45" i="65"/>
  <c r="X45" i="65" s="1"/>
  <c r="U45" i="65"/>
  <c r="C46" i="65"/>
  <c r="AF46" i="65" s="1"/>
  <c r="K47" i="71" s="1"/>
  <c r="AH47" i="71" s="1"/>
  <c r="AR8" i="78" l="1"/>
  <c r="M32" i="59"/>
  <c r="P32" i="59" s="1"/>
  <c r="L32" i="59"/>
  <c r="BH69" i="67"/>
  <c r="BI69" i="67" s="1"/>
  <c r="BH67" i="67"/>
  <c r="BP69" i="67"/>
  <c r="BS67" i="67"/>
  <c r="BS69" i="67" s="1"/>
  <c r="BN69" i="67"/>
  <c r="BO69" i="67" s="1"/>
  <c r="BQ67" i="67"/>
  <c r="BR67" i="67" s="1"/>
  <c r="BB69" i="67"/>
  <c r="AJ68" i="54"/>
  <c r="BE67" i="67"/>
  <c r="BO67" i="67"/>
  <c r="AT21" i="78"/>
  <c r="N46" i="71"/>
  <c r="J44" i="70"/>
  <c r="M70" i="56"/>
  <c r="P70" i="56" s="1"/>
  <c r="L70" i="56"/>
  <c r="AA45" i="65"/>
  <c r="AB45" i="65" s="1"/>
  <c r="G67" i="65"/>
  <c r="AC67" i="65"/>
  <c r="H67" i="65"/>
  <c r="AI46" i="65"/>
  <c r="AE66" i="65"/>
  <c r="AJ45" i="65"/>
  <c r="AH45" i="65"/>
  <c r="V46" i="65"/>
  <c r="Y46" i="65"/>
  <c r="D46" i="65"/>
  <c r="AI46" i="54"/>
  <c r="C33" i="59" l="1"/>
  <c r="Q25" i="71"/>
  <c r="N32" i="59"/>
  <c r="Q32" i="59" s="1"/>
  <c r="BH25" i="54" s="1"/>
  <c r="BI67" i="67"/>
  <c r="BU67" i="67"/>
  <c r="BT67" i="67"/>
  <c r="BT69" i="67" s="1"/>
  <c r="BU69" i="67" s="1"/>
  <c r="BQ69" i="67"/>
  <c r="BR69" i="67" s="1"/>
  <c r="AJ70" i="54"/>
  <c r="AJ13" i="76"/>
  <c r="AJ15" i="76" s="1"/>
  <c r="H71" i="71"/>
  <c r="H68" i="71"/>
  <c r="N70" i="56"/>
  <c r="Q70" i="56" s="1"/>
  <c r="C71" i="56"/>
  <c r="R63" i="71"/>
  <c r="AL46" i="65"/>
  <c r="AM45" i="65"/>
  <c r="AK45" i="65"/>
  <c r="AN45" i="65" s="1"/>
  <c r="H69" i="65"/>
  <c r="AD67" i="65"/>
  <c r="E46" i="65"/>
  <c r="AK46" i="54"/>
  <c r="H45" i="70" s="1"/>
  <c r="L33" i="59" l="1"/>
  <c r="I71" i="71"/>
  <c r="J71" i="71" s="1"/>
  <c r="I68" i="71"/>
  <c r="H15" i="74" s="1"/>
  <c r="H14" i="74"/>
  <c r="AG68" i="71"/>
  <c r="I45" i="70"/>
  <c r="AS7" i="78" s="1"/>
  <c r="AS16" i="78"/>
  <c r="L71" i="56"/>
  <c r="M71" i="56"/>
  <c r="P71" i="56" s="1"/>
  <c r="Z46" i="65"/>
  <c r="J47" i="71" s="1"/>
  <c r="AG46" i="65"/>
  <c r="L47" i="71" s="1"/>
  <c r="M47" i="71" s="1"/>
  <c r="AE67" i="65"/>
  <c r="C47" i="65"/>
  <c r="AF47" i="65" s="1"/>
  <c r="K48" i="71" s="1"/>
  <c r="W46" i="65"/>
  <c r="X46" i="65" s="1"/>
  <c r="U46" i="65"/>
  <c r="AS8" i="78" l="1"/>
  <c r="M33" i="59"/>
  <c r="P33" i="59" s="1"/>
  <c r="H16" i="74"/>
  <c r="AH48" i="71"/>
  <c r="AU21" i="78" s="1"/>
  <c r="BO20" i="78"/>
  <c r="AG70" i="71"/>
  <c r="N47" i="71"/>
  <c r="J45" i="70"/>
  <c r="C72" i="56"/>
  <c r="R64" i="71"/>
  <c r="N71" i="56"/>
  <c r="Q71" i="56" s="1"/>
  <c r="AI47" i="65"/>
  <c r="AJ46" i="65"/>
  <c r="AH46" i="65"/>
  <c r="AA46" i="65"/>
  <c r="AB46" i="65" s="1"/>
  <c r="AI47" i="54"/>
  <c r="V47" i="65"/>
  <c r="Y47" i="65"/>
  <c r="D47" i="65"/>
  <c r="H21" i="103" l="1"/>
  <c r="I21" i="103"/>
  <c r="J21" i="103"/>
  <c r="K21" i="103"/>
  <c r="L21" i="103"/>
  <c r="N33" i="59"/>
  <c r="Q33" i="59" s="1"/>
  <c r="BH26" i="54" s="1"/>
  <c r="C34" i="59"/>
  <c r="Q26" i="71"/>
  <c r="M72" i="56"/>
  <c r="P72" i="56" s="1"/>
  <c r="L72" i="56"/>
  <c r="AM46" i="65"/>
  <c r="AK46" i="65"/>
  <c r="AN46" i="65" s="1"/>
  <c r="AL47" i="65"/>
  <c r="E47" i="65"/>
  <c r="AK47" i="54"/>
  <c r="H46" i="70" s="1"/>
  <c r="M21" i="103" l="1"/>
  <c r="M34" i="59"/>
  <c r="P34" i="59" s="1"/>
  <c r="L34" i="59"/>
  <c r="I46" i="70"/>
  <c r="AT7" i="78" s="1"/>
  <c r="AT16" i="78"/>
  <c r="N72" i="56"/>
  <c r="Q72" i="56" s="1"/>
  <c r="C73" i="56"/>
  <c r="R65" i="71"/>
  <c r="Z47" i="65"/>
  <c r="J48" i="71" s="1"/>
  <c r="AG47" i="65"/>
  <c r="L48" i="71" s="1"/>
  <c r="M48" i="71" s="1"/>
  <c r="C48" i="65"/>
  <c r="AF48" i="65" s="1"/>
  <c r="K49" i="71" s="1"/>
  <c r="U47" i="65"/>
  <c r="W47" i="65"/>
  <c r="X47" i="65" s="1"/>
  <c r="AT8" i="78" l="1"/>
  <c r="C35" i="59"/>
  <c r="Q27" i="71"/>
  <c r="N34" i="59"/>
  <c r="Q34" i="59" s="1"/>
  <c r="BH27" i="54" s="1"/>
  <c r="N48" i="71"/>
  <c r="AH49" i="71"/>
  <c r="AV21" i="78" s="1"/>
  <c r="J46" i="70"/>
  <c r="M73" i="56"/>
  <c r="P73" i="56" s="1"/>
  <c r="L73" i="56"/>
  <c r="AI48" i="65"/>
  <c r="AA47" i="65"/>
  <c r="AB47" i="65" s="1"/>
  <c r="AJ47" i="65"/>
  <c r="AH47" i="65"/>
  <c r="V48" i="65"/>
  <c r="Y48" i="65"/>
  <c r="D48" i="65"/>
  <c r="AI48" i="54"/>
  <c r="M35" i="59" l="1"/>
  <c r="P35" i="59" s="1"/>
  <c r="L35" i="59"/>
  <c r="N73" i="56"/>
  <c r="Q73" i="56" s="1"/>
  <c r="C74" i="56"/>
  <c r="R66" i="71"/>
  <c r="AM47" i="65"/>
  <c r="AK47" i="65"/>
  <c r="AN47" i="65" s="1"/>
  <c r="AL48" i="65"/>
  <c r="E48" i="65"/>
  <c r="AK48" i="54"/>
  <c r="H47" i="70" s="1"/>
  <c r="C36" i="59" l="1"/>
  <c r="Q28" i="71"/>
  <c r="N35" i="59"/>
  <c r="Q35" i="59" s="1"/>
  <c r="BH28" i="54" s="1"/>
  <c r="I47" i="70"/>
  <c r="AU7" i="78" s="1"/>
  <c r="AU16" i="78"/>
  <c r="M74" i="56"/>
  <c r="P74" i="56" s="1"/>
  <c r="L74" i="56"/>
  <c r="Z48" i="65"/>
  <c r="J49" i="71" s="1"/>
  <c r="AG48" i="65"/>
  <c r="L49" i="71" s="1"/>
  <c r="M49" i="71" s="1"/>
  <c r="W48" i="65"/>
  <c r="X48" i="65" s="1"/>
  <c r="U48" i="65"/>
  <c r="C49" i="65"/>
  <c r="AF49" i="65" s="1"/>
  <c r="K50" i="71" s="1"/>
  <c r="AH50" i="71" s="1"/>
  <c r="AW21" i="78" s="1"/>
  <c r="AU8" i="78" l="1"/>
  <c r="L36" i="59"/>
  <c r="M36" i="59"/>
  <c r="P36" i="59" s="1"/>
  <c r="N49" i="71"/>
  <c r="J47" i="70"/>
  <c r="N74" i="56"/>
  <c r="Q74" i="56" s="1"/>
  <c r="C75" i="56"/>
  <c r="R67" i="71"/>
  <c r="AI49" i="65"/>
  <c r="AA48" i="65"/>
  <c r="AB48" i="65" s="1"/>
  <c r="AJ48" i="65"/>
  <c r="AH48" i="65"/>
  <c r="AI49" i="54"/>
  <c r="AK49" i="54" s="1"/>
  <c r="H48" i="70" s="1"/>
  <c r="V49" i="65"/>
  <c r="Y49" i="65"/>
  <c r="D49" i="65"/>
  <c r="C37" i="59" l="1"/>
  <c r="Q29" i="71"/>
  <c r="N36" i="59"/>
  <c r="Q36" i="59" s="1"/>
  <c r="BH29" i="54" s="1"/>
  <c r="I48" i="70"/>
  <c r="AV7" i="78" s="1"/>
  <c r="AV16" i="78"/>
  <c r="M75" i="56"/>
  <c r="L75" i="56"/>
  <c r="AM48" i="65"/>
  <c r="AK48" i="65"/>
  <c r="AN48" i="65" s="1"/>
  <c r="AL49" i="65"/>
  <c r="E49" i="65"/>
  <c r="AV8" i="78" l="1"/>
  <c r="L37" i="59"/>
  <c r="M37" i="59"/>
  <c r="P37" i="59" s="1"/>
  <c r="J48" i="70"/>
  <c r="N75" i="56"/>
  <c r="L77" i="56"/>
  <c r="P75" i="56"/>
  <c r="M77" i="56"/>
  <c r="Z49" i="65"/>
  <c r="J50" i="71" s="1"/>
  <c r="AG49" i="65"/>
  <c r="L50" i="71" s="1"/>
  <c r="M50" i="71" s="1"/>
  <c r="W49" i="65"/>
  <c r="X49" i="65" s="1"/>
  <c r="U49" i="65"/>
  <c r="C50" i="65"/>
  <c r="AF50" i="65" s="1"/>
  <c r="K51" i="71" s="1"/>
  <c r="AH51" i="71" s="1"/>
  <c r="AX21" i="78" s="1"/>
  <c r="C38" i="59" l="1"/>
  <c r="Q30" i="71"/>
  <c r="N37" i="59"/>
  <c r="Q37" i="59" s="1"/>
  <c r="BH30" i="54" s="1"/>
  <c r="N77" i="56"/>
  <c r="Q75" i="56"/>
  <c r="N50" i="71"/>
  <c r="R68" i="71"/>
  <c r="H26" i="74" s="1"/>
  <c r="AI50" i="65"/>
  <c r="AA49" i="65"/>
  <c r="AB49" i="65" s="1"/>
  <c r="AJ49" i="65"/>
  <c r="AH49" i="65"/>
  <c r="AI50" i="54"/>
  <c r="AK50" i="54" s="1"/>
  <c r="H49" i="70" s="1"/>
  <c r="V50" i="65"/>
  <c r="Y50" i="65"/>
  <c r="D50" i="65"/>
  <c r="L38" i="59" l="1"/>
  <c r="M38" i="59"/>
  <c r="I49" i="70"/>
  <c r="AW7" i="78" s="1"/>
  <c r="AW8" i="78" s="1"/>
  <c r="AW16" i="78"/>
  <c r="AM49" i="65"/>
  <c r="AK49" i="65"/>
  <c r="AN49" i="65" s="1"/>
  <c r="AL50" i="65"/>
  <c r="E50" i="65"/>
  <c r="N38" i="59" l="1"/>
  <c r="Q38" i="59" s="1"/>
  <c r="BH31" i="54" s="1"/>
  <c r="P38" i="59"/>
  <c r="J49" i="70"/>
  <c r="Z50" i="65"/>
  <c r="J51" i="71" s="1"/>
  <c r="AG50" i="65"/>
  <c r="L51" i="71" s="1"/>
  <c r="M51" i="71" s="1"/>
  <c r="U50" i="65"/>
  <c r="W50" i="65"/>
  <c r="X50" i="65" s="1"/>
  <c r="C51" i="65"/>
  <c r="AF51" i="65" s="1"/>
  <c r="K52" i="71" s="1"/>
  <c r="AH52" i="71" s="1"/>
  <c r="AY21" i="78" s="1"/>
  <c r="C39" i="59" l="1"/>
  <c r="Q31" i="71"/>
  <c r="N51" i="71"/>
  <c r="AB50" i="65"/>
  <c r="AA50" i="65"/>
  <c r="AI51" i="65"/>
  <c r="AJ50" i="65"/>
  <c r="AH50" i="65"/>
  <c r="AI51" i="54"/>
  <c r="AK51" i="54" s="1"/>
  <c r="H50" i="70" s="1"/>
  <c r="V51" i="65"/>
  <c r="Y51" i="65"/>
  <c r="D51" i="65"/>
  <c r="L39" i="59" l="1"/>
  <c r="M39" i="59"/>
  <c r="P39" i="59" s="1"/>
  <c r="I50" i="70"/>
  <c r="AX7" i="78" s="1"/>
  <c r="AX8" i="78" s="1"/>
  <c r="AX16" i="78"/>
  <c r="AM50" i="65"/>
  <c r="AK50" i="65"/>
  <c r="AN50" i="65" s="1"/>
  <c r="AL51" i="65"/>
  <c r="E51" i="65"/>
  <c r="C40" i="59" l="1"/>
  <c r="Q32" i="71"/>
  <c r="E25" i="74" s="1"/>
  <c r="N39" i="59"/>
  <c r="Q39" i="59" s="1"/>
  <c r="BH32" i="54" s="1"/>
  <c r="J50" i="70"/>
  <c r="Z51" i="65"/>
  <c r="J52" i="71" s="1"/>
  <c r="AG51" i="65"/>
  <c r="L52" i="71" s="1"/>
  <c r="M52" i="71" s="1"/>
  <c r="C52" i="65"/>
  <c r="AF52" i="65" s="1"/>
  <c r="K53" i="71" s="1"/>
  <c r="U51" i="65"/>
  <c r="W51" i="65"/>
  <c r="X51" i="65" s="1"/>
  <c r="M40" i="59" l="1"/>
  <c r="P40" i="59" s="1"/>
  <c r="L40" i="59"/>
  <c r="AH53" i="71"/>
  <c r="AZ21" i="78" s="1"/>
  <c r="N52" i="71"/>
  <c r="AI52" i="65"/>
  <c r="AA51" i="65"/>
  <c r="AB51" i="65" s="1"/>
  <c r="AJ51" i="65"/>
  <c r="AH51" i="65"/>
  <c r="AI52" i="54"/>
  <c r="AK52" i="54" s="1"/>
  <c r="H51" i="70" s="1"/>
  <c r="V52" i="65"/>
  <c r="Y52" i="65"/>
  <c r="D52" i="65"/>
  <c r="C41" i="59" l="1"/>
  <c r="Q33" i="71"/>
  <c r="N40" i="59"/>
  <c r="Q40" i="59" s="1"/>
  <c r="BH33" i="54" s="1"/>
  <c r="I51" i="70"/>
  <c r="AY7" i="78" s="1"/>
  <c r="AY8" i="78" s="1"/>
  <c r="AY16" i="78"/>
  <c r="AM51" i="65"/>
  <c r="AK51" i="65"/>
  <c r="AN51" i="65" s="1"/>
  <c r="AL52" i="65"/>
  <c r="E52" i="65"/>
  <c r="M41" i="59" l="1"/>
  <c r="P41" i="59" s="1"/>
  <c r="L41" i="59"/>
  <c r="J51" i="70"/>
  <c r="Z52" i="65"/>
  <c r="J53" i="71" s="1"/>
  <c r="AG52" i="65"/>
  <c r="L53" i="71" s="1"/>
  <c r="M53" i="71" s="1"/>
  <c r="W52" i="65"/>
  <c r="X52" i="65" s="1"/>
  <c r="U52" i="65"/>
  <c r="C53" i="65"/>
  <c r="AF53" i="65" s="1"/>
  <c r="K54" i="71" s="1"/>
  <c r="AH54" i="71" s="1"/>
  <c r="BA21" i="78" s="1"/>
  <c r="C42" i="59" l="1"/>
  <c r="Q34" i="71"/>
  <c r="N41" i="59"/>
  <c r="Q41" i="59" s="1"/>
  <c r="BH34" i="54" s="1"/>
  <c r="N53" i="71"/>
  <c r="AA52" i="65"/>
  <c r="AB52" i="65" s="1"/>
  <c r="AI53" i="65"/>
  <c r="AJ52" i="65"/>
  <c r="AH52" i="65"/>
  <c r="AI53" i="54"/>
  <c r="AK53" i="54" s="1"/>
  <c r="H52" i="70" s="1"/>
  <c r="V53" i="65"/>
  <c r="Y53" i="65"/>
  <c r="D53" i="65"/>
  <c r="M42" i="59" l="1"/>
  <c r="P42" i="59" s="1"/>
  <c r="L42" i="59"/>
  <c r="I52" i="70"/>
  <c r="AZ7" i="78" s="1"/>
  <c r="AZ8" i="78" s="1"/>
  <c r="AZ16" i="78"/>
  <c r="AM52" i="65"/>
  <c r="AK52" i="65"/>
  <c r="AN52" i="65" s="1"/>
  <c r="AL53" i="65"/>
  <c r="E53" i="65"/>
  <c r="C43" i="59" l="1"/>
  <c r="Q35" i="71"/>
  <c r="N42" i="59"/>
  <c r="Q42" i="59" s="1"/>
  <c r="BH35" i="54" s="1"/>
  <c r="J52" i="70"/>
  <c r="Z53" i="65"/>
  <c r="J54" i="71" s="1"/>
  <c r="AG53" i="65"/>
  <c r="L54" i="71" s="1"/>
  <c r="M54" i="71" s="1"/>
  <c r="C54" i="65"/>
  <c r="AF54" i="65" s="1"/>
  <c r="K55" i="71" s="1"/>
  <c r="AH55" i="71" s="1"/>
  <c r="BB21" i="78" s="1"/>
  <c r="W53" i="65"/>
  <c r="X53" i="65" s="1"/>
  <c r="U53" i="65"/>
  <c r="M43" i="59" l="1"/>
  <c r="P43" i="59" s="1"/>
  <c r="L43" i="59"/>
  <c r="N54" i="71"/>
  <c r="AI54" i="65"/>
  <c r="AA53" i="65"/>
  <c r="AB53" i="65" s="1"/>
  <c r="AJ53" i="65"/>
  <c r="AH53" i="65"/>
  <c r="AI54" i="54"/>
  <c r="AK54" i="54" s="1"/>
  <c r="H53" i="70" s="1"/>
  <c r="V54" i="65"/>
  <c r="Y54" i="65"/>
  <c r="D54" i="65"/>
  <c r="C44" i="59" l="1"/>
  <c r="Q36" i="71"/>
  <c r="N43" i="59"/>
  <c r="Q43" i="59" s="1"/>
  <c r="BH36" i="54" s="1"/>
  <c r="I53" i="70"/>
  <c r="BA7" i="78" s="1"/>
  <c r="BA8" i="78" s="1"/>
  <c r="BA16" i="78"/>
  <c r="AM53" i="65"/>
  <c r="AK53" i="65"/>
  <c r="AN53" i="65" s="1"/>
  <c r="AL54" i="65"/>
  <c r="E54" i="65"/>
  <c r="M44" i="59" l="1"/>
  <c r="P44" i="59" s="1"/>
  <c r="L44" i="59"/>
  <c r="J53" i="70"/>
  <c r="Z54" i="65"/>
  <c r="J55" i="71" s="1"/>
  <c r="AG54" i="65"/>
  <c r="L55" i="71" s="1"/>
  <c r="M55" i="71" s="1"/>
  <c r="C55" i="65"/>
  <c r="AF55" i="65" s="1"/>
  <c r="K56" i="71" s="1"/>
  <c r="W54" i="65"/>
  <c r="X54" i="65" s="1"/>
  <c r="U54" i="65"/>
  <c r="C45" i="59" l="1"/>
  <c r="Q37" i="71"/>
  <c r="N44" i="59"/>
  <c r="Q44" i="59" s="1"/>
  <c r="BH37" i="54" s="1"/>
  <c r="N55" i="71"/>
  <c r="G18" i="74"/>
  <c r="AH56" i="71"/>
  <c r="BC21" i="78" s="1"/>
  <c r="AI55" i="65"/>
  <c r="AA54" i="65"/>
  <c r="AB54" i="65" s="1"/>
  <c r="AJ54" i="65"/>
  <c r="AH54" i="65"/>
  <c r="AI55" i="54"/>
  <c r="AK55" i="54" s="1"/>
  <c r="H54" i="70" s="1"/>
  <c r="V55" i="65"/>
  <c r="Y55" i="65"/>
  <c r="D55" i="65"/>
  <c r="M45" i="59" l="1"/>
  <c r="P45" i="59" s="1"/>
  <c r="L45" i="59"/>
  <c r="I54" i="70"/>
  <c r="BB7" i="78" s="1"/>
  <c r="BB8" i="78" s="1"/>
  <c r="BB16" i="78"/>
  <c r="AM54" i="65"/>
  <c r="AK54" i="65"/>
  <c r="AN54" i="65" s="1"/>
  <c r="AL55" i="65"/>
  <c r="E55" i="65"/>
  <c r="C46" i="59" l="1"/>
  <c r="Q38" i="71"/>
  <c r="N45" i="59"/>
  <c r="Q45" i="59" s="1"/>
  <c r="BH38" i="54" s="1"/>
  <c r="J54" i="70"/>
  <c r="Z55" i="65"/>
  <c r="J56" i="71" s="1"/>
  <c r="AG55" i="65"/>
  <c r="L56" i="71" s="1"/>
  <c r="C56" i="65"/>
  <c r="AF56" i="65" s="1"/>
  <c r="K57" i="71" s="1"/>
  <c r="AH57" i="71" s="1"/>
  <c r="BD21" i="78" s="1"/>
  <c r="U55" i="65"/>
  <c r="W55" i="65"/>
  <c r="X55" i="65" s="1"/>
  <c r="M46" i="59" l="1"/>
  <c r="P46" i="59" s="1"/>
  <c r="L46" i="59"/>
  <c r="G19" i="74"/>
  <c r="G20" i="74" s="1"/>
  <c r="G21" i="74" s="1"/>
  <c r="M56" i="71"/>
  <c r="N56" i="71" s="1"/>
  <c r="AI56" i="65"/>
  <c r="AA55" i="65"/>
  <c r="AB55" i="65" s="1"/>
  <c r="AJ55" i="65"/>
  <c r="AH55" i="65"/>
  <c r="AI56" i="54"/>
  <c r="AK56" i="54" s="1"/>
  <c r="H55" i="70" s="1"/>
  <c r="V56" i="65"/>
  <c r="Y56" i="65"/>
  <c r="D56" i="65"/>
  <c r="C47" i="59" l="1"/>
  <c r="Q39" i="71"/>
  <c r="N46" i="59"/>
  <c r="Q46" i="59" s="1"/>
  <c r="BH39" i="54" s="1"/>
  <c r="I55" i="70"/>
  <c r="BC7" i="78" s="1"/>
  <c r="BC8" i="78" s="1"/>
  <c r="BC16" i="78"/>
  <c r="AM55" i="65"/>
  <c r="AK55" i="65"/>
  <c r="AN55" i="65" s="1"/>
  <c r="AL56" i="65"/>
  <c r="E56" i="65"/>
  <c r="M47" i="59" l="1"/>
  <c r="P47" i="59" s="1"/>
  <c r="L47" i="59"/>
  <c r="J55" i="70"/>
  <c r="Z56" i="65"/>
  <c r="J57" i="71" s="1"/>
  <c r="AG56" i="65"/>
  <c r="L57" i="71" s="1"/>
  <c r="M57" i="71" s="1"/>
  <c r="W56" i="65"/>
  <c r="X56" i="65" s="1"/>
  <c r="U56" i="65"/>
  <c r="C57" i="65"/>
  <c r="AF57" i="65" s="1"/>
  <c r="K58" i="71" s="1"/>
  <c r="C48" i="59" l="1"/>
  <c r="Q40" i="71"/>
  <c r="N47" i="59"/>
  <c r="Q47" i="59" s="1"/>
  <c r="BH40" i="54" s="1"/>
  <c r="AH58" i="71"/>
  <c r="BE21" i="78" s="1"/>
  <c r="N57" i="71"/>
  <c r="AI57" i="65"/>
  <c r="AA56" i="65"/>
  <c r="AB56" i="65" s="1"/>
  <c r="AJ56" i="65"/>
  <c r="AH56" i="65"/>
  <c r="AI57" i="54"/>
  <c r="V57" i="65"/>
  <c r="Y57" i="65"/>
  <c r="D57" i="65"/>
  <c r="M48" i="59" l="1"/>
  <c r="P48" i="59" s="1"/>
  <c r="L48" i="59"/>
  <c r="AK57" i="54"/>
  <c r="H56" i="70" s="1"/>
  <c r="I56" i="70" s="1"/>
  <c r="BD7" i="78" s="1"/>
  <c r="AM56" i="65"/>
  <c r="AK56" i="65"/>
  <c r="AN56" i="65" s="1"/>
  <c r="AL57" i="65"/>
  <c r="E57" i="65"/>
  <c r="BD8" i="78" l="1"/>
  <c r="C49" i="59"/>
  <c r="Q41" i="71"/>
  <c r="N48" i="59"/>
  <c r="Q48" i="59" s="1"/>
  <c r="BH41" i="54" s="1"/>
  <c r="BD16" i="78"/>
  <c r="J56" i="70"/>
  <c r="Z57" i="65"/>
  <c r="J58" i="71" s="1"/>
  <c r="AG57" i="65"/>
  <c r="L58" i="71" s="1"/>
  <c r="M58" i="71" s="1"/>
  <c r="W57" i="65"/>
  <c r="X57" i="65" s="1"/>
  <c r="U57" i="65"/>
  <c r="C58" i="65"/>
  <c r="AF58" i="65" s="1"/>
  <c r="K59" i="71" s="1"/>
  <c r="M49" i="59" l="1"/>
  <c r="P49" i="59" s="1"/>
  <c r="L49" i="59"/>
  <c r="N58" i="71"/>
  <c r="AH59" i="71"/>
  <c r="BF21" i="78" s="1"/>
  <c r="AI58" i="65"/>
  <c r="AA57" i="65"/>
  <c r="AB57" i="65" s="1"/>
  <c r="AJ57" i="65"/>
  <c r="AH57" i="65"/>
  <c r="AI58" i="54"/>
  <c r="V58" i="65"/>
  <c r="Y58" i="65"/>
  <c r="D58" i="65"/>
  <c r="C50" i="59" l="1"/>
  <c r="Q42" i="71"/>
  <c r="N49" i="59"/>
  <c r="Q49" i="59" s="1"/>
  <c r="BH42" i="54" s="1"/>
  <c r="AK58" i="54"/>
  <c r="H57" i="70" s="1"/>
  <c r="I57" i="70" s="1"/>
  <c r="BE7" i="78" s="1"/>
  <c r="AM57" i="65"/>
  <c r="AK57" i="65"/>
  <c r="AN57" i="65" s="1"/>
  <c r="AL58" i="65"/>
  <c r="E58" i="65"/>
  <c r="BE8" i="78" l="1"/>
  <c r="M50" i="59"/>
  <c r="P50" i="59" s="1"/>
  <c r="L50" i="59"/>
  <c r="BE16" i="78"/>
  <c r="J57" i="70"/>
  <c r="Z58" i="65"/>
  <c r="J59" i="71" s="1"/>
  <c r="AG58" i="65"/>
  <c r="L59" i="71" s="1"/>
  <c r="M59" i="71" s="1"/>
  <c r="U58" i="65"/>
  <c r="W58" i="65"/>
  <c r="X58" i="65" s="1"/>
  <c r="C59" i="65"/>
  <c r="AF59" i="65" s="1"/>
  <c r="K60" i="71" s="1"/>
  <c r="AH60" i="71" s="1"/>
  <c r="BG21" i="78" s="1"/>
  <c r="C51" i="59" l="1"/>
  <c r="Q43" i="71"/>
  <c r="N50" i="59"/>
  <c r="Q50" i="59" s="1"/>
  <c r="BH43" i="54" s="1"/>
  <c r="N59" i="71"/>
  <c r="AA58" i="65"/>
  <c r="AB58" i="65" s="1"/>
  <c r="AI59" i="65"/>
  <c r="AJ58" i="65"/>
  <c r="AH58" i="65"/>
  <c r="AI59" i="54"/>
  <c r="V59" i="65"/>
  <c r="Y59" i="65"/>
  <c r="D59" i="65"/>
  <c r="M51" i="59" l="1"/>
  <c r="P51" i="59" s="1"/>
  <c r="L51" i="59"/>
  <c r="AK59" i="54"/>
  <c r="H58" i="70" s="1"/>
  <c r="I58" i="70" s="1"/>
  <c r="BF7" i="78" s="1"/>
  <c r="AL59" i="65"/>
  <c r="AM58" i="65"/>
  <c r="AK58" i="65"/>
  <c r="AN58" i="65" s="1"/>
  <c r="E59" i="65"/>
  <c r="BF8" i="78" l="1"/>
  <c r="Q44" i="71"/>
  <c r="F25" i="74" s="1"/>
  <c r="C52" i="59"/>
  <c r="N51" i="59"/>
  <c r="Q51" i="59" s="1"/>
  <c r="BH44" i="54" s="1"/>
  <c r="BF16" i="78"/>
  <c r="J58" i="70"/>
  <c r="Z59" i="65"/>
  <c r="J60" i="71" s="1"/>
  <c r="AG59" i="65"/>
  <c r="L60" i="71" s="1"/>
  <c r="M60" i="71" s="1"/>
  <c r="C60" i="65"/>
  <c r="AF60" i="65" s="1"/>
  <c r="K61" i="71" s="1"/>
  <c r="AH61" i="71" s="1"/>
  <c r="BH21" i="78" s="1"/>
  <c r="U59" i="65"/>
  <c r="W59" i="65"/>
  <c r="X59" i="65" s="1"/>
  <c r="M52" i="59" l="1"/>
  <c r="P52" i="59" s="1"/>
  <c r="L52" i="59"/>
  <c r="N60" i="71"/>
  <c r="AA59" i="65"/>
  <c r="AB59" i="65" s="1"/>
  <c r="AI60" i="65"/>
  <c r="AJ59" i="65"/>
  <c r="AH59" i="65"/>
  <c r="AI60" i="54"/>
  <c r="V60" i="65"/>
  <c r="Y60" i="65"/>
  <c r="D60" i="65"/>
  <c r="N52" i="59" l="1"/>
  <c r="Q52" i="59" s="1"/>
  <c r="BH45" i="54" s="1"/>
  <c r="C53" i="59"/>
  <c r="Q45" i="71"/>
  <c r="AK60" i="54"/>
  <c r="H59" i="70" s="1"/>
  <c r="I59" i="70" s="1"/>
  <c r="BG7" i="78" s="1"/>
  <c r="AM59" i="65"/>
  <c r="AK59" i="65"/>
  <c r="AN59" i="65" s="1"/>
  <c r="AL60" i="65"/>
  <c r="E60" i="65"/>
  <c r="BG8" i="78" l="1"/>
  <c r="M53" i="59"/>
  <c r="P53" i="59" s="1"/>
  <c r="L53" i="59"/>
  <c r="BG16" i="78"/>
  <c r="J59" i="70"/>
  <c r="Z60" i="65"/>
  <c r="J61" i="71" s="1"/>
  <c r="AG60" i="65"/>
  <c r="L61" i="71" s="1"/>
  <c r="M61" i="71" s="1"/>
  <c r="W60" i="65"/>
  <c r="X60" i="65" s="1"/>
  <c r="U60" i="65"/>
  <c r="C61" i="65"/>
  <c r="AF61" i="65" s="1"/>
  <c r="K62" i="71" s="1"/>
  <c r="AH62" i="71" s="1"/>
  <c r="BI21" i="78" s="1"/>
  <c r="C54" i="59" l="1"/>
  <c r="Q46" i="71"/>
  <c r="N53" i="59"/>
  <c r="Q53" i="59" s="1"/>
  <c r="BH46" i="54" s="1"/>
  <c r="N61" i="71"/>
  <c r="AA60" i="65"/>
  <c r="AB60" i="65" s="1"/>
  <c r="AI61" i="65"/>
  <c r="AJ60" i="65"/>
  <c r="AH60" i="65"/>
  <c r="AI61" i="54"/>
  <c r="V61" i="65"/>
  <c r="Y61" i="65"/>
  <c r="D61" i="65"/>
  <c r="M54" i="59" l="1"/>
  <c r="P54" i="59" s="1"/>
  <c r="L54" i="59"/>
  <c r="AK61" i="54"/>
  <c r="H60" i="70" s="1"/>
  <c r="I60" i="70" s="1"/>
  <c r="BH7" i="78" s="1"/>
  <c r="AM60" i="65"/>
  <c r="AK60" i="65"/>
  <c r="AN60" i="65" s="1"/>
  <c r="AL61" i="65"/>
  <c r="E61" i="65"/>
  <c r="BH8" i="78" l="1"/>
  <c r="N54" i="59"/>
  <c r="Q54" i="59" s="1"/>
  <c r="BH47" i="54" s="1"/>
  <c r="C55" i="59"/>
  <c r="Q47" i="71"/>
  <c r="BH16" i="78"/>
  <c r="J60" i="70"/>
  <c r="Z61" i="65"/>
  <c r="J62" i="71" s="1"/>
  <c r="AG61" i="65"/>
  <c r="L62" i="71" s="1"/>
  <c r="M62" i="71" s="1"/>
  <c r="W61" i="65"/>
  <c r="X61" i="65" s="1"/>
  <c r="U61" i="65"/>
  <c r="C62" i="65"/>
  <c r="AF62" i="65" s="1"/>
  <c r="K63" i="71" s="1"/>
  <c r="AH63" i="71" s="1"/>
  <c r="BJ21" i="78" s="1"/>
  <c r="M55" i="59" l="1"/>
  <c r="P55" i="59" s="1"/>
  <c r="L55" i="59"/>
  <c r="N62" i="71"/>
  <c r="AA61" i="65"/>
  <c r="AB61" i="65" s="1"/>
  <c r="AI62" i="65"/>
  <c r="AJ61" i="65"/>
  <c r="AH61" i="65"/>
  <c r="AI62" i="54"/>
  <c r="AK62" i="54" s="1"/>
  <c r="H61" i="70" s="1"/>
  <c r="V62" i="65"/>
  <c r="Y62" i="65"/>
  <c r="D62" i="65"/>
  <c r="N55" i="59" l="1"/>
  <c r="Q55" i="59" s="1"/>
  <c r="BH48" i="54" s="1"/>
  <c r="C56" i="59"/>
  <c r="Q48" i="71"/>
  <c r="I61" i="70"/>
  <c r="BI7" i="78" s="1"/>
  <c r="BI8" i="78" s="1"/>
  <c r="BI16" i="78"/>
  <c r="AM61" i="65"/>
  <c r="AK61" i="65"/>
  <c r="AN61" i="65" s="1"/>
  <c r="AL62" i="65"/>
  <c r="E62" i="65"/>
  <c r="M56" i="59" l="1"/>
  <c r="P56" i="59" s="1"/>
  <c r="L56" i="59"/>
  <c r="J61" i="70"/>
  <c r="Z62" i="65"/>
  <c r="J63" i="71" s="1"/>
  <c r="AG62" i="65"/>
  <c r="L63" i="71" s="1"/>
  <c r="M63" i="71" s="1"/>
  <c r="W62" i="65"/>
  <c r="X62" i="65" s="1"/>
  <c r="U62" i="65"/>
  <c r="AI63" i="54" s="1"/>
  <c r="AK63" i="54" s="1"/>
  <c r="H62" i="70" s="1"/>
  <c r="C63" i="65"/>
  <c r="AF63" i="65" s="1"/>
  <c r="K64" i="71" s="1"/>
  <c r="AH64" i="71" s="1"/>
  <c r="BK21" i="78" s="1"/>
  <c r="C57" i="59" l="1"/>
  <c r="Q49" i="71"/>
  <c r="N56" i="59"/>
  <c r="Q56" i="59" s="1"/>
  <c r="BH49" i="54" s="1"/>
  <c r="N63" i="71"/>
  <c r="I62" i="70"/>
  <c r="BJ7" i="78" s="1"/>
  <c r="BJ8" i="78" s="1"/>
  <c r="BJ16" i="78"/>
  <c r="AI63" i="65"/>
  <c r="AA62" i="65"/>
  <c r="AB62" i="65" s="1"/>
  <c r="AJ62" i="65"/>
  <c r="AH62" i="65"/>
  <c r="V63" i="65"/>
  <c r="Y63" i="65"/>
  <c r="D63" i="65"/>
  <c r="M57" i="59" l="1"/>
  <c r="P57" i="59" s="1"/>
  <c r="L57" i="59"/>
  <c r="J62" i="70"/>
  <c r="AM62" i="65"/>
  <c r="AK62" i="65"/>
  <c r="AN62" i="65" s="1"/>
  <c r="AL63" i="65"/>
  <c r="E63" i="65"/>
  <c r="N57" i="59" l="1"/>
  <c r="Q57" i="59" s="1"/>
  <c r="BH50" i="54" s="1"/>
  <c r="C58" i="59"/>
  <c r="Q50" i="71"/>
  <c r="Z63" i="65"/>
  <c r="J64" i="71" s="1"/>
  <c r="AG63" i="65"/>
  <c r="L64" i="71" s="1"/>
  <c r="M64" i="71" s="1"/>
  <c r="U63" i="65"/>
  <c r="W63" i="65"/>
  <c r="X63" i="65" s="1"/>
  <c r="C64" i="65"/>
  <c r="AF64" i="65" s="1"/>
  <c r="K65" i="71" s="1"/>
  <c r="AH65" i="71" s="1"/>
  <c r="BL21" i="78" s="1"/>
  <c r="M58" i="59" l="1"/>
  <c r="P58" i="59" s="1"/>
  <c r="L58" i="59"/>
  <c r="N64" i="71"/>
  <c r="AA63" i="65"/>
  <c r="AB63" i="65" s="1"/>
  <c r="AI64" i="65"/>
  <c r="AJ63" i="65"/>
  <c r="AH63" i="65"/>
  <c r="AI64" i="54"/>
  <c r="AK64" i="54" s="1"/>
  <c r="H63" i="70" s="1"/>
  <c r="V64" i="65"/>
  <c r="Y64" i="65"/>
  <c r="D64" i="65"/>
  <c r="C59" i="59" l="1"/>
  <c r="Q51" i="71"/>
  <c r="N58" i="59"/>
  <c r="Q58" i="59" s="1"/>
  <c r="BH51" i="54" s="1"/>
  <c r="I63" i="70"/>
  <c r="BK7" i="78" s="1"/>
  <c r="BK8" i="78" s="1"/>
  <c r="BK16" i="78"/>
  <c r="AM63" i="65"/>
  <c r="AK63" i="65"/>
  <c r="AN63" i="65" s="1"/>
  <c r="AL64" i="65"/>
  <c r="E64" i="65"/>
  <c r="M59" i="59" l="1"/>
  <c r="P59" i="59" s="1"/>
  <c r="L59" i="59"/>
  <c r="J63" i="70"/>
  <c r="Z64" i="65"/>
  <c r="J65" i="71" s="1"/>
  <c r="AG64" i="65"/>
  <c r="L65" i="71" s="1"/>
  <c r="M65" i="71" s="1"/>
  <c r="W64" i="65"/>
  <c r="X64" i="65" s="1"/>
  <c r="U64" i="65"/>
  <c r="C65" i="65"/>
  <c r="AF65" i="65" s="1"/>
  <c r="K66" i="71" s="1"/>
  <c r="AH66" i="71" s="1"/>
  <c r="BM21" i="78" s="1"/>
  <c r="N59" i="59" l="1"/>
  <c r="Q59" i="59" s="1"/>
  <c r="BH52" i="54" s="1"/>
  <c r="C60" i="59"/>
  <c r="Q52" i="71"/>
  <c r="N65" i="71"/>
  <c r="AB64" i="65"/>
  <c r="AI65" i="65"/>
  <c r="AA64" i="65"/>
  <c r="AJ64" i="65"/>
  <c r="AH64" i="65"/>
  <c r="AI65" i="54"/>
  <c r="AK65" i="54" s="1"/>
  <c r="H64" i="70" s="1"/>
  <c r="V65" i="65"/>
  <c r="Y65" i="65"/>
  <c r="D65" i="65"/>
  <c r="M60" i="59" l="1"/>
  <c r="P60" i="59" s="1"/>
  <c r="L60" i="59"/>
  <c r="I64" i="70"/>
  <c r="BL7" i="78" s="1"/>
  <c r="BL8" i="78" s="1"/>
  <c r="BL16" i="78"/>
  <c r="AM64" i="65"/>
  <c r="AK64" i="65"/>
  <c r="AN64" i="65" s="1"/>
  <c r="AL65" i="65"/>
  <c r="E65" i="65"/>
  <c r="N60" i="59" l="1"/>
  <c r="Q60" i="59" s="1"/>
  <c r="C61" i="59"/>
  <c r="Q53" i="71"/>
  <c r="J64" i="70"/>
  <c r="Z65" i="65"/>
  <c r="J66" i="71" s="1"/>
  <c r="AG65" i="65"/>
  <c r="L66" i="71" s="1"/>
  <c r="M66" i="71" s="1"/>
  <c r="W65" i="65"/>
  <c r="X65" i="65" s="1"/>
  <c r="U65" i="65"/>
  <c r="C66" i="65"/>
  <c r="AF66" i="65" s="1"/>
  <c r="K67" i="71" s="1"/>
  <c r="M61" i="59" l="1"/>
  <c r="P61" i="59" s="1"/>
  <c r="L61" i="59"/>
  <c r="AH67" i="71"/>
  <c r="BN21" i="78" s="1"/>
  <c r="N66" i="71"/>
  <c r="AI66" i="65"/>
  <c r="AA65" i="65"/>
  <c r="AB65" i="65" s="1"/>
  <c r="AJ65" i="65"/>
  <c r="AH65" i="65"/>
  <c r="AI66" i="54"/>
  <c r="AK66" i="54" s="1"/>
  <c r="H65" i="70" s="1"/>
  <c r="V66" i="65"/>
  <c r="Y66" i="65"/>
  <c r="D66" i="65"/>
  <c r="E66" i="65" s="1"/>
  <c r="N61" i="59" l="1"/>
  <c r="Q61" i="59" s="1"/>
  <c r="C62" i="59"/>
  <c r="Q54" i="71"/>
  <c r="I65" i="70"/>
  <c r="BM7" i="78" s="1"/>
  <c r="BM8" i="78" s="1"/>
  <c r="BM16" i="78"/>
  <c r="Z66" i="65"/>
  <c r="AG66" i="65"/>
  <c r="L67" i="71" s="1"/>
  <c r="M67" i="71" s="1"/>
  <c r="AM65" i="65"/>
  <c r="AK65" i="65"/>
  <c r="AN65" i="65" s="1"/>
  <c r="AL66" i="65"/>
  <c r="C67" i="65"/>
  <c r="U66" i="65"/>
  <c r="W66" i="65"/>
  <c r="X66" i="65" s="1"/>
  <c r="M62" i="59" l="1"/>
  <c r="P62" i="59" s="1"/>
  <c r="L62" i="59"/>
  <c r="J65" i="70"/>
  <c r="AA66" i="65"/>
  <c r="AB66" i="65" s="1"/>
  <c r="J67" i="71"/>
  <c r="N67" i="71" s="1"/>
  <c r="V67" i="65"/>
  <c r="AF67" i="65"/>
  <c r="D67" i="65"/>
  <c r="Y67" i="65"/>
  <c r="Y69" i="65" s="1"/>
  <c r="AJ66" i="65"/>
  <c r="AH66" i="65"/>
  <c r="AI67" i="54"/>
  <c r="AK67" i="54" s="1"/>
  <c r="H66" i="70" s="1"/>
  <c r="V69" i="65"/>
  <c r="E67" i="65"/>
  <c r="N62" i="59" l="1"/>
  <c r="Q62" i="59" s="1"/>
  <c r="C63" i="59"/>
  <c r="Q55" i="71"/>
  <c r="K68" i="71"/>
  <c r="K71" i="71"/>
  <c r="I66" i="70"/>
  <c r="BN7" i="78" s="1"/>
  <c r="BN8" i="78" s="1"/>
  <c r="BN16" i="78"/>
  <c r="Z67" i="65"/>
  <c r="I70" i="71" s="1"/>
  <c r="AG67" i="65"/>
  <c r="AH67" i="65"/>
  <c r="AI67" i="65"/>
  <c r="AM66" i="65"/>
  <c r="AK66" i="65"/>
  <c r="AN66" i="65" s="1"/>
  <c r="H70" i="71"/>
  <c r="H72" i="71" s="1"/>
  <c r="U67" i="65"/>
  <c r="W67" i="65"/>
  <c r="E69" i="65"/>
  <c r="M63" i="59" l="1"/>
  <c r="P63" i="59" s="1"/>
  <c r="L63" i="59"/>
  <c r="AJ67" i="65"/>
  <c r="L71" i="71"/>
  <c r="M71" i="71" s="1"/>
  <c r="L68" i="71"/>
  <c r="AH68" i="71"/>
  <c r="K70" i="71"/>
  <c r="K72" i="71" s="1"/>
  <c r="H18" i="74"/>
  <c r="J66" i="70"/>
  <c r="AL67" i="65"/>
  <c r="AK67" i="65"/>
  <c r="Z69" i="65"/>
  <c r="AA69" i="65" s="1"/>
  <c r="AA67" i="65"/>
  <c r="AM67" i="65"/>
  <c r="J68" i="71"/>
  <c r="W69" i="65"/>
  <c r="X69" i="65" s="1"/>
  <c r="X67" i="65"/>
  <c r="AB67" i="65" s="1"/>
  <c r="AI68" i="54"/>
  <c r="U69" i="65"/>
  <c r="C64" i="59" l="1"/>
  <c r="Q56" i="71"/>
  <c r="G25" i="74" s="1"/>
  <c r="N63" i="59"/>
  <c r="Q63" i="59" s="1"/>
  <c r="AC69" i="65"/>
  <c r="AB69" i="65"/>
  <c r="H19" i="74"/>
  <c r="H20" i="74" s="1"/>
  <c r="H21" i="74" s="1"/>
  <c r="L70" i="71"/>
  <c r="L72" i="71" s="1"/>
  <c r="M68" i="71"/>
  <c r="M70" i="71" s="1"/>
  <c r="M72" i="71" s="1"/>
  <c r="BO21" i="78"/>
  <c r="AH70" i="71"/>
  <c r="AI9" i="76"/>
  <c r="AI10" i="76"/>
  <c r="AK10" i="76" s="1"/>
  <c r="AI11" i="76"/>
  <c r="AK11" i="76" s="1"/>
  <c r="AI12" i="76"/>
  <c r="AK12" i="76" s="1"/>
  <c r="AI13" i="76"/>
  <c r="AK13" i="76" s="1"/>
  <c r="AN67" i="65"/>
  <c r="I72" i="71"/>
  <c r="J70" i="71"/>
  <c r="J72" i="71" s="1"/>
  <c r="AK68" i="54"/>
  <c r="AI70" i="54"/>
  <c r="H22" i="103" l="1"/>
  <c r="I22" i="103"/>
  <c r="J22" i="103"/>
  <c r="K22" i="103"/>
  <c r="L22" i="103"/>
  <c r="N68" i="71"/>
  <c r="N70" i="71" s="1"/>
  <c r="M64" i="59"/>
  <c r="P64" i="59" s="1"/>
  <c r="L64" i="59"/>
  <c r="AI15" i="76"/>
  <c r="AK9" i="76"/>
  <c r="AK15" i="76" s="1"/>
  <c r="AK70" i="54"/>
  <c r="H67" i="70"/>
  <c r="BO16" i="78" s="1"/>
  <c r="M22" i="103" l="1"/>
  <c r="H17" i="103"/>
  <c r="I17" i="103"/>
  <c r="J17" i="103"/>
  <c r="K17" i="103"/>
  <c r="L17" i="103"/>
  <c r="N64" i="59"/>
  <c r="Q64" i="59" s="1"/>
  <c r="C65" i="59"/>
  <c r="Q57" i="71"/>
  <c r="H69" i="70"/>
  <c r="I67" i="70"/>
  <c r="BO7" i="78" s="1"/>
  <c r="BO8" i="78" l="1"/>
  <c r="J8" i="103"/>
  <c r="J9" i="103" s="1"/>
  <c r="K8" i="103"/>
  <c r="K9" i="103" s="1"/>
  <c r="L8" i="103"/>
  <c r="L9" i="103" s="1"/>
  <c r="M65" i="59"/>
  <c r="P65" i="59" s="1"/>
  <c r="L65" i="59"/>
  <c r="J67" i="70"/>
  <c r="F9" i="75"/>
  <c r="F10" i="75" s="1"/>
  <c r="G9" i="75"/>
  <c r="G10" i="75" s="1"/>
  <c r="H9" i="75"/>
  <c r="H10" i="75" s="1"/>
  <c r="C66" i="59" l="1"/>
  <c r="Q58" i="71"/>
  <c r="N65" i="59"/>
  <c r="Q65" i="59" s="1"/>
  <c r="M66" i="59" l="1"/>
  <c r="P66" i="59" s="1"/>
  <c r="L66" i="59"/>
  <c r="C67" i="59" l="1"/>
  <c r="Q59" i="71"/>
  <c r="N66" i="59"/>
  <c r="Q66" i="59" s="1"/>
  <c r="M67" i="59" l="1"/>
  <c r="L67" i="59"/>
  <c r="U70" i="54"/>
  <c r="W8" i="54"/>
  <c r="P67" i="59" l="1"/>
  <c r="N67" i="59"/>
  <c r="E7" i="70"/>
  <c r="W70" i="54"/>
  <c r="AB13" i="76" s="1"/>
  <c r="AB15" i="76" s="1"/>
  <c r="Q67" i="59" l="1"/>
  <c r="C68" i="59"/>
  <c r="Q60" i="71"/>
  <c r="E69" i="70"/>
  <c r="I7" i="70"/>
  <c r="G7" i="78" s="1"/>
  <c r="G8" i="103" s="1"/>
  <c r="G9" i="103" s="1"/>
  <c r="U8" i="70"/>
  <c r="M9" i="103" l="1"/>
  <c r="M68" i="59"/>
  <c r="P68" i="59" s="1"/>
  <c r="L68" i="59"/>
  <c r="V7" i="70"/>
  <c r="AT8" i="76"/>
  <c r="C9" i="75"/>
  <c r="C10" i="75" s="1"/>
  <c r="G8" i="78"/>
  <c r="J7" i="70"/>
  <c r="I69" i="70"/>
  <c r="C69" i="59" l="1"/>
  <c r="Q61" i="71"/>
  <c r="N68" i="59"/>
  <c r="J69" i="70"/>
  <c r="Q68" i="59" l="1"/>
  <c r="M69" i="59"/>
  <c r="P69" i="59" s="1"/>
  <c r="L69" i="59"/>
  <c r="U9" i="70"/>
  <c r="N69" i="59" l="1"/>
  <c r="C70" i="59"/>
  <c r="Q62" i="71"/>
  <c r="U10" i="70"/>
  <c r="Q69" i="59" l="1"/>
  <c r="M70" i="59"/>
  <c r="P70" i="59" s="1"/>
  <c r="L70" i="59"/>
  <c r="U11" i="70"/>
  <c r="N70" i="59" l="1"/>
  <c r="C71" i="59"/>
  <c r="Q63" i="71"/>
  <c r="U12" i="70"/>
  <c r="Q70" i="59" l="1"/>
  <c r="M71" i="59"/>
  <c r="P71" i="59" s="1"/>
  <c r="L71" i="59"/>
  <c r="U13" i="70"/>
  <c r="N71" i="59" l="1"/>
  <c r="C72" i="59"/>
  <c r="Q64" i="71"/>
  <c r="U14" i="70"/>
  <c r="Q71" i="59" l="1"/>
  <c r="M72" i="59"/>
  <c r="P72" i="59" s="1"/>
  <c r="L72" i="59"/>
  <c r="U15" i="70"/>
  <c r="N72" i="59" l="1"/>
  <c r="Q72" i="59" s="1"/>
  <c r="C73" i="59"/>
  <c r="Q65" i="71"/>
  <c r="U16" i="70"/>
  <c r="M73" i="59" l="1"/>
  <c r="P73" i="59" s="1"/>
  <c r="L73" i="59"/>
  <c r="U17" i="70"/>
  <c r="C74" i="59" l="1"/>
  <c r="Q66" i="71"/>
  <c r="N73" i="59"/>
  <c r="Q73" i="59" s="1"/>
  <c r="U18" i="70"/>
  <c r="M74" i="59" l="1"/>
  <c r="P74" i="59" s="1"/>
  <c r="L74" i="59"/>
  <c r="U19" i="70"/>
  <c r="C75" i="59" l="1"/>
  <c r="Q67" i="71"/>
  <c r="N74" i="59"/>
  <c r="Q74" i="59" s="1"/>
  <c r="U20" i="70"/>
  <c r="M75" i="59" l="1"/>
  <c r="M77" i="59" s="1"/>
  <c r="L75" i="59"/>
  <c r="U21" i="70"/>
  <c r="P75" i="59" l="1"/>
  <c r="Q68" i="71" s="1"/>
  <c r="H25" i="74" s="1"/>
  <c r="N75" i="59"/>
  <c r="L77" i="59"/>
  <c r="U22" i="70"/>
  <c r="Q75" i="59" l="1"/>
  <c r="N77" i="59"/>
  <c r="U23" i="70"/>
  <c r="U24" i="70" l="1"/>
  <c r="U25" i="70" l="1"/>
  <c r="U26" i="70" l="1"/>
  <c r="U27" i="70" l="1"/>
  <c r="U28" i="70" l="1"/>
  <c r="U29" i="70" l="1"/>
  <c r="U30" i="70" l="1"/>
  <c r="U31" i="70" l="1"/>
  <c r="U32" i="70" l="1"/>
  <c r="U33" i="70" l="1"/>
  <c r="U34" i="70" l="1"/>
  <c r="U35" i="70" l="1"/>
  <c r="U36" i="70" l="1"/>
  <c r="U37" i="70" l="1"/>
  <c r="U38" i="70" l="1"/>
  <c r="U39" i="70" l="1"/>
  <c r="U40" i="70" l="1"/>
  <c r="U41" i="70" l="1"/>
  <c r="U42" i="70" l="1"/>
  <c r="U43" i="70" l="1"/>
  <c r="U45" i="70" l="1"/>
  <c r="U46" i="70" l="1"/>
  <c r="U47" i="70" l="1"/>
  <c r="U48" i="70" l="1"/>
  <c r="U49" i="70" l="1"/>
  <c r="U50" i="70" l="1"/>
  <c r="U51" i="70" l="1"/>
  <c r="U52" i="70" l="1"/>
  <c r="U53" i="70" l="1"/>
  <c r="U54" i="70" l="1"/>
  <c r="U55" i="70" l="1"/>
  <c r="U56" i="70" l="1"/>
  <c r="U57" i="70" l="1"/>
  <c r="U58" i="70" l="1"/>
  <c r="U59" i="70" l="1"/>
  <c r="U60" i="70" l="1"/>
  <c r="U61" i="70" l="1"/>
  <c r="U62" i="70" l="1"/>
  <c r="U63" i="70" l="1"/>
  <c r="U64" i="70" l="1"/>
  <c r="U65" i="70" l="1"/>
  <c r="U70" i="71" l="1"/>
  <c r="V70" i="71" l="1"/>
  <c r="Q70" i="71" l="1"/>
  <c r="Z1" i="79" l="1"/>
  <c r="D69" i="70"/>
  <c r="X1" i="79" l="1"/>
  <c r="U67" i="70"/>
  <c r="U66" i="70" l="1"/>
  <c r="U44" i="70"/>
  <c r="AT9" i="76" l="1"/>
  <c r="V19" i="70"/>
  <c r="V26" i="70" l="1"/>
  <c r="V27" i="70" l="1"/>
  <c r="V30" i="70" l="1"/>
  <c r="AT10" i="76" l="1"/>
  <c r="V31" i="70"/>
  <c r="V37" i="70" l="1"/>
  <c r="V42" i="70" l="1"/>
  <c r="AT11" i="76" l="1"/>
  <c r="V43" i="70"/>
  <c r="AT12" i="76" l="1"/>
  <c r="V55" i="70"/>
  <c r="AT13" i="76" l="1"/>
  <c r="V67" i="70"/>
  <c r="V66" i="70"/>
  <c r="V65" i="70"/>
  <c r="V64" i="70"/>
  <c r="V63" i="70"/>
  <c r="V62" i="70"/>
  <c r="V61" i="70"/>
  <c r="V60" i="70"/>
  <c r="V59" i="70"/>
  <c r="V58" i="70"/>
  <c r="V57" i="70"/>
  <c r="V56" i="70"/>
  <c r="V54" i="70"/>
  <c r="V53" i="70"/>
  <c r="V52" i="70"/>
  <c r="V51" i="70"/>
  <c r="V50" i="70"/>
  <c r="V49" i="70"/>
  <c r="V48" i="70"/>
  <c r="V47" i="70"/>
  <c r="V46" i="70"/>
  <c r="V45" i="70"/>
  <c r="V44" i="70"/>
  <c r="V41" i="70"/>
  <c r="V40" i="70"/>
  <c r="V39" i="70"/>
  <c r="V38" i="70"/>
  <c r="V36" i="70"/>
  <c r="V35" i="70"/>
  <c r="V34" i="70"/>
  <c r="V33" i="70"/>
  <c r="V32" i="70"/>
  <c r="V29" i="70"/>
  <c r="V28" i="70"/>
  <c r="V25" i="70"/>
  <c r="V24" i="70"/>
  <c r="V23" i="70"/>
  <c r="V22" i="70"/>
  <c r="V21" i="70"/>
  <c r="V20" i="70"/>
  <c r="V18" i="70"/>
  <c r="V17" i="70"/>
  <c r="V16" i="70"/>
  <c r="V15" i="70"/>
  <c r="V14" i="70"/>
  <c r="V13" i="70"/>
  <c r="V12" i="70"/>
  <c r="V11" i="70"/>
  <c r="V10" i="70"/>
  <c r="V9" i="70"/>
  <c r="V8" i="70"/>
  <c r="AD8" i="54"/>
  <c r="AD8" i="76" s="1"/>
  <c r="F7" i="73"/>
  <c r="R15" i="69" l="1"/>
  <c r="S15" i="69" s="1"/>
  <c r="I7" i="73"/>
  <c r="N8" i="54" s="1"/>
  <c r="P8" i="54" s="1"/>
  <c r="AC8" i="54" s="1"/>
  <c r="O15" i="69" s="1"/>
  <c r="E8" i="71"/>
  <c r="V15" i="69" l="1"/>
  <c r="AO8" i="54"/>
  <c r="C10" i="74"/>
  <c r="N8" i="76"/>
  <c r="P8" i="76" s="1"/>
  <c r="K7" i="70"/>
  <c r="M7" i="70" s="1"/>
  <c r="X8" i="54"/>
  <c r="G9" i="78" l="1"/>
  <c r="C11" i="75"/>
  <c r="C13" i="75" s="1"/>
  <c r="C15" i="75" s="1"/>
  <c r="O7" i="70"/>
  <c r="AP8" i="54"/>
  <c r="X8" i="76"/>
  <c r="AO8" i="76"/>
  <c r="G11" i="78" l="1"/>
  <c r="G13" i="78" s="1"/>
  <c r="G10" i="103"/>
  <c r="G12" i="103" s="1"/>
  <c r="AP8" i="76"/>
  <c r="AU8" i="54"/>
  <c r="AS8" i="54"/>
  <c r="W7" i="70"/>
  <c r="G14" i="103" l="1"/>
  <c r="AS8" i="76"/>
  <c r="AV8" i="54"/>
  <c r="AU8" i="76"/>
  <c r="AV8" i="76" l="1"/>
  <c r="Y14" i="54"/>
  <c r="Y12" i="54"/>
  <c r="P7" i="70"/>
  <c r="AX8" i="54"/>
  <c r="AW8" i="54"/>
  <c r="Y9" i="76" l="1"/>
  <c r="S7" i="70"/>
  <c r="Y8" i="71"/>
  <c r="Z8" i="71" s="1"/>
  <c r="C38" i="74" s="1"/>
  <c r="T8" i="71"/>
  <c r="C31" i="74" s="1"/>
  <c r="G14" i="78"/>
  <c r="C16" i="75"/>
  <c r="C17" i="75" s="1"/>
  <c r="C43" i="74" s="1"/>
  <c r="X7" i="70"/>
  <c r="Q7" i="70"/>
  <c r="AX8" i="76"/>
  <c r="AW8" i="76"/>
  <c r="G15" i="78" l="1"/>
  <c r="G18" i="78" s="1"/>
  <c r="G24" i="78" s="1"/>
  <c r="G15" i="103"/>
  <c r="G16" i="103" s="1"/>
  <c r="Y7" i="70"/>
  <c r="T7" i="70"/>
  <c r="C30" i="74"/>
  <c r="C33" i="74" s="1"/>
  <c r="C37" i="74"/>
  <c r="AA9" i="71"/>
  <c r="AB8" i="71"/>
  <c r="Y9" i="71"/>
  <c r="Y77" i="71" s="1"/>
  <c r="Y78" i="71" s="1"/>
  <c r="C36" i="74"/>
  <c r="G19" i="103" l="1"/>
  <c r="AA10" i="71"/>
  <c r="AA11" i="71" s="1"/>
  <c r="AA12" i="71" s="1"/>
  <c r="AA13" i="71" s="1"/>
  <c r="AA14" i="71" s="1"/>
  <c r="AA15" i="71" s="1"/>
  <c r="AA16" i="71" s="1"/>
  <c r="AA17" i="71" s="1"/>
  <c r="AA18" i="71" s="1"/>
  <c r="AA19" i="71" s="1"/>
  <c r="AA20" i="71" s="1"/>
  <c r="AA77" i="71"/>
  <c r="AA78" i="71" s="1"/>
  <c r="Y10" i="71"/>
  <c r="C44" i="74"/>
  <c r="G25" i="103" l="1"/>
  <c r="Y11" i="71"/>
  <c r="Y12" i="71" l="1"/>
  <c r="Y13" i="71" l="1"/>
  <c r="Y14" i="71" l="1"/>
  <c r="Y15" i="71" l="1"/>
  <c r="Y16" i="71" l="1"/>
  <c r="Y17" i="71" l="1"/>
  <c r="Y18" i="71" l="1"/>
  <c r="Y19" i="71" l="1"/>
  <c r="D31" i="74" l="1"/>
  <c r="E31" i="74" l="1"/>
  <c r="F31" i="74" l="1"/>
  <c r="G31" i="74" l="1"/>
  <c r="H35" i="74" l="1"/>
  <c r="H31" i="74"/>
  <c r="G35" i="74"/>
  <c r="F35" i="74"/>
  <c r="E35" i="74"/>
  <c r="D35" i="74"/>
  <c r="D38" i="74"/>
  <c r="C35" i="74"/>
  <c r="C39" i="74" s="1"/>
  <c r="AC8" i="76"/>
  <c r="F10" i="60"/>
  <c r="H8" i="54" s="1"/>
  <c r="L8" i="54" l="1"/>
  <c r="H8" i="76"/>
  <c r="P15" i="69"/>
  <c r="K7" i="73" l="1"/>
  <c r="L7" i="73" s="1"/>
  <c r="S8" i="71"/>
  <c r="C16" i="69"/>
  <c r="Z8" i="54"/>
  <c r="L8" i="76"/>
  <c r="D8" i="71" l="1"/>
  <c r="P8" i="71"/>
  <c r="C24" i="74" s="1"/>
  <c r="AG8" i="54"/>
  <c r="AF8" i="54"/>
  <c r="C8" i="73" s="1"/>
  <c r="D8" i="73" s="1"/>
  <c r="AE8" i="76"/>
  <c r="W8" i="71"/>
  <c r="AC8" i="71" s="1"/>
  <c r="C27" i="74"/>
  <c r="Z8" i="76"/>
  <c r="L16" i="69"/>
  <c r="M16" i="69"/>
  <c r="F9" i="54" l="1"/>
  <c r="G9" i="54" s="1"/>
  <c r="I8" i="73"/>
  <c r="N9" i="54" s="1"/>
  <c r="C28" i="74"/>
  <c r="C34" i="74" s="1"/>
  <c r="C40" i="74" s="1"/>
  <c r="AF8" i="76"/>
  <c r="AG8" i="76"/>
  <c r="C9" i="74"/>
  <c r="C12" i="74" s="1"/>
  <c r="C22" i="74" s="1"/>
  <c r="G8" i="71"/>
  <c r="O8" i="71" s="1"/>
  <c r="AD8" i="71" s="1"/>
  <c r="N16" i="69"/>
  <c r="C11" i="60"/>
  <c r="D11" i="60"/>
  <c r="C41" i="74" l="1"/>
  <c r="K8" i="70"/>
  <c r="P9" i="54"/>
  <c r="J9" i="54"/>
  <c r="K9" i="54"/>
  <c r="E11" i="60"/>
  <c r="AC9" i="54" l="1"/>
  <c r="X9" i="54"/>
  <c r="H9" i="78"/>
  <c r="M8" i="70"/>
  <c r="AO9" i="54"/>
  <c r="N8" i="70"/>
  <c r="H11" i="78" l="1"/>
  <c r="AP9" i="54"/>
  <c r="H17" i="78"/>
  <c r="H12" i="78"/>
  <c r="O8" i="70"/>
  <c r="H13" i="78" l="1"/>
  <c r="W8" i="70"/>
  <c r="AU9" i="54"/>
  <c r="AS9" i="54"/>
  <c r="AV9" i="54" l="1"/>
  <c r="E8" i="73"/>
  <c r="AD9" i="54" l="1"/>
  <c r="F8" i="73"/>
  <c r="P8" i="70"/>
  <c r="AX9" i="54"/>
  <c r="AW9" i="54"/>
  <c r="O16" i="69" l="1"/>
  <c r="E9" i="71"/>
  <c r="R16" i="69"/>
  <c r="H14" i="78"/>
  <c r="X8" i="70"/>
  <c r="Q8" i="70"/>
  <c r="Z9" i="71"/>
  <c r="S8" i="70"/>
  <c r="T9" i="71"/>
  <c r="T77" i="71" s="1"/>
  <c r="T78" i="71" s="1"/>
  <c r="H15" i="78" l="1"/>
  <c r="H18" i="78" s="1"/>
  <c r="S16" i="69"/>
  <c r="F11" i="60"/>
  <c r="H9" i="54" s="1"/>
  <c r="L9" i="54" s="1"/>
  <c r="Z9" i="54" s="1"/>
  <c r="P16" i="69"/>
  <c r="R8" i="70"/>
  <c r="Y8" i="70"/>
  <c r="T8" i="70"/>
  <c r="AB9" i="71"/>
  <c r="AB77" i="71" s="1"/>
  <c r="AB78" i="71" s="1"/>
  <c r="Z77" i="71"/>
  <c r="Z78" i="71" s="1"/>
  <c r="E77" i="71"/>
  <c r="E78" i="71" s="1"/>
  <c r="AI9" i="71"/>
  <c r="AE9" i="54" l="1"/>
  <c r="AF9" i="54" s="1"/>
  <c r="C9" i="73" s="1"/>
  <c r="D9" i="73" s="1"/>
  <c r="S9" i="71"/>
  <c r="S77" i="71" s="1"/>
  <c r="S78" i="71" s="1"/>
  <c r="C17" i="69"/>
  <c r="K8" i="73"/>
  <c r="L8" i="73" s="1"/>
  <c r="H22" i="78"/>
  <c r="AG9" i="54" l="1"/>
  <c r="P9" i="71"/>
  <c r="P77" i="71" s="1"/>
  <c r="P78" i="71" s="1"/>
  <c r="D9" i="71"/>
  <c r="M17" i="69"/>
  <c r="D12" i="60" s="1"/>
  <c r="J10" i="54" s="1"/>
  <c r="L17" i="69"/>
  <c r="F10" i="54"/>
  <c r="I9" i="73"/>
  <c r="N10" i="54" s="1"/>
  <c r="AF9" i="71" l="1"/>
  <c r="H19" i="78" s="1"/>
  <c r="G9" i="71"/>
  <c r="D77" i="71"/>
  <c r="D78" i="71" s="1"/>
  <c r="W9" i="71"/>
  <c r="N17" i="69"/>
  <c r="C12" i="60"/>
  <c r="K9" i="70"/>
  <c r="P10" i="54"/>
  <c r="G10" i="54"/>
  <c r="AC10" i="54" s="1"/>
  <c r="H24" i="78" l="1"/>
  <c r="AC9" i="71"/>
  <c r="AC77" i="71" s="1"/>
  <c r="AC78" i="71" s="1"/>
  <c r="W77" i="71"/>
  <c r="W78" i="71" s="1"/>
  <c r="O9" i="71"/>
  <c r="G77" i="71"/>
  <c r="G78" i="71" s="1"/>
  <c r="K10" i="54"/>
  <c r="N9" i="70" s="1"/>
  <c r="E12" i="60"/>
  <c r="M9" i="70"/>
  <c r="I9" i="78"/>
  <c r="X10" i="54"/>
  <c r="I11" i="78" l="1"/>
  <c r="AD9" i="71"/>
  <c r="AD77" i="71" s="1"/>
  <c r="AD78" i="71" s="1"/>
  <c r="O77" i="71"/>
  <c r="O78" i="71" s="1"/>
  <c r="AO10" i="54"/>
  <c r="AP10" i="54" s="1"/>
  <c r="I12" i="78"/>
  <c r="I17" i="78"/>
  <c r="O9" i="70"/>
  <c r="I13" i="78" l="1"/>
  <c r="W9" i="70"/>
  <c r="E9" i="73"/>
  <c r="AS10" i="54"/>
  <c r="AU10" i="54"/>
  <c r="AD10" i="54" l="1"/>
  <c r="F9" i="73"/>
  <c r="AV10" i="54"/>
  <c r="O17" i="69" l="1"/>
  <c r="R17" i="69"/>
  <c r="E10" i="71"/>
  <c r="AI10" i="71" s="1"/>
  <c r="P9" i="70"/>
  <c r="AX10" i="54"/>
  <c r="AW10" i="54"/>
  <c r="S17" i="69" l="1"/>
  <c r="P17" i="69"/>
  <c r="F12" i="60"/>
  <c r="H10" i="54" s="1"/>
  <c r="L10" i="54" s="1"/>
  <c r="Z10" i="54" s="1"/>
  <c r="S9" i="70"/>
  <c r="Z10" i="71"/>
  <c r="AB10" i="71" s="1"/>
  <c r="T10" i="71"/>
  <c r="I22" i="78"/>
  <c r="I14" i="78"/>
  <c r="X9" i="70"/>
  <c r="Q9" i="70"/>
  <c r="I15" i="78" l="1"/>
  <c r="I18" i="78" s="1"/>
  <c r="AE10" i="54"/>
  <c r="AF10" i="54" s="1"/>
  <c r="C10" i="73" s="1"/>
  <c r="D10" i="73" s="1"/>
  <c r="K9" i="73"/>
  <c r="L9" i="73" s="1"/>
  <c r="C18" i="69"/>
  <c r="S10" i="71"/>
  <c r="Y9" i="70"/>
  <c r="T9" i="70"/>
  <c r="R9" i="70"/>
  <c r="AG10" i="54" l="1"/>
  <c r="D10" i="71"/>
  <c r="P10" i="71"/>
  <c r="W10" i="71" s="1"/>
  <c r="AC10" i="71" s="1"/>
  <c r="L18" i="69"/>
  <c r="M18" i="69"/>
  <c r="D13" i="60" s="1"/>
  <c r="J11" i="54" s="1"/>
  <c r="F11" i="54"/>
  <c r="I10" i="73"/>
  <c r="N11" i="54" s="1"/>
  <c r="AF10" i="71" l="1"/>
  <c r="I19" i="78" s="1"/>
  <c r="G10" i="71"/>
  <c r="O10" i="71" s="1"/>
  <c r="AD10" i="71" s="1"/>
  <c r="N18" i="69"/>
  <c r="C13" i="60"/>
  <c r="P11" i="54"/>
  <c r="K10" i="70"/>
  <c r="G11" i="54"/>
  <c r="I24" i="78" l="1"/>
  <c r="AC11" i="54"/>
  <c r="K11" i="54"/>
  <c r="N10" i="70" s="1"/>
  <c r="E13" i="60"/>
  <c r="M10" i="70"/>
  <c r="J9" i="78"/>
  <c r="X11" i="54"/>
  <c r="J11" i="78" l="1"/>
  <c r="AO11" i="54"/>
  <c r="AP11" i="54" s="1"/>
  <c r="J17" i="78"/>
  <c r="J12" i="78"/>
  <c r="O10" i="70"/>
  <c r="J13" i="78" l="1"/>
  <c r="E10" i="73"/>
  <c r="AU11" i="54"/>
  <c r="AS11" i="54"/>
  <c r="W10" i="70"/>
  <c r="AV11" i="54" l="1"/>
  <c r="AD11" i="54"/>
  <c r="F10" i="73"/>
  <c r="O18" i="69" l="1"/>
  <c r="R18" i="69"/>
  <c r="E11" i="71"/>
  <c r="AI11" i="71" s="1"/>
  <c r="P10" i="70"/>
  <c r="AX11" i="54"/>
  <c r="AW11" i="54"/>
  <c r="F13" i="60" l="1"/>
  <c r="H11" i="54" s="1"/>
  <c r="L11" i="54" s="1"/>
  <c r="Z11" i="54" s="1"/>
  <c r="P18" i="69"/>
  <c r="S18" i="69"/>
  <c r="S10" i="70"/>
  <c r="Z11" i="71"/>
  <c r="AB11" i="71" s="1"/>
  <c r="J22" i="78"/>
  <c r="T11" i="71"/>
  <c r="X10" i="70"/>
  <c r="J14" i="78"/>
  <c r="Q10" i="70"/>
  <c r="J15" i="78" l="1"/>
  <c r="J18" i="78" s="1"/>
  <c r="AE11" i="54"/>
  <c r="AG11" i="54" s="1"/>
  <c r="C19" i="69"/>
  <c r="K10" i="73"/>
  <c r="L10" i="73" s="1"/>
  <c r="S11" i="71"/>
  <c r="T10" i="70"/>
  <c r="Y10" i="70"/>
  <c r="R10" i="70"/>
  <c r="P11" i="71" l="1"/>
  <c r="W11" i="71" s="1"/>
  <c r="AC11" i="71" s="1"/>
  <c r="AF11" i="54"/>
  <c r="C11" i="73" s="1"/>
  <c r="D11" i="73" s="1"/>
  <c r="F12" i="54" s="1"/>
  <c r="D11" i="71"/>
  <c r="M19" i="69"/>
  <c r="D14" i="60" s="1"/>
  <c r="J12" i="54" s="1"/>
  <c r="L19" i="69"/>
  <c r="I11" i="73" l="1"/>
  <c r="N12" i="54" s="1"/>
  <c r="P12" i="54" s="1"/>
  <c r="G11" i="71"/>
  <c r="O11" i="71" s="1"/>
  <c r="AD11" i="71" s="1"/>
  <c r="AF11" i="71"/>
  <c r="J19" i="78" s="1"/>
  <c r="N19" i="69"/>
  <c r="C14" i="60"/>
  <c r="G12" i="54"/>
  <c r="J24" i="78" l="1"/>
  <c r="K11" i="70"/>
  <c r="M11" i="70" s="1"/>
  <c r="AC12" i="54"/>
  <c r="K12" i="54"/>
  <c r="N11" i="70" s="1"/>
  <c r="E14" i="60"/>
  <c r="X12" i="54"/>
  <c r="K9" i="78" l="1"/>
  <c r="K17" i="78"/>
  <c r="K12" i="78"/>
  <c r="AO12" i="54"/>
  <c r="AP12" i="54" s="1"/>
  <c r="O11" i="70"/>
  <c r="K11" i="78" l="1"/>
  <c r="K13" i="78" s="1"/>
  <c r="AU12" i="54"/>
  <c r="AS12" i="54"/>
  <c r="W11" i="70"/>
  <c r="E11" i="73"/>
  <c r="AD12" i="54" l="1"/>
  <c r="F11" i="73"/>
  <c r="AV12" i="54"/>
  <c r="O19" i="69" l="1"/>
  <c r="P11" i="70"/>
  <c r="AX12" i="54"/>
  <c r="AW12" i="54"/>
  <c r="R19" i="69"/>
  <c r="E12" i="71"/>
  <c r="AI12" i="71" s="1"/>
  <c r="S19" i="69" l="1"/>
  <c r="P19" i="69"/>
  <c r="F14" i="60"/>
  <c r="H12" i="54" s="1"/>
  <c r="L12" i="54" s="1"/>
  <c r="Z12" i="54" s="1"/>
  <c r="K14" i="78"/>
  <c r="X11" i="70"/>
  <c r="Q11" i="70"/>
  <c r="S11" i="70"/>
  <c r="Z12" i="71"/>
  <c r="AB12" i="71" s="1"/>
  <c r="T12" i="71"/>
  <c r="K22" i="78"/>
  <c r="K15" i="78" l="1"/>
  <c r="K18" i="78" s="1"/>
  <c r="AE12" i="54"/>
  <c r="AF12" i="54" s="1"/>
  <c r="C12" i="73" s="1"/>
  <c r="D12" i="73" s="1"/>
  <c r="K11" i="73"/>
  <c r="L11" i="73" s="1"/>
  <c r="C20" i="69"/>
  <c r="S12" i="71"/>
  <c r="Y11" i="70"/>
  <c r="T11" i="70"/>
  <c r="R11" i="70"/>
  <c r="D12" i="71" l="1"/>
  <c r="AF12" i="71" s="1"/>
  <c r="K19" i="78" s="1"/>
  <c r="K24" i="78" s="1"/>
  <c r="P12" i="71"/>
  <c r="W12" i="71" s="1"/>
  <c r="AC12" i="71" s="1"/>
  <c r="AG12" i="54"/>
  <c r="L20" i="69"/>
  <c r="M20" i="69"/>
  <c r="D15" i="60" s="1"/>
  <c r="J13" i="54" s="1"/>
  <c r="F13" i="54"/>
  <c r="I12" i="73"/>
  <c r="N13" i="54" s="1"/>
  <c r="G12" i="71" l="1"/>
  <c r="O12" i="71" s="1"/>
  <c r="AD12" i="71" s="1"/>
  <c r="C15" i="60"/>
  <c r="N20" i="69"/>
  <c r="G13" i="54"/>
  <c r="K12" i="70"/>
  <c r="P13" i="54"/>
  <c r="E15" i="60" l="1"/>
  <c r="K13" i="54"/>
  <c r="N12" i="70" s="1"/>
  <c r="AC13" i="54"/>
  <c r="X13" i="54"/>
  <c r="L9" i="78"/>
  <c r="M12" i="70"/>
  <c r="L11" i="78" l="1"/>
  <c r="AO13" i="54"/>
  <c r="AP13" i="54" s="1"/>
  <c r="L17" i="78"/>
  <c r="L12" i="78"/>
  <c r="L13" i="78" s="1"/>
  <c r="O12" i="70"/>
  <c r="AU13" i="54" l="1"/>
  <c r="AS13" i="54"/>
  <c r="E12" i="73"/>
  <c r="W12" i="70"/>
  <c r="AV13" i="54" l="1"/>
  <c r="AD13" i="54"/>
  <c r="F12" i="73"/>
  <c r="O20" i="69" l="1"/>
  <c r="E13" i="71"/>
  <c r="AI13" i="71" s="1"/>
  <c r="R20" i="69"/>
  <c r="P12" i="70"/>
  <c r="AX13" i="54"/>
  <c r="AW13" i="54"/>
  <c r="S20" i="69" l="1"/>
  <c r="F15" i="60"/>
  <c r="H13" i="54" s="1"/>
  <c r="L13" i="54" s="1"/>
  <c r="Z13" i="54" s="1"/>
  <c r="P20" i="69"/>
  <c r="T13" i="71"/>
  <c r="L14" i="78"/>
  <c r="X12" i="70"/>
  <c r="Q12" i="70"/>
  <c r="S12" i="70"/>
  <c r="Z13" i="71"/>
  <c r="AB13" i="71" s="1"/>
  <c r="L22" i="78"/>
  <c r="L15" i="78" l="1"/>
  <c r="L18" i="78" s="1"/>
  <c r="AE13" i="54"/>
  <c r="S13" i="71"/>
  <c r="K12" i="73"/>
  <c r="L12" i="73" s="1"/>
  <c r="C21" i="69"/>
  <c r="T12" i="70"/>
  <c r="Y12" i="70"/>
  <c r="R12" i="70"/>
  <c r="P13" i="71" l="1"/>
  <c r="W13" i="71" s="1"/>
  <c r="AC13" i="71" s="1"/>
  <c r="AF13" i="54"/>
  <c r="C13" i="73" s="1"/>
  <c r="D13" i="73" s="1"/>
  <c r="I13" i="73" s="1"/>
  <c r="N14" i="54" s="1"/>
  <c r="AG13" i="54"/>
  <c r="D13" i="71"/>
  <c r="L21" i="69"/>
  <c r="M21" i="69"/>
  <c r="D16" i="60" s="1"/>
  <c r="J14" i="54" s="1"/>
  <c r="F14" i="54" l="1"/>
  <c r="G14" i="54" s="1"/>
  <c r="G13" i="71"/>
  <c r="O13" i="71" s="1"/>
  <c r="AD13" i="71" s="1"/>
  <c r="AF13" i="71"/>
  <c r="L19" i="78" s="1"/>
  <c r="L24" i="78" s="1"/>
  <c r="N21" i="69"/>
  <c r="C16" i="60"/>
  <c r="P14" i="54"/>
  <c r="K13" i="70"/>
  <c r="AC14" i="54" l="1"/>
  <c r="E16" i="60"/>
  <c r="K14" i="54"/>
  <c r="N13" i="70" s="1"/>
  <c r="X14" i="54"/>
  <c r="M13" i="70"/>
  <c r="M9" i="78"/>
  <c r="M11" i="78" s="1"/>
  <c r="AO14" i="54" l="1"/>
  <c r="AP14" i="54" s="1"/>
  <c r="AU14" i="54" s="1"/>
  <c r="M17" i="78"/>
  <c r="M12" i="78"/>
  <c r="M13" i="78" s="1"/>
  <c r="O13" i="70"/>
  <c r="AS14" i="54" l="1"/>
  <c r="AV14" i="54" s="1"/>
  <c r="AX14" i="54" s="1"/>
  <c r="W13" i="70"/>
  <c r="E13" i="73"/>
  <c r="P13" i="70" l="1"/>
  <c r="Q13" i="70" s="1"/>
  <c r="Y13" i="70" s="1"/>
  <c r="AW14" i="54"/>
  <c r="S13" i="70" s="1"/>
  <c r="AD14" i="54"/>
  <c r="F13" i="73"/>
  <c r="T14" i="71"/>
  <c r="Z14" i="71" l="1"/>
  <c r="AB14" i="71" s="1"/>
  <c r="O21" i="69"/>
  <c r="M14" i="78"/>
  <c r="M15" i="78" s="1"/>
  <c r="M18" i="78" s="1"/>
  <c r="T13" i="70"/>
  <c r="X13" i="70"/>
  <c r="R13" i="70"/>
  <c r="R21" i="69"/>
  <c r="E14" i="71"/>
  <c r="AI14" i="71" s="1"/>
  <c r="M22" i="78" s="1"/>
  <c r="S21" i="69" l="1"/>
  <c r="P21" i="69"/>
  <c r="F16" i="60"/>
  <c r="H14" i="54" s="1"/>
  <c r="L14" i="54" s="1"/>
  <c r="Z14" i="54" s="1"/>
  <c r="AE14" i="54" s="1"/>
  <c r="D14" i="71" l="1"/>
  <c r="P14" i="71"/>
  <c r="AG14" i="54"/>
  <c r="AF14" i="54"/>
  <c r="C14" i="73" s="1"/>
  <c r="D14" i="73" s="1"/>
  <c r="S14" i="71"/>
  <c r="C22" i="69"/>
  <c r="K13" i="73"/>
  <c r="L13" i="73" s="1"/>
  <c r="W14" i="71" l="1"/>
  <c r="AC14" i="71" s="1"/>
  <c r="F15" i="54"/>
  <c r="G15" i="54" s="1"/>
  <c r="I14" i="73"/>
  <c r="N15" i="54" s="1"/>
  <c r="L22" i="69"/>
  <c r="M22" i="69"/>
  <c r="D17" i="60" s="1"/>
  <c r="J15" i="54" s="1"/>
  <c r="G14" i="71"/>
  <c r="O14" i="71" s="1"/>
  <c r="AF14" i="71"/>
  <c r="M19" i="78" s="1"/>
  <c r="M24" i="78" s="1"/>
  <c r="AD14" i="71" l="1"/>
  <c r="N22" i="69"/>
  <c r="C17" i="60"/>
  <c r="K14" i="70"/>
  <c r="P15" i="54"/>
  <c r="AC15" i="54" l="1"/>
  <c r="E14" i="73" s="1"/>
  <c r="X15" i="54"/>
  <c r="M14" i="70"/>
  <c r="N9" i="78"/>
  <c r="N11" i="78" s="1"/>
  <c r="K15" i="54"/>
  <c r="N14" i="70" s="1"/>
  <c r="E17" i="60"/>
  <c r="N12" i="78" l="1"/>
  <c r="N13" i="78" s="1"/>
  <c r="N17" i="78"/>
  <c r="O14" i="70"/>
  <c r="W14" i="70" s="1"/>
  <c r="AO15" i="54"/>
  <c r="AP15" i="54" s="1"/>
  <c r="AD15" i="54"/>
  <c r="F14" i="73"/>
  <c r="AU15" i="54" l="1"/>
  <c r="AS15" i="54"/>
  <c r="O22" i="69"/>
  <c r="E15" i="71"/>
  <c r="AI15" i="71" s="1"/>
  <c r="N22" i="78" s="1"/>
  <c r="R22" i="69"/>
  <c r="S22" i="69" l="1"/>
  <c r="AV15" i="54"/>
  <c r="F17" i="60"/>
  <c r="H15" i="54" s="1"/>
  <c r="L15" i="54" s="1"/>
  <c r="Z15" i="54" s="1"/>
  <c r="AE15" i="54" s="1"/>
  <c r="P22" i="69"/>
  <c r="S15" i="71" l="1"/>
  <c r="C23" i="69"/>
  <c r="K14" i="73"/>
  <c r="L14" i="73" s="1"/>
  <c r="AF15" i="54"/>
  <c r="C15" i="73" s="1"/>
  <c r="D15" i="73" s="1"/>
  <c r="D15" i="71"/>
  <c r="P15" i="71"/>
  <c r="AG15" i="54"/>
  <c r="P14" i="70"/>
  <c r="AX15" i="54"/>
  <c r="T15" i="71" s="1"/>
  <c r="AW15" i="54"/>
  <c r="F16" i="54" l="1"/>
  <c r="G16" i="54" s="1"/>
  <c r="I15" i="73"/>
  <c r="N16" i="54" s="1"/>
  <c r="N14" i="78"/>
  <c r="N15" i="78" s="1"/>
  <c r="N18" i="78" s="1"/>
  <c r="X14" i="70"/>
  <c r="Q14" i="70"/>
  <c r="S14" i="70"/>
  <c r="Z15" i="71"/>
  <c r="AB15" i="71" s="1"/>
  <c r="W15" i="71"/>
  <c r="M23" i="69"/>
  <c r="D18" i="60" s="1"/>
  <c r="J16" i="54" s="1"/>
  <c r="L23" i="69"/>
  <c r="AF15" i="71"/>
  <c r="N19" i="78" s="1"/>
  <c r="G15" i="71"/>
  <c r="O15" i="71" s="1"/>
  <c r="N24" i="78" l="1"/>
  <c r="N23" i="69"/>
  <c r="C18" i="60"/>
  <c r="T14" i="70"/>
  <c r="R14" i="70"/>
  <c r="Y14" i="70"/>
  <c r="AC15" i="71"/>
  <c r="AD15" i="71" s="1"/>
  <c r="P16" i="54"/>
  <c r="AC16" i="54" s="1"/>
  <c r="K15" i="70"/>
  <c r="E15" i="73" l="1"/>
  <c r="E18" i="60"/>
  <c r="K16" i="54"/>
  <c r="N15" i="70" s="1"/>
  <c r="O9" i="78"/>
  <c r="O11" i="78" s="1"/>
  <c r="M15" i="70"/>
  <c r="X16" i="54"/>
  <c r="AO16" i="54" l="1"/>
  <c r="AP16" i="54" s="1"/>
  <c r="AS16" i="54" s="1"/>
  <c r="O15" i="70"/>
  <c r="W15" i="70" s="1"/>
  <c r="O17" i="78"/>
  <c r="O12" i="78"/>
  <c r="O13" i="78" s="1"/>
  <c r="F15" i="73"/>
  <c r="AD16" i="54"/>
  <c r="AU16" i="54" l="1"/>
  <c r="AV16" i="54" s="1"/>
  <c r="R23" i="69"/>
  <c r="E16" i="71"/>
  <c r="AI16" i="71" s="1"/>
  <c r="O22" i="78" s="1"/>
  <c r="O23" i="69"/>
  <c r="S23" i="69" l="1"/>
  <c r="P23" i="69"/>
  <c r="F18" i="60"/>
  <c r="H16" i="54" s="1"/>
  <c r="L16" i="54" s="1"/>
  <c r="Z16" i="54" s="1"/>
  <c r="AE16" i="54" s="1"/>
  <c r="P15" i="70"/>
  <c r="AX16" i="54"/>
  <c r="T16" i="71" s="1"/>
  <c r="AW16" i="54"/>
  <c r="Q15" i="70" l="1"/>
  <c r="X15" i="70"/>
  <c r="O14" i="78"/>
  <c r="O15" i="78" s="1"/>
  <c r="O18" i="78" s="1"/>
  <c r="AF16" i="54"/>
  <c r="C16" i="73" s="1"/>
  <c r="D16" i="73" s="1"/>
  <c r="AG16" i="54"/>
  <c r="P16" i="71"/>
  <c r="D16" i="71"/>
  <c r="Z16" i="71"/>
  <c r="AB16" i="71" s="1"/>
  <c r="S15" i="70"/>
  <c r="S16" i="71"/>
  <c r="C24" i="69"/>
  <c r="K15" i="73"/>
  <c r="L15" i="73" s="1"/>
  <c r="F17" i="54" l="1"/>
  <c r="G17" i="54" s="1"/>
  <c r="I16" i="73"/>
  <c r="N17" i="54" s="1"/>
  <c r="AF16" i="71"/>
  <c r="O19" i="78" s="1"/>
  <c r="O24" i="78" s="1"/>
  <c r="G16" i="71"/>
  <c r="O16" i="71" s="1"/>
  <c r="W16" i="71"/>
  <c r="AC16" i="71" s="1"/>
  <c r="M24" i="69"/>
  <c r="D19" i="60" s="1"/>
  <c r="J17" i="54" s="1"/>
  <c r="L24" i="69"/>
  <c r="Y15" i="70"/>
  <c r="T15" i="70"/>
  <c r="R15" i="70"/>
  <c r="AD16" i="71" l="1"/>
  <c r="N24" i="69"/>
  <c r="C19" i="60"/>
  <c r="K16" i="70"/>
  <c r="P17" i="54"/>
  <c r="K17" i="54" l="1"/>
  <c r="N16" i="70" s="1"/>
  <c r="E19" i="60"/>
  <c r="AC17" i="54"/>
  <c r="X17" i="54"/>
  <c r="M16" i="70"/>
  <c r="P9" i="78"/>
  <c r="P11" i="78" s="1"/>
  <c r="AO17" i="54" l="1"/>
  <c r="AP17" i="54" s="1"/>
  <c r="E16" i="73"/>
  <c r="O16" i="70"/>
  <c r="P17" i="78"/>
  <c r="P12" i="78"/>
  <c r="P13" i="78" s="1"/>
  <c r="W16" i="70" l="1"/>
  <c r="AD17" i="54"/>
  <c r="F16" i="73"/>
  <c r="AS17" i="54"/>
  <c r="AU17" i="54"/>
  <c r="AV17" i="54" l="1"/>
  <c r="AW17" i="54" s="1"/>
  <c r="S16" i="70" s="1"/>
  <c r="E17" i="71"/>
  <c r="AI17" i="71" s="1"/>
  <c r="P22" i="78" s="1"/>
  <c r="R24" i="69"/>
  <c r="O24" i="69"/>
  <c r="AX17" i="54"/>
  <c r="T17" i="71" s="1"/>
  <c r="P16" i="70" l="1"/>
  <c r="X16" i="70" s="1"/>
  <c r="Z17" i="71"/>
  <c r="AB17" i="71" s="1"/>
  <c r="S24" i="69"/>
  <c r="F19" i="60"/>
  <c r="H17" i="54" s="1"/>
  <c r="L17" i="54" s="1"/>
  <c r="Z17" i="54" s="1"/>
  <c r="AE17" i="54" s="1"/>
  <c r="P24" i="69"/>
  <c r="Q16" i="70" l="1"/>
  <c r="T16" i="70" s="1"/>
  <c r="P14" i="78"/>
  <c r="P15" i="78" s="1"/>
  <c r="P18" i="78" s="1"/>
  <c r="K16" i="73"/>
  <c r="L16" i="73" s="1"/>
  <c r="C25" i="69"/>
  <c r="S17" i="71"/>
  <c r="R16" i="70"/>
  <c r="D17" i="71"/>
  <c r="AF17" i="54"/>
  <c r="C17" i="73" s="1"/>
  <c r="D17" i="73" s="1"/>
  <c r="AG17" i="54"/>
  <c r="P17" i="71"/>
  <c r="Y16" i="70" l="1"/>
  <c r="F18" i="54"/>
  <c r="G18" i="54" s="1"/>
  <c r="I17" i="73"/>
  <c r="N18" i="54" s="1"/>
  <c r="G17" i="71"/>
  <c r="O17" i="71" s="1"/>
  <c r="AF17" i="71"/>
  <c r="P19" i="78" s="1"/>
  <c r="P24" i="78" s="1"/>
  <c r="W17" i="71"/>
  <c r="AC17" i="71" s="1"/>
  <c r="M25" i="69"/>
  <c r="D20" i="60" s="1"/>
  <c r="J18" i="54" s="1"/>
  <c r="L25" i="69"/>
  <c r="N25" i="69" l="1"/>
  <c r="C20" i="60"/>
  <c r="AD17" i="71"/>
  <c r="P18" i="54"/>
  <c r="K17" i="70"/>
  <c r="M17" i="70" l="1"/>
  <c r="Q9" i="78"/>
  <c r="Q11" i="78" s="1"/>
  <c r="AC18" i="54"/>
  <c r="X18" i="54"/>
  <c r="E20" i="60"/>
  <c r="K18" i="54"/>
  <c r="N17" i="70" s="1"/>
  <c r="Q17" i="78" l="1"/>
  <c r="Q12" i="78"/>
  <c r="Q13" i="78" s="1"/>
  <c r="AO18" i="54"/>
  <c r="AP18" i="54" s="1"/>
  <c r="E17" i="73"/>
  <c r="O17" i="70"/>
  <c r="AD18" i="54" l="1"/>
  <c r="F17" i="73"/>
  <c r="W17" i="70"/>
  <c r="AS18" i="54"/>
  <c r="AU18" i="54"/>
  <c r="E18" i="71" l="1"/>
  <c r="AI18" i="71" s="1"/>
  <c r="Q22" i="78" s="1"/>
  <c r="R25" i="69"/>
  <c r="AV18" i="54"/>
  <c r="O25" i="69"/>
  <c r="P17" i="70" l="1"/>
  <c r="AX18" i="54"/>
  <c r="T18" i="71" s="1"/>
  <c r="AW18" i="54"/>
  <c r="F20" i="60"/>
  <c r="H18" i="54" s="1"/>
  <c r="L18" i="54" s="1"/>
  <c r="Z18" i="54" s="1"/>
  <c r="AE18" i="54" s="1"/>
  <c r="P25" i="69"/>
  <c r="S25" i="69"/>
  <c r="P18" i="71" l="1"/>
  <c r="D18" i="71"/>
  <c r="AF18" i="54"/>
  <c r="C18" i="73" s="1"/>
  <c r="D18" i="73" s="1"/>
  <c r="AG18" i="54"/>
  <c r="S17" i="70"/>
  <c r="Z18" i="71"/>
  <c r="AB18" i="71" s="1"/>
  <c r="C26" i="69"/>
  <c r="K17" i="73"/>
  <c r="L17" i="73" s="1"/>
  <c r="S18" i="71"/>
  <c r="X17" i="70"/>
  <c r="Q14" i="78"/>
  <c r="Q15" i="78" s="1"/>
  <c r="Q18" i="78" s="1"/>
  <c r="Q17" i="70"/>
  <c r="R17" i="70" l="1"/>
  <c r="Y17" i="70"/>
  <c r="T17" i="70"/>
  <c r="M26" i="69"/>
  <c r="D21" i="60" s="1"/>
  <c r="J19" i="54" s="1"/>
  <c r="L26" i="69"/>
  <c r="F19" i="54"/>
  <c r="G19" i="54" s="1"/>
  <c r="I18" i="73"/>
  <c r="N19" i="54" s="1"/>
  <c r="G18" i="71"/>
  <c r="O18" i="71" s="1"/>
  <c r="AF18" i="71"/>
  <c r="Q19" i="78" s="1"/>
  <c r="Q24" i="78" s="1"/>
  <c r="W18" i="71"/>
  <c r="AC18" i="71" s="1"/>
  <c r="P19" i="54" l="1"/>
  <c r="K18" i="70"/>
  <c r="AD18" i="71"/>
  <c r="C21" i="60"/>
  <c r="N26" i="69"/>
  <c r="E21" i="60" l="1"/>
  <c r="K19" i="54"/>
  <c r="N18" i="70" s="1"/>
  <c r="R9" i="78"/>
  <c r="R11" i="78" s="1"/>
  <c r="M18" i="70"/>
  <c r="AC19" i="54"/>
  <c r="X19" i="54"/>
  <c r="AO19" i="54" l="1"/>
  <c r="AP19" i="54" s="1"/>
  <c r="AU19" i="54" s="1"/>
  <c r="O18" i="70"/>
  <c r="R17" i="78"/>
  <c r="R12" i="78"/>
  <c r="R13" i="78" s="1"/>
  <c r="E18" i="73"/>
  <c r="AS19" i="54" l="1"/>
  <c r="AV19" i="54" s="1"/>
  <c r="AD19" i="54"/>
  <c r="F18" i="73"/>
  <c r="W18" i="70"/>
  <c r="AW19" i="54" l="1"/>
  <c r="AX19" i="54"/>
  <c r="T19" i="71" s="1"/>
  <c r="P18" i="70"/>
  <c r="R26" i="69"/>
  <c r="E19" i="71"/>
  <c r="AI19" i="71" s="1"/>
  <c r="R22" i="78" s="1"/>
  <c r="O26" i="69"/>
  <c r="F21" i="60" l="1"/>
  <c r="H19" i="54" s="1"/>
  <c r="L19" i="54" s="1"/>
  <c r="Z19" i="54" s="1"/>
  <c r="AE19" i="54" s="1"/>
  <c r="P26" i="69"/>
  <c r="S26" i="69"/>
  <c r="R14" i="78"/>
  <c r="R15" i="78" s="1"/>
  <c r="R18" i="78" s="1"/>
  <c r="X18" i="70"/>
  <c r="Q18" i="70"/>
  <c r="Z19" i="71"/>
  <c r="AB19" i="71" s="1"/>
  <c r="S18" i="70"/>
  <c r="R18" i="70" l="1"/>
  <c r="Y18" i="70"/>
  <c r="T18" i="70"/>
  <c r="K18" i="73"/>
  <c r="L18" i="73" s="1"/>
  <c r="C27" i="69"/>
  <c r="S19" i="71"/>
  <c r="AG19" i="54"/>
  <c r="AF19" i="54"/>
  <c r="C19" i="73" s="1"/>
  <c r="D19" i="73" s="1"/>
  <c r="P19" i="71"/>
  <c r="D19" i="71"/>
  <c r="W19" i="71" l="1"/>
  <c r="AC19" i="71" s="1"/>
  <c r="F20" i="54"/>
  <c r="G20" i="54" s="1"/>
  <c r="I19" i="73"/>
  <c r="N20" i="54" s="1"/>
  <c r="G19" i="71"/>
  <c r="O19" i="71" s="1"/>
  <c r="AF19" i="71"/>
  <c r="R19" i="78" s="1"/>
  <c r="R24" i="78" s="1"/>
  <c r="L27" i="69"/>
  <c r="M27" i="69"/>
  <c r="D22" i="60" s="1"/>
  <c r="J20" i="54" s="1"/>
  <c r="AD19" i="71" l="1"/>
  <c r="N27" i="69"/>
  <c r="C22" i="60"/>
  <c r="K19" i="70"/>
  <c r="P20" i="54"/>
  <c r="AC20" i="54" l="1"/>
  <c r="X20" i="54"/>
  <c r="S9" i="78"/>
  <c r="S11" i="78" s="1"/>
  <c r="M19" i="70"/>
  <c r="E22" i="60"/>
  <c r="K20" i="54"/>
  <c r="N19" i="70" s="1"/>
  <c r="S12" i="78" l="1"/>
  <c r="S13" i="78" s="1"/>
  <c r="S17" i="78"/>
  <c r="AO20" i="54"/>
  <c r="AP20" i="54" s="1"/>
  <c r="O19" i="70"/>
  <c r="E19" i="73"/>
  <c r="AU20" i="54" l="1"/>
  <c r="AS20" i="54"/>
  <c r="AD20" i="54"/>
  <c r="F19" i="73"/>
  <c r="W19" i="70"/>
  <c r="R27" i="69" l="1"/>
  <c r="E20" i="71"/>
  <c r="O27" i="69"/>
  <c r="AV20" i="54"/>
  <c r="AW20" i="54" l="1"/>
  <c r="Y24" i="54"/>
  <c r="P19" i="70"/>
  <c r="AX20" i="54"/>
  <c r="Y26" i="54"/>
  <c r="AI20" i="71"/>
  <c r="S22" i="78" s="1"/>
  <c r="D10" i="74"/>
  <c r="F22" i="60"/>
  <c r="H20" i="54" s="1"/>
  <c r="L20" i="54" s="1"/>
  <c r="Z20" i="54" s="1"/>
  <c r="AE20" i="54" s="1"/>
  <c r="P27" i="69"/>
  <c r="S27" i="69"/>
  <c r="Y10" i="76" l="1"/>
  <c r="S20" i="71"/>
  <c r="D27" i="74" s="1"/>
  <c r="C28" i="69"/>
  <c r="K19" i="73"/>
  <c r="L19" i="73" s="1"/>
  <c r="D20" i="71"/>
  <c r="AG20" i="54"/>
  <c r="P20" i="71"/>
  <c r="AF20" i="54"/>
  <c r="C20" i="73" s="1"/>
  <c r="D20" i="73" s="1"/>
  <c r="T20" i="71"/>
  <c r="D30" i="74" s="1"/>
  <c r="D33" i="74" s="1"/>
  <c r="X19" i="70"/>
  <c r="S14" i="78"/>
  <c r="S15" i="78" s="1"/>
  <c r="S18" i="78" s="1"/>
  <c r="Q19" i="70"/>
  <c r="Y20" i="71"/>
  <c r="Z20" i="71" s="1"/>
  <c r="S19" i="70"/>
  <c r="T19" i="70" l="1"/>
  <c r="R19" i="70"/>
  <c r="Y19" i="70"/>
  <c r="AF20" i="71"/>
  <c r="S19" i="78" s="1"/>
  <c r="S24" i="78" s="1"/>
  <c r="D9" i="74"/>
  <c r="D12" i="74" s="1"/>
  <c r="D22" i="74" s="1"/>
  <c r="G20" i="71"/>
  <c r="O20" i="71" s="1"/>
  <c r="F21" i="54"/>
  <c r="G21" i="54" s="1"/>
  <c r="I20" i="73"/>
  <c r="N21" i="54" s="1"/>
  <c r="AB20" i="71"/>
  <c r="D37" i="74"/>
  <c r="AA21" i="71"/>
  <c r="AA22" i="71" s="1"/>
  <c r="AA23" i="71" s="1"/>
  <c r="AA24" i="71" s="1"/>
  <c r="AA25" i="71" s="1"/>
  <c r="AA26" i="71" s="1"/>
  <c r="AA27" i="71" s="1"/>
  <c r="AA28" i="71" s="1"/>
  <c r="AA29" i="71" s="1"/>
  <c r="AA30" i="71" s="1"/>
  <c r="AA31" i="71" s="1"/>
  <c r="AA32" i="71" s="1"/>
  <c r="E38" i="74" s="1"/>
  <c r="D24" i="74"/>
  <c r="D28" i="74" s="1"/>
  <c r="D34" i="74" s="1"/>
  <c r="W20" i="71"/>
  <c r="AC20" i="71" s="1"/>
  <c r="L28" i="69"/>
  <c r="M28" i="69"/>
  <c r="D23" i="60" s="1"/>
  <c r="J21" i="54" s="1"/>
  <c r="D36" i="74"/>
  <c r="Y21" i="71"/>
  <c r="Y22" i="71" s="1"/>
  <c r="Y23" i="71" s="1"/>
  <c r="Y24" i="71" s="1"/>
  <c r="Y25" i="71" s="1"/>
  <c r="Y26" i="71" s="1"/>
  <c r="Y27" i="71" s="1"/>
  <c r="Y28" i="71" s="1"/>
  <c r="Y29" i="71" s="1"/>
  <c r="Y30" i="71" s="1"/>
  <c r="Y31" i="71" s="1"/>
  <c r="C23" i="60" l="1"/>
  <c r="N28" i="69"/>
  <c r="D39" i="74"/>
  <c r="D40" i="74" s="1"/>
  <c r="D41" i="74" s="1"/>
  <c r="AD20" i="71"/>
  <c r="K20" i="70"/>
  <c r="P21" i="54"/>
  <c r="K21" i="54" l="1"/>
  <c r="N20" i="70" s="1"/>
  <c r="E23" i="60"/>
  <c r="AC21" i="54"/>
  <c r="X21" i="54"/>
  <c r="M20" i="70"/>
  <c r="T9" i="78"/>
  <c r="T11" i="78" l="1"/>
  <c r="AO21" i="54"/>
  <c r="AP21" i="54" s="1"/>
  <c r="AU21" i="54" s="1"/>
  <c r="O20" i="70"/>
  <c r="W20" i="70" s="1"/>
  <c r="T12" i="78"/>
  <c r="T17" i="78"/>
  <c r="E20" i="73"/>
  <c r="T13" i="78" l="1"/>
  <c r="AS21" i="54"/>
  <c r="AV21" i="54" s="1"/>
  <c r="AD21" i="54"/>
  <c r="F20" i="73"/>
  <c r="P20" i="70" l="1"/>
  <c r="AX21" i="54"/>
  <c r="T21" i="71" s="1"/>
  <c r="AW21" i="54"/>
  <c r="R28" i="69"/>
  <c r="E21" i="71"/>
  <c r="AI21" i="71" s="1"/>
  <c r="T22" i="78" s="1"/>
  <c r="O28" i="69"/>
  <c r="S20" i="70" l="1"/>
  <c r="Z21" i="71"/>
  <c r="AB21" i="71" s="1"/>
  <c r="F23" i="60"/>
  <c r="H21" i="54" s="1"/>
  <c r="L21" i="54" s="1"/>
  <c r="Z21" i="54" s="1"/>
  <c r="AE21" i="54" s="1"/>
  <c r="P28" i="69"/>
  <c r="S28" i="69"/>
  <c r="T14" i="78"/>
  <c r="X20" i="70"/>
  <c r="Q20" i="70"/>
  <c r="T15" i="78" l="1"/>
  <c r="T18" i="78" s="1"/>
  <c r="T20" i="70"/>
  <c r="Y20" i="70"/>
  <c r="R20" i="70"/>
  <c r="K20" i="73"/>
  <c r="L20" i="73" s="1"/>
  <c r="S21" i="71"/>
  <c r="C29" i="69"/>
  <c r="AF21" i="54"/>
  <c r="C21" i="73" s="1"/>
  <c r="D21" i="73" s="1"/>
  <c r="P21" i="71"/>
  <c r="D21" i="71"/>
  <c r="AG21" i="54"/>
  <c r="W21" i="71" l="1"/>
  <c r="AC21" i="71" s="1"/>
  <c r="F22" i="54"/>
  <c r="G22" i="54" s="1"/>
  <c r="I21" i="73"/>
  <c r="N22" i="54" s="1"/>
  <c r="M29" i="69"/>
  <c r="D24" i="60" s="1"/>
  <c r="J22" i="54" s="1"/>
  <c r="L29" i="69"/>
  <c r="G21" i="71"/>
  <c r="O21" i="71" s="1"/>
  <c r="AF21" i="71"/>
  <c r="T19" i="78" s="1"/>
  <c r="T24" i="78" l="1"/>
  <c r="AD21" i="71"/>
  <c r="P22" i="54"/>
  <c r="AC22" i="54" s="1"/>
  <c r="K21" i="70"/>
  <c r="N29" i="69"/>
  <c r="C24" i="60"/>
  <c r="K22" i="54" l="1"/>
  <c r="N21" i="70" s="1"/>
  <c r="E24" i="60"/>
  <c r="U9" i="78"/>
  <c r="M21" i="70"/>
  <c r="X22" i="54"/>
  <c r="E21" i="73"/>
  <c r="U11" i="78" l="1"/>
  <c r="AO22" i="54"/>
  <c r="AP22" i="54" s="1"/>
  <c r="AD22" i="54"/>
  <c r="F21" i="73"/>
  <c r="O21" i="70"/>
  <c r="U12" i="78"/>
  <c r="U17" i="78"/>
  <c r="U13" i="78" l="1"/>
  <c r="W21" i="70"/>
  <c r="R29" i="69"/>
  <c r="E22" i="71"/>
  <c r="AI22" i="71" s="1"/>
  <c r="U22" i="78" s="1"/>
  <c r="AU22" i="54"/>
  <c r="AS22" i="54"/>
  <c r="O29" i="69"/>
  <c r="AV22" i="54" l="1"/>
  <c r="AX22" i="54" s="1"/>
  <c r="F24" i="60"/>
  <c r="H22" i="54" s="1"/>
  <c r="L22" i="54" s="1"/>
  <c r="Z22" i="54" s="1"/>
  <c r="AE22" i="54" s="1"/>
  <c r="P29" i="69"/>
  <c r="S29" i="69"/>
  <c r="AW22" i="54"/>
  <c r="P21" i="70" l="1"/>
  <c r="Q21" i="70" s="1"/>
  <c r="T22" i="71"/>
  <c r="S22" i="71"/>
  <c r="K21" i="73"/>
  <c r="L21" i="73" s="1"/>
  <c r="C30" i="69"/>
  <c r="AF22" i="54"/>
  <c r="C22" i="73" s="1"/>
  <c r="D22" i="73" s="1"/>
  <c r="P22" i="71"/>
  <c r="D22" i="71"/>
  <c r="AG22" i="54"/>
  <c r="Z22" i="71"/>
  <c r="AB22" i="71" s="1"/>
  <c r="S21" i="70"/>
  <c r="U14" i="78" l="1"/>
  <c r="X21" i="70"/>
  <c r="G22" i="71"/>
  <c r="O22" i="71" s="1"/>
  <c r="AF22" i="71"/>
  <c r="U19" i="78" s="1"/>
  <c r="Y21" i="70"/>
  <c r="R21" i="70"/>
  <c r="T21" i="70"/>
  <c r="F23" i="54"/>
  <c r="G23" i="54" s="1"/>
  <c r="I22" i="73"/>
  <c r="N23" i="54" s="1"/>
  <c r="M30" i="69"/>
  <c r="D25" i="60" s="1"/>
  <c r="J23" i="54" s="1"/>
  <c r="L30" i="69"/>
  <c r="W22" i="71"/>
  <c r="AC22" i="71" s="1"/>
  <c r="U15" i="78" l="1"/>
  <c r="U18" i="78" s="1"/>
  <c r="U24" i="78" s="1"/>
  <c r="AD22" i="71"/>
  <c r="N30" i="69"/>
  <c r="C25" i="60"/>
  <c r="P23" i="54"/>
  <c r="AC23" i="54" s="1"/>
  <c r="K22" i="70"/>
  <c r="X23" i="54" l="1"/>
  <c r="E25" i="60"/>
  <c r="K23" i="54"/>
  <c r="N22" i="70" s="1"/>
  <c r="E22" i="73"/>
  <c r="V9" i="78"/>
  <c r="M22" i="70"/>
  <c r="V11" i="78" l="1"/>
  <c r="O22" i="70"/>
  <c r="W22" i="70" s="1"/>
  <c r="V12" i="78"/>
  <c r="V17" i="78"/>
  <c r="AD23" i="54"/>
  <c r="F22" i="73"/>
  <c r="AO23" i="54"/>
  <c r="V13" i="78" l="1"/>
  <c r="R30" i="69"/>
  <c r="E23" i="71"/>
  <c r="AI23" i="71" s="1"/>
  <c r="V22" i="78" s="1"/>
  <c r="O30" i="69"/>
  <c r="AP23" i="54"/>
  <c r="AS23" i="54" l="1"/>
  <c r="AU23" i="54"/>
  <c r="F25" i="60"/>
  <c r="H23" i="54" s="1"/>
  <c r="L23" i="54" s="1"/>
  <c r="Z23" i="54" s="1"/>
  <c r="AE23" i="54" s="1"/>
  <c r="P30" i="69"/>
  <c r="S30" i="69"/>
  <c r="P23" i="71" l="1"/>
  <c r="D23" i="71"/>
  <c r="AF23" i="54"/>
  <c r="C23" i="73" s="1"/>
  <c r="D23" i="73" s="1"/>
  <c r="AG23" i="54"/>
  <c r="C31" i="69"/>
  <c r="K22" i="73"/>
  <c r="L22" i="73" s="1"/>
  <c r="S23" i="71"/>
  <c r="AV23" i="54"/>
  <c r="F24" i="54" l="1"/>
  <c r="G24" i="54" s="1"/>
  <c r="I23" i="73"/>
  <c r="N24" i="54" s="1"/>
  <c r="M31" i="69"/>
  <c r="D26" i="60" s="1"/>
  <c r="J24" i="54" s="1"/>
  <c r="L31" i="69"/>
  <c r="G23" i="71"/>
  <c r="O23" i="71" s="1"/>
  <c r="AF23" i="71"/>
  <c r="V19" i="78" s="1"/>
  <c r="P22" i="70"/>
  <c r="AX23" i="54"/>
  <c r="AW23" i="54"/>
  <c r="V14" i="78" l="1"/>
  <c r="X22" i="70"/>
  <c r="Q22" i="70"/>
  <c r="Z23" i="71"/>
  <c r="AB23" i="71" s="1"/>
  <c r="S22" i="70"/>
  <c r="K23" i="70"/>
  <c r="P24" i="54"/>
  <c r="T23" i="71"/>
  <c r="W23" i="71" s="1"/>
  <c r="AC23" i="71" s="1"/>
  <c r="AD23" i="71" s="1"/>
  <c r="C26" i="60"/>
  <c r="N31" i="69"/>
  <c r="AC24" i="54"/>
  <c r="V15" i="78" l="1"/>
  <c r="V18" i="78" s="1"/>
  <c r="V24" i="78" s="1"/>
  <c r="E26" i="60"/>
  <c r="K24" i="54"/>
  <c r="N23" i="70" s="1"/>
  <c r="X24" i="54"/>
  <c r="T22" i="70"/>
  <c r="Y22" i="70"/>
  <c r="R22" i="70"/>
  <c r="E23" i="73"/>
  <c r="W9" i="78"/>
  <c r="M23" i="70"/>
  <c r="W11" i="78" l="1"/>
  <c r="O23" i="70"/>
  <c r="W23" i="70" s="1"/>
  <c r="AO24" i="54"/>
  <c r="AD24" i="54"/>
  <c r="F23" i="73"/>
  <c r="W12" i="78"/>
  <c r="W17" i="78"/>
  <c r="W13" i="78" l="1"/>
  <c r="AP24" i="54"/>
  <c r="R31" i="69"/>
  <c r="E24" i="71"/>
  <c r="AI24" i="71" s="1"/>
  <c r="W22" i="78" s="1"/>
  <c r="O31" i="69"/>
  <c r="S31" i="69" l="1"/>
  <c r="F26" i="60"/>
  <c r="H24" i="54" s="1"/>
  <c r="L24" i="54" s="1"/>
  <c r="Z24" i="54" s="1"/>
  <c r="AE24" i="54" s="1"/>
  <c r="P31" i="69"/>
  <c r="AU24" i="54"/>
  <c r="AS24" i="54"/>
  <c r="AV24" i="54" l="1"/>
  <c r="K23" i="73"/>
  <c r="L23" i="73" s="1"/>
  <c r="C32" i="69"/>
  <c r="S24" i="71"/>
  <c r="P24" i="71"/>
  <c r="D24" i="71"/>
  <c r="AF24" i="54"/>
  <c r="C24" i="73" s="1"/>
  <c r="D24" i="73" s="1"/>
  <c r="AG24" i="54"/>
  <c r="F25" i="54" l="1"/>
  <c r="G25" i="54" s="1"/>
  <c r="I24" i="73"/>
  <c r="N25" i="54" s="1"/>
  <c r="L32" i="69"/>
  <c r="M32" i="69"/>
  <c r="D27" i="60" s="1"/>
  <c r="J25" i="54" s="1"/>
  <c r="AF24" i="71"/>
  <c r="W19" i="78" s="1"/>
  <c r="G24" i="71"/>
  <c r="O24" i="71" s="1"/>
  <c r="P23" i="70"/>
  <c r="AX24" i="54"/>
  <c r="AW24" i="54"/>
  <c r="S23" i="70" l="1"/>
  <c r="Z24" i="71"/>
  <c r="AB24" i="71" s="1"/>
  <c r="N32" i="69"/>
  <c r="C27" i="60"/>
  <c r="T24" i="71"/>
  <c r="W24" i="71" s="1"/>
  <c r="AC24" i="71" s="1"/>
  <c r="AD24" i="71" s="1"/>
  <c r="X23" i="70"/>
  <c r="W14" i="78"/>
  <c r="Q23" i="70"/>
  <c r="P25" i="54"/>
  <c r="AC25" i="54" s="1"/>
  <c r="K24" i="70"/>
  <c r="W15" i="78" l="1"/>
  <c r="W18" i="78" s="1"/>
  <c r="W24" i="78" s="1"/>
  <c r="E27" i="60"/>
  <c r="K25" i="54"/>
  <c r="N24" i="70" s="1"/>
  <c r="E24" i="73"/>
  <c r="T23" i="70"/>
  <c r="Y23" i="70"/>
  <c r="R23" i="70"/>
  <c r="X9" i="78"/>
  <c r="M24" i="70"/>
  <c r="X25" i="54"/>
  <c r="X11" i="78" l="1"/>
  <c r="AO25" i="54"/>
  <c r="AP25" i="54" s="1"/>
  <c r="AS25" i="54" s="1"/>
  <c r="O24" i="70"/>
  <c r="W24" i="70" s="1"/>
  <c r="AD25" i="54"/>
  <c r="F24" i="73"/>
  <c r="X17" i="78"/>
  <c r="X12" i="78"/>
  <c r="X13" i="78" l="1"/>
  <c r="AU25" i="54"/>
  <c r="AV25" i="54" s="1"/>
  <c r="O32" i="69"/>
  <c r="E25" i="71"/>
  <c r="AI25" i="71" s="1"/>
  <c r="X22" i="78" s="1"/>
  <c r="R32" i="69"/>
  <c r="S32" i="69" l="1"/>
  <c r="AW25" i="54"/>
  <c r="P24" i="70"/>
  <c r="X14" i="78" s="1"/>
  <c r="AX25" i="54"/>
  <c r="T25" i="71" s="1"/>
  <c r="F27" i="60"/>
  <c r="H25" i="54" s="1"/>
  <c r="L25" i="54" s="1"/>
  <c r="Z25" i="54" s="1"/>
  <c r="AE25" i="54" s="1"/>
  <c r="P32" i="69"/>
  <c r="X15" i="78" l="1"/>
  <c r="X18" i="78" s="1"/>
  <c r="Q24" i="70"/>
  <c r="R24" i="70" s="1"/>
  <c r="X24" i="70"/>
  <c r="Z25" i="71"/>
  <c r="AB25" i="71" s="1"/>
  <c r="S24" i="70"/>
  <c r="C33" i="69"/>
  <c r="S25" i="71"/>
  <c r="K24" i="73"/>
  <c r="L24" i="73" s="1"/>
  <c r="AF25" i="54"/>
  <c r="C25" i="73" s="1"/>
  <c r="D25" i="73" s="1"/>
  <c r="P25" i="71"/>
  <c r="AG25" i="54"/>
  <c r="D25" i="71"/>
  <c r="Y24" i="70" l="1"/>
  <c r="T24" i="70"/>
  <c r="W25" i="71"/>
  <c r="AC25" i="71" s="1"/>
  <c r="M33" i="69"/>
  <c r="D28" i="60" s="1"/>
  <c r="J26" i="54" s="1"/>
  <c r="L33" i="69"/>
  <c r="F26" i="54"/>
  <c r="G26" i="54" s="1"/>
  <c r="I25" i="73"/>
  <c r="N26" i="54" s="1"/>
  <c r="G25" i="71"/>
  <c r="O25" i="71" s="1"/>
  <c r="AD25" i="71" s="1"/>
  <c r="AF25" i="71"/>
  <c r="X19" i="78" s="1"/>
  <c r="X24" i="78" s="1"/>
  <c r="P26" i="54" l="1"/>
  <c r="K25" i="70"/>
  <c r="C28" i="60"/>
  <c r="N33" i="69"/>
  <c r="K26" i="54" l="1"/>
  <c r="N25" i="70" s="1"/>
  <c r="E28" i="60"/>
  <c r="M25" i="70"/>
  <c r="Y9" i="78"/>
  <c r="Y11" i="78" s="1"/>
  <c r="AC26" i="54"/>
  <c r="X26" i="54"/>
  <c r="AO26" i="54" l="1"/>
  <c r="AP26" i="54" s="1"/>
  <c r="AS26" i="54" s="1"/>
  <c r="O25" i="70"/>
  <c r="E25" i="73"/>
  <c r="Y17" i="78"/>
  <c r="Y12" i="78"/>
  <c r="Y13" i="78" s="1"/>
  <c r="AU26" i="54" l="1"/>
  <c r="AV26" i="54" s="1"/>
  <c r="AD26" i="54"/>
  <c r="F25" i="73"/>
  <c r="W25" i="70"/>
  <c r="AX26" i="54" l="1"/>
  <c r="T26" i="71" s="1"/>
  <c r="AW26" i="54"/>
  <c r="Z26" i="71" s="1"/>
  <c r="AB26" i="71" s="1"/>
  <c r="P25" i="70"/>
  <c r="X25" i="70" s="1"/>
  <c r="S25" i="70"/>
  <c r="R33" i="69"/>
  <c r="E26" i="71"/>
  <c r="AI26" i="71" s="1"/>
  <c r="Y22" i="78" s="1"/>
  <c r="O33" i="69"/>
  <c r="S33" i="69" l="1"/>
  <c r="Y14" i="78"/>
  <c r="Y15" i="78" s="1"/>
  <c r="Y18" i="78" s="1"/>
  <c r="Q25" i="70"/>
  <c r="Y25" i="70" s="1"/>
  <c r="F28" i="60"/>
  <c r="H26" i="54" s="1"/>
  <c r="L26" i="54" s="1"/>
  <c r="Z26" i="54" s="1"/>
  <c r="AE26" i="54" s="1"/>
  <c r="P33" i="69"/>
  <c r="R25" i="70" l="1"/>
  <c r="T25" i="70"/>
  <c r="C34" i="69"/>
  <c r="K25" i="73"/>
  <c r="L25" i="73" s="1"/>
  <c r="S26" i="71"/>
  <c r="P26" i="71"/>
  <c r="AG26" i="54"/>
  <c r="D26" i="71"/>
  <c r="AF26" i="54"/>
  <c r="C26" i="73" s="1"/>
  <c r="D26" i="73" s="1"/>
  <c r="W26" i="71" l="1"/>
  <c r="AC26" i="71" s="1"/>
  <c r="F27" i="54"/>
  <c r="G27" i="54" s="1"/>
  <c r="I26" i="73"/>
  <c r="N27" i="54" s="1"/>
  <c r="AF26" i="71"/>
  <c r="Y19" i="78" s="1"/>
  <c r="Y24" i="78" s="1"/>
  <c r="G26" i="71"/>
  <c r="O26" i="71" s="1"/>
  <c r="AD26" i="71" s="1"/>
  <c r="L34" i="69"/>
  <c r="M34" i="69"/>
  <c r="D29" i="60" s="1"/>
  <c r="J27" i="54" s="1"/>
  <c r="P27" i="54" l="1"/>
  <c r="K26" i="70"/>
  <c r="N34" i="69"/>
  <c r="C29" i="60"/>
  <c r="M26" i="70" l="1"/>
  <c r="Z9" i="78"/>
  <c r="Z11" i="78" s="1"/>
  <c r="E29" i="60"/>
  <c r="K27" i="54"/>
  <c r="N26" i="70" s="1"/>
  <c r="AC27" i="54"/>
  <c r="X27" i="54"/>
  <c r="Z12" i="78" l="1"/>
  <c r="Z13" i="78" s="1"/>
  <c r="Z17" i="78"/>
  <c r="AO27" i="54"/>
  <c r="AP27" i="54" s="1"/>
  <c r="E26" i="73"/>
  <c r="O26" i="70"/>
  <c r="AD27" i="54" l="1"/>
  <c r="F26" i="73"/>
  <c r="W26" i="70"/>
  <c r="AS27" i="54"/>
  <c r="AU27" i="54"/>
  <c r="AV27" i="54" l="1"/>
  <c r="AW27" i="54" s="1"/>
  <c r="Z27" i="71" s="1"/>
  <c r="AB27" i="71" s="1"/>
  <c r="R34" i="69"/>
  <c r="E27" i="71"/>
  <c r="AI27" i="71" s="1"/>
  <c r="Z22" i="78" s="1"/>
  <c r="O34" i="69"/>
  <c r="S34" i="69" l="1"/>
  <c r="AX27" i="54"/>
  <c r="T27" i="71" s="1"/>
  <c r="S26" i="70"/>
  <c r="P26" i="70"/>
  <c r="Z14" i="78" s="1"/>
  <c r="Z15" i="78" s="1"/>
  <c r="Z18" i="78" s="1"/>
  <c r="F29" i="60"/>
  <c r="H27" i="54" s="1"/>
  <c r="L27" i="54" s="1"/>
  <c r="Z27" i="54" s="1"/>
  <c r="AE27" i="54" s="1"/>
  <c r="P34" i="69"/>
  <c r="X26" i="70" l="1"/>
  <c r="Q26" i="70"/>
  <c r="Y26" i="70" s="1"/>
  <c r="C35" i="69"/>
  <c r="K26" i="73"/>
  <c r="L26" i="73" s="1"/>
  <c r="S27" i="71"/>
  <c r="T26" i="70"/>
  <c r="AF27" i="54"/>
  <c r="C27" i="73" s="1"/>
  <c r="D27" i="73" s="1"/>
  <c r="P27" i="71"/>
  <c r="D27" i="71"/>
  <c r="AG27" i="54"/>
  <c r="R26" i="70" l="1"/>
  <c r="W27" i="71"/>
  <c r="AC27" i="71" s="1"/>
  <c r="F28" i="54"/>
  <c r="G28" i="54" s="1"/>
  <c r="I27" i="73"/>
  <c r="N28" i="54" s="1"/>
  <c r="AF27" i="71"/>
  <c r="Z19" i="78" s="1"/>
  <c r="Z24" i="78" s="1"/>
  <c r="G27" i="71"/>
  <c r="O27" i="71" s="1"/>
  <c r="M35" i="69"/>
  <c r="D30" i="60" s="1"/>
  <c r="J28" i="54" s="1"/>
  <c r="L35" i="69"/>
  <c r="AD27" i="71" l="1"/>
  <c r="C30" i="60"/>
  <c r="N35" i="69"/>
  <c r="P28" i="54"/>
  <c r="K27" i="70"/>
  <c r="AC28" i="54" l="1"/>
  <c r="X28" i="54"/>
  <c r="K28" i="54"/>
  <c r="N27" i="70" s="1"/>
  <c r="E30" i="60"/>
  <c r="M27" i="70"/>
  <c r="AA9" i="78"/>
  <c r="AA11" i="78" s="1"/>
  <c r="AO28" i="54" l="1"/>
  <c r="AP28" i="54" s="1"/>
  <c r="AS28" i="54" s="1"/>
  <c r="AA17" i="78"/>
  <c r="AA12" i="78"/>
  <c r="AA13" i="78" s="1"/>
  <c r="O27" i="70"/>
  <c r="E27" i="73"/>
  <c r="AU28" i="54" l="1"/>
  <c r="AV28" i="54" s="1"/>
  <c r="AD28" i="54"/>
  <c r="F27" i="73"/>
  <c r="W27" i="70"/>
  <c r="AW28" i="54" l="1"/>
  <c r="AX28" i="54"/>
  <c r="T28" i="71" s="1"/>
  <c r="P27" i="70"/>
  <c r="Q27" i="70" s="1"/>
  <c r="E28" i="71"/>
  <c r="AI28" i="71" s="1"/>
  <c r="AA22" i="78" s="1"/>
  <c r="R35" i="69"/>
  <c r="O35" i="69"/>
  <c r="S35" i="69" l="1"/>
  <c r="AA14" i="78"/>
  <c r="AA15" i="78" s="1"/>
  <c r="AA18" i="78" s="1"/>
  <c r="S27" i="70"/>
  <c r="T27" i="70" s="1"/>
  <c r="Z28" i="71"/>
  <c r="AB28" i="71" s="1"/>
  <c r="X27" i="70"/>
  <c r="F30" i="60"/>
  <c r="H28" i="54" s="1"/>
  <c r="L28" i="54" s="1"/>
  <c r="Z28" i="54" s="1"/>
  <c r="AE28" i="54" s="1"/>
  <c r="P35" i="69"/>
  <c r="Y27" i="70"/>
  <c r="R27" i="70"/>
  <c r="K27" i="73" l="1"/>
  <c r="L27" i="73" s="1"/>
  <c r="S28" i="71"/>
  <c r="C36" i="69"/>
  <c r="AG28" i="54"/>
  <c r="D28" i="71"/>
  <c r="P28" i="71"/>
  <c r="W28" i="71" s="1"/>
  <c r="AC28" i="71" s="1"/>
  <c r="AF28" i="54"/>
  <c r="C28" i="73" s="1"/>
  <c r="D28" i="73" s="1"/>
  <c r="F29" i="54" l="1"/>
  <c r="G29" i="54" s="1"/>
  <c r="I28" i="73"/>
  <c r="N29" i="54" s="1"/>
  <c r="L36" i="69"/>
  <c r="M36" i="69"/>
  <c r="D31" i="60" s="1"/>
  <c r="J29" i="54" s="1"/>
  <c r="G28" i="71"/>
  <c r="O28" i="71" s="1"/>
  <c r="AD28" i="71" s="1"/>
  <c r="AF28" i="71"/>
  <c r="AA19" i="78" s="1"/>
  <c r="AA24" i="78" s="1"/>
  <c r="N36" i="69" l="1"/>
  <c r="C31" i="60"/>
  <c r="P29" i="54"/>
  <c r="K28" i="70"/>
  <c r="AC29" i="54" l="1"/>
  <c r="X29" i="54"/>
  <c r="K29" i="54"/>
  <c r="N28" i="70" s="1"/>
  <c r="E31" i="60"/>
  <c r="AB9" i="78"/>
  <c r="AB11" i="78" s="1"/>
  <c r="M28" i="70"/>
  <c r="AB17" i="78" l="1"/>
  <c r="AB12" i="78"/>
  <c r="AB13" i="78" s="1"/>
  <c r="O28" i="70"/>
  <c r="AO29" i="54"/>
  <c r="AP29" i="54" s="1"/>
  <c r="E28" i="73"/>
  <c r="AU29" i="54" l="1"/>
  <c r="AS29" i="54"/>
  <c r="AD29" i="54"/>
  <c r="F28" i="73"/>
  <c r="W28" i="70"/>
  <c r="AV29" i="54" l="1"/>
  <c r="AX29" i="54" s="1"/>
  <c r="E29" i="71"/>
  <c r="AI29" i="71" s="1"/>
  <c r="AB22" i="78" s="1"/>
  <c r="R36" i="69"/>
  <c r="O36" i="69"/>
  <c r="P28" i="70"/>
  <c r="AW29" i="54" l="1"/>
  <c r="Z29" i="71" s="1"/>
  <c r="AB29" i="71" s="1"/>
  <c r="S36" i="69"/>
  <c r="X28" i="70"/>
  <c r="AB14" i="78"/>
  <c r="AB15" i="78" s="1"/>
  <c r="AB18" i="78" s="1"/>
  <c r="Q28" i="70"/>
  <c r="T29" i="71"/>
  <c r="F31" i="60"/>
  <c r="H29" i="54" s="1"/>
  <c r="L29" i="54" s="1"/>
  <c r="Z29" i="54" s="1"/>
  <c r="AE29" i="54" s="1"/>
  <c r="P36" i="69"/>
  <c r="S28" i="70" l="1"/>
  <c r="T28" i="70" s="1"/>
  <c r="D29" i="71"/>
  <c r="P29" i="71"/>
  <c r="AG29" i="54"/>
  <c r="AF29" i="54"/>
  <c r="C29" i="73" s="1"/>
  <c r="D29" i="73" s="1"/>
  <c r="Y28" i="70"/>
  <c r="R28" i="70"/>
  <c r="K28" i="73"/>
  <c r="L28" i="73" s="1"/>
  <c r="C37" i="69"/>
  <c r="S29" i="71"/>
  <c r="F30" i="54" l="1"/>
  <c r="G30" i="54" s="1"/>
  <c r="I29" i="73"/>
  <c r="N30" i="54" s="1"/>
  <c r="L37" i="69"/>
  <c r="M37" i="69"/>
  <c r="D32" i="60" s="1"/>
  <c r="J30" i="54" s="1"/>
  <c r="W29" i="71"/>
  <c r="AC29" i="71" s="1"/>
  <c r="G29" i="71"/>
  <c r="O29" i="71" s="1"/>
  <c r="AF29" i="71"/>
  <c r="AB19" i="78" s="1"/>
  <c r="AB24" i="78" s="1"/>
  <c r="AD29" i="71" l="1"/>
  <c r="N37" i="69"/>
  <c r="C32" i="60"/>
  <c r="K29" i="70"/>
  <c r="P30" i="54"/>
  <c r="E32" i="60" l="1"/>
  <c r="K30" i="54"/>
  <c r="N29" i="70" s="1"/>
  <c r="AC30" i="54"/>
  <c r="X30" i="54"/>
  <c r="AC9" i="78"/>
  <c r="AC11" i="78" s="1"/>
  <c r="M29" i="70"/>
  <c r="O29" i="70" l="1"/>
  <c r="W29" i="70" s="1"/>
  <c r="E29" i="73"/>
  <c r="AC12" i="78"/>
  <c r="AC13" i="78" s="1"/>
  <c r="AC17" i="78"/>
  <c r="AO30" i="54"/>
  <c r="AP30" i="54" s="1"/>
  <c r="AS30" i="54" l="1"/>
  <c r="AU30" i="54"/>
  <c r="AD30" i="54"/>
  <c r="F29" i="73"/>
  <c r="O37" i="69" l="1"/>
  <c r="E30" i="71"/>
  <c r="AI30" i="71" s="1"/>
  <c r="AC22" i="78" s="1"/>
  <c r="R37" i="69"/>
  <c r="AV30" i="54"/>
  <c r="S37" i="69" l="1"/>
  <c r="P29" i="70"/>
  <c r="AX30" i="54"/>
  <c r="AW30" i="54"/>
  <c r="F32" i="60"/>
  <c r="H30" i="54" s="1"/>
  <c r="L30" i="54" s="1"/>
  <c r="Z30" i="54" s="1"/>
  <c r="AE30" i="54" s="1"/>
  <c r="P37" i="69"/>
  <c r="AF30" i="54" l="1"/>
  <c r="C30" i="73" s="1"/>
  <c r="D30" i="73" s="1"/>
  <c r="D30" i="71"/>
  <c r="AG30" i="54"/>
  <c r="P30" i="71"/>
  <c r="Z30" i="71"/>
  <c r="AB30" i="71" s="1"/>
  <c r="S29" i="70"/>
  <c r="T30" i="71"/>
  <c r="S30" i="71"/>
  <c r="K29" i="73"/>
  <c r="L29" i="73" s="1"/>
  <c r="C38" i="69"/>
  <c r="AC14" i="78"/>
  <c r="AC15" i="78" s="1"/>
  <c r="AC18" i="78" s="1"/>
  <c r="X29" i="70"/>
  <c r="Q29" i="70"/>
  <c r="L38" i="69" l="1"/>
  <c r="M38" i="69"/>
  <c r="D33" i="60" s="1"/>
  <c r="J31" i="54" s="1"/>
  <c r="W30" i="71"/>
  <c r="AC30" i="71" s="1"/>
  <c r="T29" i="70"/>
  <c r="Y29" i="70"/>
  <c r="R29" i="70"/>
  <c r="G30" i="71"/>
  <c r="O30" i="71" s="1"/>
  <c r="AD30" i="71" s="1"/>
  <c r="AF30" i="71"/>
  <c r="AC19" i="78" s="1"/>
  <c r="AC24" i="78" s="1"/>
  <c r="F31" i="54"/>
  <c r="G31" i="54" s="1"/>
  <c r="I30" i="73"/>
  <c r="N31" i="54" s="1"/>
  <c r="P31" i="54" l="1"/>
  <c r="AC31" i="54" s="1"/>
  <c r="K30" i="70"/>
  <c r="C33" i="60"/>
  <c r="N38" i="69"/>
  <c r="E30" i="73" l="1"/>
  <c r="M30" i="70"/>
  <c r="AD9" i="78"/>
  <c r="AD11" i="78" s="1"/>
  <c r="K31" i="54"/>
  <c r="N30" i="70" s="1"/>
  <c r="E33" i="60"/>
  <c r="X31" i="54"/>
  <c r="AO31" i="54" l="1"/>
  <c r="AP31" i="54" s="1"/>
  <c r="O30" i="70"/>
  <c r="AD31" i="54"/>
  <c r="F30" i="73"/>
  <c r="AD17" i="78"/>
  <c r="AD12" i="78"/>
  <c r="AD13" i="78" s="1"/>
  <c r="O38" i="69" l="1"/>
  <c r="W30" i="70"/>
  <c r="AS31" i="54"/>
  <c r="AU31" i="54"/>
  <c r="R38" i="69"/>
  <c r="E31" i="71"/>
  <c r="AI31" i="71" s="1"/>
  <c r="AD22" i="78" s="1"/>
  <c r="S38" i="69" l="1"/>
  <c r="F33" i="60"/>
  <c r="H31" i="54" s="1"/>
  <c r="L31" i="54" s="1"/>
  <c r="Z31" i="54" s="1"/>
  <c r="AE31" i="54" s="1"/>
  <c r="P38" i="69"/>
  <c r="AV31" i="54"/>
  <c r="P30" i="70" l="1"/>
  <c r="AX31" i="54"/>
  <c r="AW31" i="54"/>
  <c r="C39" i="69"/>
  <c r="K30" i="73"/>
  <c r="L30" i="73" s="1"/>
  <c r="S31" i="71"/>
  <c r="P31" i="71"/>
  <c r="D31" i="71"/>
  <c r="AG31" i="54"/>
  <c r="AF31" i="54"/>
  <c r="C31" i="73" s="1"/>
  <c r="D31" i="73" s="1"/>
  <c r="G31" i="71" l="1"/>
  <c r="O31" i="71" s="1"/>
  <c r="AF31" i="71"/>
  <c r="AD19" i="78" s="1"/>
  <c r="L39" i="69"/>
  <c r="M39" i="69"/>
  <c r="D34" i="60" s="1"/>
  <c r="J32" i="54" s="1"/>
  <c r="S30" i="70"/>
  <c r="Z31" i="71"/>
  <c r="AB31" i="71" s="1"/>
  <c r="F32" i="54"/>
  <c r="G32" i="54" s="1"/>
  <c r="I31" i="73"/>
  <c r="N32" i="54" s="1"/>
  <c r="T31" i="71"/>
  <c r="W31" i="71" s="1"/>
  <c r="X30" i="70"/>
  <c r="AD14" i="78"/>
  <c r="AD15" i="78" s="1"/>
  <c r="AD18" i="78" s="1"/>
  <c r="Q30" i="70"/>
  <c r="AD24" i="78" l="1"/>
  <c r="AC31" i="71"/>
  <c r="AD31" i="71" s="1"/>
  <c r="Y30" i="70"/>
  <c r="T30" i="70"/>
  <c r="R30" i="70"/>
  <c r="C34" i="60"/>
  <c r="N39" i="69"/>
  <c r="K31" i="70"/>
  <c r="P32" i="54"/>
  <c r="AC32" i="54" l="1"/>
  <c r="X32" i="54"/>
  <c r="AE9" i="78"/>
  <c r="AE11" i="78" s="1"/>
  <c r="M31" i="70"/>
  <c r="E34" i="60"/>
  <c r="K32" i="54"/>
  <c r="N31" i="70" s="1"/>
  <c r="O31" i="70" l="1"/>
  <c r="W31" i="70" s="1"/>
  <c r="AE17" i="78"/>
  <c r="AE12" i="78"/>
  <c r="AE13" i="78" s="1"/>
  <c r="AO32" i="54"/>
  <c r="AP32" i="54" s="1"/>
  <c r="E31" i="73"/>
  <c r="AD32" i="54" l="1"/>
  <c r="F31" i="73"/>
  <c r="AS32" i="54"/>
  <c r="AU32" i="54"/>
  <c r="AV32" i="54" l="1"/>
  <c r="P31" i="70" s="1"/>
  <c r="Y36" i="54"/>
  <c r="Y38" i="54"/>
  <c r="E32" i="71"/>
  <c r="R39" i="69"/>
  <c r="AW32" i="54"/>
  <c r="O39" i="69"/>
  <c r="S39" i="69" l="1"/>
  <c r="Y11" i="76"/>
  <c r="AX32" i="54"/>
  <c r="T32" i="71" s="1"/>
  <c r="E30" i="74" s="1"/>
  <c r="E33" i="74" s="1"/>
  <c r="F34" i="60"/>
  <c r="H32" i="54" s="1"/>
  <c r="L32" i="54" s="1"/>
  <c r="Z32" i="54" s="1"/>
  <c r="AE32" i="54" s="1"/>
  <c r="P39" i="69"/>
  <c r="S31" i="70"/>
  <c r="Y32" i="71"/>
  <c r="Z32" i="71" s="1"/>
  <c r="AI32" i="71"/>
  <c r="AE22" i="78" s="1"/>
  <c r="E10" i="74"/>
  <c r="X31" i="70"/>
  <c r="AE14" i="78"/>
  <c r="AE15" i="78" s="1"/>
  <c r="AE18" i="78" s="1"/>
  <c r="Q31" i="70"/>
  <c r="AB32" i="71" l="1"/>
  <c r="E37" i="74"/>
  <c r="AA33" i="71"/>
  <c r="AA34" i="71" s="1"/>
  <c r="AA35" i="71" s="1"/>
  <c r="AA36" i="71" s="1"/>
  <c r="AA37" i="71" s="1"/>
  <c r="AA38" i="71" s="1"/>
  <c r="AA39" i="71" s="1"/>
  <c r="AA40" i="71" s="1"/>
  <c r="AA41" i="71" s="1"/>
  <c r="AA42" i="71" s="1"/>
  <c r="AA43" i="71" s="1"/>
  <c r="AA44" i="71" s="1"/>
  <c r="F38" i="74" s="1"/>
  <c r="T31" i="70"/>
  <c r="Y31" i="70"/>
  <c r="R31" i="70"/>
  <c r="E36" i="74"/>
  <c r="Y33" i="71"/>
  <c r="Y34" i="71" s="1"/>
  <c r="Y35" i="71" s="1"/>
  <c r="Y36" i="71" s="1"/>
  <c r="Y37" i="71" s="1"/>
  <c r="Y38" i="71" s="1"/>
  <c r="Y39" i="71" s="1"/>
  <c r="Y40" i="71" s="1"/>
  <c r="Y41" i="71" s="1"/>
  <c r="Y42" i="71" s="1"/>
  <c r="Y43" i="71" s="1"/>
  <c r="K31" i="73"/>
  <c r="L31" i="73" s="1"/>
  <c r="S32" i="71"/>
  <c r="E27" i="74" s="1"/>
  <c r="C40" i="69"/>
  <c r="P32" i="71"/>
  <c r="D32" i="71"/>
  <c r="AF32" i="54"/>
  <c r="C32" i="73" s="1"/>
  <c r="D32" i="73" s="1"/>
  <c r="AG32" i="54"/>
  <c r="E39" i="74" l="1"/>
  <c r="M40" i="69"/>
  <c r="D35" i="60" s="1"/>
  <c r="J33" i="54" s="1"/>
  <c r="L40" i="69"/>
  <c r="F33" i="54"/>
  <c r="G33" i="54" s="1"/>
  <c r="I32" i="73"/>
  <c r="N33" i="54" s="1"/>
  <c r="E9" i="74"/>
  <c r="E12" i="74" s="1"/>
  <c r="E22" i="74" s="1"/>
  <c r="G32" i="71"/>
  <c r="O32" i="71" s="1"/>
  <c r="AF32" i="71"/>
  <c r="AE19" i="78" s="1"/>
  <c r="AE24" i="78" s="1"/>
  <c r="W32" i="71"/>
  <c r="AC32" i="71" s="1"/>
  <c r="E24" i="74"/>
  <c r="E28" i="74" s="1"/>
  <c r="E34" i="74" s="1"/>
  <c r="E40" i="74" l="1"/>
  <c r="E41" i="74" s="1"/>
  <c r="P33" i="54"/>
  <c r="AC33" i="54" s="1"/>
  <c r="K32" i="70"/>
  <c r="AD32" i="71"/>
  <c r="C35" i="60"/>
  <c r="N40" i="69"/>
  <c r="E35" i="60" l="1"/>
  <c r="K33" i="54"/>
  <c r="N32" i="70" s="1"/>
  <c r="E32" i="73"/>
  <c r="AF9" i="78"/>
  <c r="M32" i="70"/>
  <c r="X33" i="54"/>
  <c r="AF11" i="78" l="1"/>
  <c r="AO33" i="54"/>
  <c r="AP33" i="54" s="1"/>
  <c r="O32" i="70"/>
  <c r="W32" i="70" s="1"/>
  <c r="AD33" i="54"/>
  <c r="F32" i="73"/>
  <c r="AF12" i="78"/>
  <c r="AF17" i="78"/>
  <c r="AF13" i="78" l="1"/>
  <c r="O40" i="69"/>
  <c r="E33" i="71"/>
  <c r="AI33" i="71" s="1"/>
  <c r="AF22" i="78" s="1"/>
  <c r="R40" i="69"/>
  <c r="AU33" i="54"/>
  <c r="AS33" i="54"/>
  <c r="S40" i="69" l="1"/>
  <c r="F35" i="60"/>
  <c r="H33" i="54" s="1"/>
  <c r="L33" i="54" s="1"/>
  <c r="Z33" i="54" s="1"/>
  <c r="AE33" i="54" s="1"/>
  <c r="P40" i="69"/>
  <c r="AV33" i="54"/>
  <c r="P33" i="71" l="1"/>
  <c r="D33" i="71"/>
  <c r="AG33" i="54"/>
  <c r="AF33" i="54"/>
  <c r="C33" i="73" s="1"/>
  <c r="D33" i="73" s="1"/>
  <c r="P32" i="70"/>
  <c r="AX33" i="54"/>
  <c r="AW33" i="54"/>
  <c r="K32" i="73"/>
  <c r="L32" i="73" s="1"/>
  <c r="S33" i="71"/>
  <c r="C41" i="69"/>
  <c r="Z33" i="71" l="1"/>
  <c r="AB33" i="71" s="1"/>
  <c r="S32" i="70"/>
  <c r="F34" i="54"/>
  <c r="G34" i="54" s="1"/>
  <c r="I33" i="73"/>
  <c r="N34" i="54" s="1"/>
  <c r="T33" i="71"/>
  <c r="W33" i="71" s="1"/>
  <c r="M41" i="69"/>
  <c r="D36" i="60" s="1"/>
  <c r="J34" i="54" s="1"/>
  <c r="L41" i="69"/>
  <c r="AF14" i="78"/>
  <c r="X32" i="70"/>
  <c r="Q32" i="70"/>
  <c r="G33" i="71"/>
  <c r="O33" i="71" s="1"/>
  <c r="AF33" i="71"/>
  <c r="AF19" i="78" s="1"/>
  <c r="AF15" i="78" l="1"/>
  <c r="AF18" i="78" s="1"/>
  <c r="AF24" i="78" s="1"/>
  <c r="AC33" i="71"/>
  <c r="AD33" i="71" s="1"/>
  <c r="P34" i="54"/>
  <c r="AC34" i="54" s="1"/>
  <c r="K33" i="70"/>
  <c r="T32" i="70"/>
  <c r="R32" i="70"/>
  <c r="Y32" i="70"/>
  <c r="C36" i="60"/>
  <c r="N41" i="69"/>
  <c r="E33" i="73" l="1"/>
  <c r="AG9" i="78"/>
  <c r="M33" i="70"/>
  <c r="E36" i="60"/>
  <c r="K34" i="54"/>
  <c r="N33" i="70" s="1"/>
  <c r="X34" i="54"/>
  <c r="AG11" i="78" l="1"/>
  <c r="AO34" i="54"/>
  <c r="O33" i="70"/>
  <c r="AD34" i="54"/>
  <c r="F33" i="73"/>
  <c r="AG17" i="78"/>
  <c r="AG12" i="78"/>
  <c r="AG13" i="78" l="1"/>
  <c r="O41" i="69"/>
  <c r="W33" i="70"/>
  <c r="E34" i="71"/>
  <c r="AI34" i="71" s="1"/>
  <c r="AG22" i="78" s="1"/>
  <c r="R41" i="69"/>
  <c r="AP34" i="54"/>
  <c r="S41" i="69" l="1"/>
  <c r="AS34" i="54"/>
  <c r="AU34" i="54"/>
  <c r="F36" i="60"/>
  <c r="H34" i="54" s="1"/>
  <c r="L34" i="54" s="1"/>
  <c r="Z34" i="54" s="1"/>
  <c r="AE34" i="54" s="1"/>
  <c r="P41" i="69"/>
  <c r="AF34" i="54" l="1"/>
  <c r="C34" i="73" s="1"/>
  <c r="D34" i="73" s="1"/>
  <c r="P34" i="71"/>
  <c r="AG34" i="54"/>
  <c r="D34" i="71"/>
  <c r="K33" i="73"/>
  <c r="L33" i="73" s="1"/>
  <c r="C42" i="69"/>
  <c r="S34" i="71"/>
  <c r="AV34" i="54"/>
  <c r="G34" i="71" l="1"/>
  <c r="O34" i="71" s="1"/>
  <c r="AF34" i="71"/>
  <c r="AG19" i="78" s="1"/>
  <c r="M42" i="69"/>
  <c r="D37" i="60" s="1"/>
  <c r="J35" i="54" s="1"/>
  <c r="L42" i="69"/>
  <c r="P33" i="70"/>
  <c r="AX34" i="54"/>
  <c r="AW34" i="54"/>
  <c r="F35" i="54"/>
  <c r="G35" i="54" s="1"/>
  <c r="I34" i="73"/>
  <c r="N35" i="54" s="1"/>
  <c r="AG14" i="78" l="1"/>
  <c r="X33" i="70"/>
  <c r="Q33" i="70"/>
  <c r="S33" i="70"/>
  <c r="Z34" i="71"/>
  <c r="AB34" i="71" s="1"/>
  <c r="C37" i="60"/>
  <c r="N42" i="69"/>
  <c r="T34" i="71"/>
  <c r="W34" i="71" s="1"/>
  <c r="P35" i="54"/>
  <c r="AC35" i="54" s="1"/>
  <c r="K34" i="70"/>
  <c r="AG15" i="78" l="1"/>
  <c r="AG18" i="78" s="1"/>
  <c r="AG24" i="78" s="1"/>
  <c r="E34" i="73"/>
  <c r="AC34" i="71"/>
  <c r="AD34" i="71" s="1"/>
  <c r="M34" i="70"/>
  <c r="AH9" i="78"/>
  <c r="T33" i="70"/>
  <c r="Y33" i="70"/>
  <c r="R33" i="70"/>
  <c r="X35" i="54"/>
  <c r="E37" i="60"/>
  <c r="K35" i="54"/>
  <c r="N34" i="70" s="1"/>
  <c r="AH11" i="78" l="1"/>
  <c r="AH12" i="78"/>
  <c r="AH17" i="78"/>
  <c r="O34" i="70"/>
  <c r="AO35" i="54"/>
  <c r="AD35" i="54"/>
  <c r="F34" i="73"/>
  <c r="AH13" i="78" l="1"/>
  <c r="E35" i="71"/>
  <c r="AI35" i="71" s="1"/>
  <c r="AH22" i="78" s="1"/>
  <c r="R42" i="69"/>
  <c r="AP35" i="54"/>
  <c r="O42" i="69"/>
  <c r="W34" i="70"/>
  <c r="S42" i="69" l="1"/>
  <c r="AU35" i="54"/>
  <c r="AS35" i="54"/>
  <c r="F37" i="60"/>
  <c r="H35" i="54" s="1"/>
  <c r="L35" i="54" s="1"/>
  <c r="Z35" i="54" s="1"/>
  <c r="AE35" i="54" s="1"/>
  <c r="P42" i="69"/>
  <c r="AV35" i="54" l="1"/>
  <c r="AW35" i="54" s="1"/>
  <c r="S34" i="70" s="1"/>
  <c r="AG35" i="54"/>
  <c r="AF35" i="54"/>
  <c r="C35" i="73" s="1"/>
  <c r="D35" i="73" s="1"/>
  <c r="P35" i="71"/>
  <c r="D35" i="71"/>
  <c r="K34" i="73"/>
  <c r="L34" i="73" s="1"/>
  <c r="S35" i="71"/>
  <c r="C43" i="69"/>
  <c r="AX35" i="54" l="1"/>
  <c r="Z35" i="71"/>
  <c r="AB35" i="71" s="1"/>
  <c r="P34" i="70"/>
  <c r="AH14" i="78" s="1"/>
  <c r="F36" i="54"/>
  <c r="G36" i="54" s="1"/>
  <c r="I35" i="73"/>
  <c r="N36" i="54" s="1"/>
  <c r="L43" i="69"/>
  <c r="M43" i="69"/>
  <c r="D38" i="60" s="1"/>
  <c r="J36" i="54" s="1"/>
  <c r="G35" i="71"/>
  <c r="O35" i="71" s="1"/>
  <c r="AF35" i="71"/>
  <c r="AH19" i="78" s="1"/>
  <c r="T35" i="71"/>
  <c r="W35" i="71" s="1"/>
  <c r="AC35" i="71" s="1"/>
  <c r="AH15" i="78" l="1"/>
  <c r="AH18" i="78" s="1"/>
  <c r="AH24" i="78" s="1"/>
  <c r="Q34" i="70"/>
  <c r="T34" i="70" s="1"/>
  <c r="AD35" i="71"/>
  <c r="X34" i="70"/>
  <c r="C38" i="60"/>
  <c r="N43" i="69"/>
  <c r="P36" i="54"/>
  <c r="AC36" i="54" s="1"/>
  <c r="K35" i="70"/>
  <c r="R34" i="70" l="1"/>
  <c r="Y34" i="70"/>
  <c r="X36" i="54"/>
  <c r="K36" i="54"/>
  <c r="N35" i="70" s="1"/>
  <c r="E38" i="60"/>
  <c r="M35" i="70"/>
  <c r="AI9" i="78"/>
  <c r="E35" i="73"/>
  <c r="AI11" i="78" l="1"/>
  <c r="AD36" i="54"/>
  <c r="F35" i="73"/>
  <c r="AI12" i="78"/>
  <c r="AI17" i="78"/>
  <c r="AO36" i="54"/>
  <c r="O35" i="70"/>
  <c r="AI13" i="78" l="1"/>
  <c r="AP36" i="54"/>
  <c r="R43" i="69"/>
  <c r="E36" i="71"/>
  <c r="AI36" i="71" s="1"/>
  <c r="AI22" i="78" s="1"/>
  <c r="W35" i="70"/>
  <c r="O43" i="69"/>
  <c r="S43" i="69" l="1"/>
  <c r="F38" i="60"/>
  <c r="H36" i="54" s="1"/>
  <c r="L36" i="54" s="1"/>
  <c r="Z36" i="54" s="1"/>
  <c r="AE36" i="54" s="1"/>
  <c r="P43" i="69"/>
  <c r="AU36" i="54"/>
  <c r="AS36" i="54"/>
  <c r="AV36" i="54" l="1"/>
  <c r="AW36" i="54" s="1"/>
  <c r="S35" i="70" s="1"/>
  <c r="C44" i="69"/>
  <c r="K35" i="73"/>
  <c r="L35" i="73" s="1"/>
  <c r="S36" i="71"/>
  <c r="AF36" i="54"/>
  <c r="C36" i="73" s="1"/>
  <c r="D36" i="73" s="1"/>
  <c r="P36" i="71"/>
  <c r="D36" i="71"/>
  <c r="AG36" i="54"/>
  <c r="Z36" i="71" l="1"/>
  <c r="AB36" i="71" s="1"/>
  <c r="AX36" i="54"/>
  <c r="P35" i="70"/>
  <c r="AI14" i="78" s="1"/>
  <c r="F37" i="54"/>
  <c r="G37" i="54" s="1"/>
  <c r="I36" i="73"/>
  <c r="N37" i="54" s="1"/>
  <c r="T36" i="71"/>
  <c r="W36" i="71" s="1"/>
  <c r="G36" i="71"/>
  <c r="O36" i="71" s="1"/>
  <c r="AF36" i="71"/>
  <c r="AI19" i="78" s="1"/>
  <c r="L44" i="69"/>
  <c r="M44" i="69"/>
  <c r="D39" i="60" s="1"/>
  <c r="J37" i="54" s="1"/>
  <c r="AI15" i="78" l="1"/>
  <c r="AI18" i="78" s="1"/>
  <c r="AI24" i="78" s="1"/>
  <c r="AC36" i="71"/>
  <c r="AD36" i="71" s="1"/>
  <c r="X35" i="70"/>
  <c r="Q35" i="70"/>
  <c r="T35" i="70" s="1"/>
  <c r="C39" i="60"/>
  <c r="N44" i="69"/>
  <c r="P37" i="54"/>
  <c r="K36" i="70"/>
  <c r="R35" i="70" l="1"/>
  <c r="Y35" i="70"/>
  <c r="X37" i="54"/>
  <c r="AC37" i="54"/>
  <c r="AJ9" i="78"/>
  <c r="M36" i="70"/>
  <c r="K37" i="54"/>
  <c r="N36" i="70" s="1"/>
  <c r="E39" i="60"/>
  <c r="AJ11" i="78" l="1"/>
  <c r="E36" i="73"/>
  <c r="AJ17" i="78"/>
  <c r="AJ12" i="78"/>
  <c r="AO37" i="54"/>
  <c r="AP37" i="54" s="1"/>
  <c r="O36" i="70"/>
  <c r="AJ13" i="78" l="1"/>
  <c r="W36" i="70"/>
  <c r="AD37" i="54"/>
  <c r="F36" i="73"/>
  <c r="AU37" i="54"/>
  <c r="AS37" i="54"/>
  <c r="AV37" i="54" l="1"/>
  <c r="AW37" i="54" s="1"/>
  <c r="S36" i="70" s="1"/>
  <c r="R44" i="69"/>
  <c r="E37" i="71"/>
  <c r="AI37" i="71" s="1"/>
  <c r="AJ22" i="78" s="1"/>
  <c r="O44" i="69"/>
  <c r="P36" i="70" l="1"/>
  <c r="Q36" i="70" s="1"/>
  <c r="Z37" i="71"/>
  <c r="AB37" i="71" s="1"/>
  <c r="AX37" i="54"/>
  <c r="T37" i="71" s="1"/>
  <c r="S44" i="69"/>
  <c r="F39" i="60"/>
  <c r="H37" i="54" s="1"/>
  <c r="L37" i="54" s="1"/>
  <c r="Z37" i="54" s="1"/>
  <c r="AE37" i="54" s="1"/>
  <c r="P44" i="69"/>
  <c r="AJ14" i="78" l="1"/>
  <c r="X36" i="70"/>
  <c r="Y36" i="70"/>
  <c r="T36" i="70"/>
  <c r="R36" i="70"/>
  <c r="K36" i="73"/>
  <c r="L36" i="73" s="1"/>
  <c r="C45" i="69"/>
  <c r="S37" i="71"/>
  <c r="D37" i="71"/>
  <c r="AF37" i="54"/>
  <c r="C37" i="73" s="1"/>
  <c r="D37" i="73" s="1"/>
  <c r="AG37" i="54"/>
  <c r="P37" i="71"/>
  <c r="AJ15" i="78" l="1"/>
  <c r="AJ18" i="78" s="1"/>
  <c r="W37" i="71"/>
  <c r="AC37" i="71" s="1"/>
  <c r="M45" i="69"/>
  <c r="D40" i="60" s="1"/>
  <c r="J38" i="54" s="1"/>
  <c r="L45" i="69"/>
  <c r="F38" i="54"/>
  <c r="G38" i="54" s="1"/>
  <c r="I37" i="73"/>
  <c r="N38" i="54" s="1"/>
  <c r="AF37" i="71"/>
  <c r="AJ19" i="78" s="1"/>
  <c r="G37" i="71"/>
  <c r="O37" i="71" s="1"/>
  <c r="AD37" i="71" s="1"/>
  <c r="AJ24" i="78" l="1"/>
  <c r="K37" i="70"/>
  <c r="P38" i="54"/>
  <c r="C40" i="60"/>
  <c r="N45" i="69"/>
  <c r="K38" i="54" l="1"/>
  <c r="N37" i="70" s="1"/>
  <c r="E40" i="60"/>
  <c r="AC38" i="54"/>
  <c r="X38" i="54"/>
  <c r="AK9" i="78"/>
  <c r="AK11" i="78" s="1"/>
  <c r="M37" i="70"/>
  <c r="O37" i="70" l="1"/>
  <c r="W37" i="70" s="1"/>
  <c r="AO38" i="54"/>
  <c r="AP38" i="54" s="1"/>
  <c r="AU38" i="54" s="1"/>
  <c r="E37" i="73"/>
  <c r="AK12" i="78"/>
  <c r="AK13" i="78" s="1"/>
  <c r="AK17" i="78"/>
  <c r="AS38" i="54" l="1"/>
  <c r="AV38" i="54" s="1"/>
  <c r="AW38" i="54" s="1"/>
  <c r="AD38" i="54"/>
  <c r="F37" i="73"/>
  <c r="P37" i="70" l="1"/>
  <c r="Q37" i="70" s="1"/>
  <c r="AX38" i="54"/>
  <c r="T38" i="71" s="1"/>
  <c r="S37" i="70"/>
  <c r="Z38" i="71"/>
  <c r="AB38" i="71" s="1"/>
  <c r="R45" i="69"/>
  <c r="E38" i="71"/>
  <c r="AI38" i="71" s="1"/>
  <c r="AK22" i="78" s="1"/>
  <c r="O45" i="69"/>
  <c r="S45" i="69" l="1"/>
  <c r="X37" i="70"/>
  <c r="AK14" i="78"/>
  <c r="AK15" i="78" s="1"/>
  <c r="AK18" i="78" s="1"/>
  <c r="T37" i="70"/>
  <c r="Y37" i="70"/>
  <c r="R37" i="70"/>
  <c r="F40" i="60"/>
  <c r="H38" i="54" s="1"/>
  <c r="L38" i="54" s="1"/>
  <c r="Z38" i="54" s="1"/>
  <c r="AE38" i="54" s="1"/>
  <c r="P45" i="69"/>
  <c r="C46" i="69" l="1"/>
  <c r="K37" i="73"/>
  <c r="L37" i="73" s="1"/>
  <c r="S38" i="71"/>
  <c r="D38" i="71"/>
  <c r="AG38" i="54"/>
  <c r="P38" i="71"/>
  <c r="AF38" i="54"/>
  <c r="C38" i="73" s="1"/>
  <c r="D38" i="73" s="1"/>
  <c r="F39" i="54" l="1"/>
  <c r="G39" i="54" s="1"/>
  <c r="I38" i="73"/>
  <c r="N39" i="54" s="1"/>
  <c r="W38" i="71"/>
  <c r="AC38" i="71" s="1"/>
  <c r="L46" i="69"/>
  <c r="M46" i="69"/>
  <c r="D41" i="60" s="1"/>
  <c r="J39" i="54" s="1"/>
  <c r="AF38" i="71"/>
  <c r="AK19" i="78" s="1"/>
  <c r="AK24" i="78" s="1"/>
  <c r="G38" i="71"/>
  <c r="O38" i="71" s="1"/>
  <c r="AD38" i="71" l="1"/>
  <c r="K38" i="70"/>
  <c r="P39" i="54"/>
  <c r="N46" i="69"/>
  <c r="C41" i="60"/>
  <c r="AC39" i="54" l="1"/>
  <c r="X39" i="54"/>
  <c r="AL9" i="78"/>
  <c r="AL11" i="78" s="1"/>
  <c r="M38" i="70"/>
  <c r="E41" i="60"/>
  <c r="K39" i="54"/>
  <c r="N38" i="70" s="1"/>
  <c r="O38" i="70" l="1"/>
  <c r="AL17" i="78"/>
  <c r="AL12" i="78"/>
  <c r="AL13" i="78" s="1"/>
  <c r="AO39" i="54"/>
  <c r="AP39" i="54" s="1"/>
  <c r="W38" i="70"/>
  <c r="E38" i="73"/>
  <c r="AD39" i="54" l="1"/>
  <c r="F38" i="73"/>
  <c r="AS39" i="54"/>
  <c r="AU39" i="54"/>
  <c r="AV39" i="54" l="1"/>
  <c r="AW39" i="54" s="1"/>
  <c r="Z39" i="71" s="1"/>
  <c r="AB39" i="71" s="1"/>
  <c r="R46" i="69"/>
  <c r="E39" i="71"/>
  <c r="AI39" i="71" s="1"/>
  <c r="AL22" i="78" s="1"/>
  <c r="O46" i="69"/>
  <c r="S46" i="69" l="1"/>
  <c r="P38" i="70"/>
  <c r="X38" i="70" s="1"/>
  <c r="S38" i="70"/>
  <c r="AX39" i="54"/>
  <c r="T39" i="71" s="1"/>
  <c r="F41" i="60"/>
  <c r="H39" i="54" s="1"/>
  <c r="L39" i="54" s="1"/>
  <c r="Z39" i="54" s="1"/>
  <c r="AE39" i="54" s="1"/>
  <c r="P46" i="69"/>
  <c r="AL14" i="78" l="1"/>
  <c r="AL15" i="78" s="1"/>
  <c r="AL18" i="78" s="1"/>
  <c r="Q38" i="70"/>
  <c r="T38" i="70" s="1"/>
  <c r="R38" i="70"/>
  <c r="K38" i="73"/>
  <c r="L38" i="73" s="1"/>
  <c r="C47" i="69"/>
  <c r="S39" i="71"/>
  <c r="P39" i="71"/>
  <c r="W39" i="71" s="1"/>
  <c r="AC39" i="71" s="1"/>
  <c r="AG39" i="54"/>
  <c r="AF39" i="54"/>
  <c r="C39" i="73" s="1"/>
  <c r="D39" i="73" s="1"/>
  <c r="D39" i="71"/>
  <c r="Y38" i="70" l="1"/>
  <c r="AF39" i="71"/>
  <c r="AL19" i="78" s="1"/>
  <c r="AL24" i="78" s="1"/>
  <c r="G39" i="71"/>
  <c r="O39" i="71" s="1"/>
  <c r="AD39" i="71" s="1"/>
  <c r="M47" i="69"/>
  <c r="D42" i="60" s="1"/>
  <c r="J40" i="54" s="1"/>
  <c r="L47" i="69"/>
  <c r="F40" i="54"/>
  <c r="G40" i="54" s="1"/>
  <c r="I39" i="73"/>
  <c r="N40" i="54" s="1"/>
  <c r="K39" i="70" l="1"/>
  <c r="P40" i="54"/>
  <c r="AC40" i="54" s="1"/>
  <c r="N47" i="69"/>
  <c r="C42" i="60"/>
  <c r="E39" i="73" l="1"/>
  <c r="K40" i="54"/>
  <c r="N39" i="70" s="1"/>
  <c r="E42" i="60"/>
  <c r="M39" i="70"/>
  <c r="AM9" i="78"/>
  <c r="AM11" i="78" s="1"/>
  <c r="X40" i="54"/>
  <c r="AO40" i="54" l="1"/>
  <c r="AP40" i="54" s="1"/>
  <c r="AS40" i="54" s="1"/>
  <c r="O39" i="70"/>
  <c r="AM17" i="78"/>
  <c r="AM12" i="78"/>
  <c r="AM13" i="78" s="1"/>
  <c r="AD40" i="54"/>
  <c r="F39" i="73"/>
  <c r="AU40" i="54" l="1"/>
  <c r="AV40" i="54" s="1"/>
  <c r="R47" i="69"/>
  <c r="E40" i="71"/>
  <c r="AI40" i="71" s="1"/>
  <c r="AM22" i="78" s="1"/>
  <c r="O47" i="69"/>
  <c r="W39" i="70"/>
  <c r="P39" i="70" l="1"/>
  <c r="Q39" i="70" s="1"/>
  <c r="R39" i="70" s="1"/>
  <c r="AW40" i="54"/>
  <c r="S47" i="69"/>
  <c r="AX40" i="54"/>
  <c r="T40" i="71" s="1"/>
  <c r="Z40" i="71"/>
  <c r="AB40" i="71" s="1"/>
  <c r="S39" i="70"/>
  <c r="F42" i="60"/>
  <c r="H40" i="54" s="1"/>
  <c r="L40" i="54" s="1"/>
  <c r="Z40" i="54" s="1"/>
  <c r="AE40" i="54" s="1"/>
  <c r="P47" i="69"/>
  <c r="AM14" i="78" l="1"/>
  <c r="AM15" i="78" s="1"/>
  <c r="AM18" i="78" s="1"/>
  <c r="T39" i="70"/>
  <c r="Y39" i="70"/>
  <c r="X39" i="70"/>
  <c r="D40" i="71"/>
  <c r="AG40" i="54"/>
  <c r="AF40" i="54"/>
  <c r="C40" i="73" s="1"/>
  <c r="D40" i="73" s="1"/>
  <c r="P40" i="71"/>
  <c r="S40" i="71"/>
  <c r="C48" i="69"/>
  <c r="K39" i="73"/>
  <c r="L39" i="73" s="1"/>
  <c r="W40" i="71" l="1"/>
  <c r="AC40" i="71" s="1"/>
  <c r="F41" i="54"/>
  <c r="G41" i="54" s="1"/>
  <c r="I40" i="73"/>
  <c r="N41" i="54" s="1"/>
  <c r="M48" i="69"/>
  <c r="D43" i="60" s="1"/>
  <c r="J41" i="54" s="1"/>
  <c r="L48" i="69"/>
  <c r="AF40" i="71"/>
  <c r="AM19" i="78" s="1"/>
  <c r="AM24" i="78" s="1"/>
  <c r="G40" i="71"/>
  <c r="O40" i="71" s="1"/>
  <c r="AD40" i="71" l="1"/>
  <c r="P41" i="54"/>
  <c r="K40" i="70"/>
  <c r="N48" i="69"/>
  <c r="C43" i="60"/>
  <c r="AN9" i="78" l="1"/>
  <c r="AN11" i="78" s="1"/>
  <c r="M40" i="70"/>
  <c r="E43" i="60"/>
  <c r="K41" i="54"/>
  <c r="N40" i="70" s="1"/>
  <c r="AC41" i="54"/>
  <c r="X41" i="54"/>
  <c r="AN17" i="78" l="1"/>
  <c r="AN12" i="78"/>
  <c r="AN13" i="78" s="1"/>
  <c r="E40" i="73"/>
  <c r="AO41" i="54"/>
  <c r="AP41" i="54" s="1"/>
  <c r="O40" i="70"/>
  <c r="W40" i="70" l="1"/>
  <c r="AD41" i="54"/>
  <c r="F40" i="73"/>
  <c r="AU41" i="54"/>
  <c r="AS41" i="54"/>
  <c r="AV41" i="54" l="1"/>
  <c r="AW41" i="54" s="1"/>
  <c r="Z41" i="71" s="1"/>
  <c r="AB41" i="71" s="1"/>
  <c r="E41" i="71"/>
  <c r="AI41" i="71" s="1"/>
  <c r="AN22" i="78" s="1"/>
  <c r="R48" i="69"/>
  <c r="O48" i="69"/>
  <c r="P40" i="70"/>
  <c r="AX41" i="54"/>
  <c r="S40" i="70" l="1"/>
  <c r="S48" i="69"/>
  <c r="F43" i="60"/>
  <c r="H41" i="54" s="1"/>
  <c r="L41" i="54" s="1"/>
  <c r="Z41" i="54" s="1"/>
  <c r="AE41" i="54" s="1"/>
  <c r="P48" i="69"/>
  <c r="T41" i="71"/>
  <c r="X40" i="70"/>
  <c r="AN14" i="78"/>
  <c r="AN15" i="78" s="1"/>
  <c r="AN18" i="78" s="1"/>
  <c r="Q40" i="70"/>
  <c r="Y40" i="70" l="1"/>
  <c r="T40" i="70"/>
  <c r="R40" i="70"/>
  <c r="S41" i="71"/>
  <c r="C49" i="69"/>
  <c r="K40" i="73"/>
  <c r="L40" i="73" s="1"/>
  <c r="P41" i="71"/>
  <c r="D41" i="71"/>
  <c r="AF41" i="54"/>
  <c r="C41" i="73" s="1"/>
  <c r="D41" i="73" s="1"/>
  <c r="AG41" i="54"/>
  <c r="W41" i="71" l="1"/>
  <c r="AC41" i="71" s="1"/>
  <c r="F42" i="54"/>
  <c r="G42" i="54" s="1"/>
  <c r="I41" i="73"/>
  <c r="N42" i="54" s="1"/>
  <c r="L49" i="69"/>
  <c r="M49" i="69"/>
  <c r="D44" i="60" s="1"/>
  <c r="J42" i="54" s="1"/>
  <c r="G41" i="71"/>
  <c r="O41" i="71" s="1"/>
  <c r="AF41" i="71"/>
  <c r="AN19" i="78" s="1"/>
  <c r="AN24" i="78" s="1"/>
  <c r="AD41" i="71" l="1"/>
  <c r="N49" i="69"/>
  <c r="C44" i="60"/>
  <c r="P42" i="54"/>
  <c r="K41" i="70"/>
  <c r="AC42" i="54" l="1"/>
  <c r="X42" i="54"/>
  <c r="K42" i="54"/>
  <c r="N41" i="70" s="1"/>
  <c r="E44" i="60"/>
  <c r="AO9" i="78"/>
  <c r="AO11" i="78" s="1"/>
  <c r="M41" i="70"/>
  <c r="O41" i="70" l="1"/>
  <c r="W41" i="70" s="1"/>
  <c r="AO42" i="54"/>
  <c r="AP42" i="54" s="1"/>
  <c r="AU42" i="54" s="1"/>
  <c r="AO12" i="78"/>
  <c r="AO13" i="78" s="1"/>
  <c r="AO17" i="78"/>
  <c r="E41" i="73"/>
  <c r="AS42" i="54" l="1"/>
  <c r="AV42" i="54" s="1"/>
  <c r="AD42" i="54"/>
  <c r="F41" i="73"/>
  <c r="E42" i="71" l="1"/>
  <c r="AI42" i="71" s="1"/>
  <c r="AO22" i="78" s="1"/>
  <c r="R49" i="69"/>
  <c r="O49" i="69"/>
  <c r="P41" i="70"/>
  <c r="AX42" i="54"/>
  <c r="T42" i="71" s="1"/>
  <c r="AW42" i="54"/>
  <c r="S49" i="69" l="1"/>
  <c r="X41" i="70"/>
  <c r="AO14" i="78"/>
  <c r="AO15" i="78" s="1"/>
  <c r="AO18" i="78" s="1"/>
  <c r="Q41" i="70"/>
  <c r="S41" i="70"/>
  <c r="Z42" i="71"/>
  <c r="AB42" i="71" s="1"/>
  <c r="F44" i="60"/>
  <c r="H42" i="54" s="1"/>
  <c r="L42" i="54" s="1"/>
  <c r="Z42" i="54" s="1"/>
  <c r="AE42" i="54" s="1"/>
  <c r="P49" i="69"/>
  <c r="AF42" i="54" l="1"/>
  <c r="C42" i="73" s="1"/>
  <c r="D42" i="73" s="1"/>
  <c r="P42" i="71"/>
  <c r="D42" i="71"/>
  <c r="AG42" i="54"/>
  <c r="K41" i="73"/>
  <c r="L41" i="73" s="1"/>
  <c r="C50" i="69"/>
  <c r="S42" i="71"/>
  <c r="T41" i="70"/>
  <c r="Y41" i="70"/>
  <c r="R41" i="70"/>
  <c r="G42" i="71" l="1"/>
  <c r="O42" i="71" s="1"/>
  <c r="AF42" i="71"/>
  <c r="AO19" i="78" s="1"/>
  <c r="AO24" i="78" s="1"/>
  <c r="L50" i="69"/>
  <c r="M50" i="69"/>
  <c r="D45" i="60" s="1"/>
  <c r="J43" i="54" s="1"/>
  <c r="W42" i="71"/>
  <c r="AC42" i="71" s="1"/>
  <c r="F43" i="54"/>
  <c r="G43" i="54" s="1"/>
  <c r="I42" i="73"/>
  <c r="N43" i="54" s="1"/>
  <c r="C45" i="60" l="1"/>
  <c r="N50" i="69"/>
  <c r="P43" i="54"/>
  <c r="K42" i="70"/>
  <c r="AD42" i="71"/>
  <c r="M42" i="70" l="1"/>
  <c r="AP9" i="78"/>
  <c r="AP11" i="78" s="1"/>
  <c r="AC43" i="54"/>
  <c r="X43" i="54"/>
  <c r="E45" i="60"/>
  <c r="K43" i="54"/>
  <c r="N42" i="70" s="1"/>
  <c r="AO43" i="54" l="1"/>
  <c r="AP43" i="54" s="1"/>
  <c r="O42" i="70"/>
  <c r="AP12" i="78"/>
  <c r="AP13" i="78" s="1"/>
  <c r="AP17" i="78"/>
  <c r="E42" i="73"/>
  <c r="AD43" i="54" l="1"/>
  <c r="F42" i="73"/>
  <c r="W42" i="70"/>
  <c r="AU43" i="54"/>
  <c r="AS43" i="54"/>
  <c r="AV43" i="54" l="1"/>
  <c r="R50" i="69"/>
  <c r="E43" i="71"/>
  <c r="AI43" i="71" s="1"/>
  <c r="AP22" i="78" s="1"/>
  <c r="O50" i="69"/>
  <c r="S50" i="69" l="1"/>
  <c r="F45" i="60"/>
  <c r="H43" i="54" s="1"/>
  <c r="L43" i="54" s="1"/>
  <c r="Z43" i="54" s="1"/>
  <c r="AE43" i="54" s="1"/>
  <c r="P50" i="69"/>
  <c r="AX43" i="54"/>
  <c r="P42" i="70"/>
  <c r="AW43" i="54"/>
  <c r="X42" i="70" l="1"/>
  <c r="AP14" i="78"/>
  <c r="AP15" i="78" s="1"/>
  <c r="AP18" i="78" s="1"/>
  <c r="Q42" i="70"/>
  <c r="S42" i="70"/>
  <c r="Z43" i="71"/>
  <c r="AB43" i="71" s="1"/>
  <c r="T43" i="71"/>
  <c r="K42" i="73"/>
  <c r="L42" i="73" s="1"/>
  <c r="S43" i="71"/>
  <c r="C51" i="69"/>
  <c r="AF43" i="54"/>
  <c r="C43" i="73" s="1"/>
  <c r="D43" i="73" s="1"/>
  <c r="D43" i="71"/>
  <c r="AG43" i="54"/>
  <c r="P43" i="71"/>
  <c r="W43" i="71" l="1"/>
  <c r="AC43" i="71" s="1"/>
  <c r="AF43" i="71"/>
  <c r="AP19" i="78" s="1"/>
  <c r="AP24" i="78" s="1"/>
  <c r="G43" i="71"/>
  <c r="O43" i="71" s="1"/>
  <c r="F44" i="54"/>
  <c r="G44" i="54" s="1"/>
  <c r="I43" i="73"/>
  <c r="N44" i="54" s="1"/>
  <c r="T42" i="70"/>
  <c r="Y42" i="70"/>
  <c r="R42" i="70"/>
  <c r="L51" i="69"/>
  <c r="M51" i="69"/>
  <c r="D46" i="60" s="1"/>
  <c r="J44" i="54" s="1"/>
  <c r="AD43" i="71" l="1"/>
  <c r="P44" i="54"/>
  <c r="K43" i="70"/>
  <c r="N51" i="69"/>
  <c r="C46" i="60"/>
  <c r="E46" i="60" l="1"/>
  <c r="K44" i="54"/>
  <c r="N43" i="70" s="1"/>
  <c r="M43" i="70"/>
  <c r="AQ9" i="78"/>
  <c r="AQ11" i="78" s="1"/>
  <c r="AC44" i="54"/>
  <c r="X44" i="54"/>
  <c r="AO44" i="54" l="1"/>
  <c r="AP44" i="54" s="1"/>
  <c r="AS44" i="54" s="1"/>
  <c r="O43" i="70"/>
  <c r="AQ17" i="78"/>
  <c r="AQ12" i="78"/>
  <c r="AQ13" i="78" s="1"/>
  <c r="E43" i="73"/>
  <c r="AU44" i="54" l="1"/>
  <c r="AV44" i="54" s="1"/>
  <c r="AD44" i="54"/>
  <c r="F43" i="73"/>
  <c r="W43" i="70"/>
  <c r="AW44" i="54" l="1"/>
  <c r="Y50" i="54"/>
  <c r="P43" i="70"/>
  <c r="Y48" i="54"/>
  <c r="Y12" i="76" s="1"/>
  <c r="AX44" i="54"/>
  <c r="E44" i="71"/>
  <c r="R51" i="69"/>
  <c r="O51" i="69"/>
  <c r="S51" i="69" l="1"/>
  <c r="AQ14" i="78"/>
  <c r="AQ15" i="78" s="1"/>
  <c r="AQ18" i="78" s="1"/>
  <c r="X43" i="70"/>
  <c r="Q43" i="70"/>
  <c r="F46" i="60"/>
  <c r="H44" i="54" s="1"/>
  <c r="L44" i="54" s="1"/>
  <c r="Z44" i="54" s="1"/>
  <c r="AE44" i="54" s="1"/>
  <c r="P51" i="69"/>
  <c r="F10" i="74"/>
  <c r="AI44" i="71"/>
  <c r="AQ22" i="78" s="1"/>
  <c r="T44" i="71"/>
  <c r="F30" i="74" s="1"/>
  <c r="F33" i="74" s="1"/>
  <c r="S43" i="70"/>
  <c r="Y44" i="71"/>
  <c r="Z44" i="71" s="1"/>
  <c r="AB44" i="71" l="1"/>
  <c r="AA45" i="71"/>
  <c r="AA46" i="71" s="1"/>
  <c r="AA47" i="71" s="1"/>
  <c r="AA48" i="71" s="1"/>
  <c r="AA49" i="71" s="1"/>
  <c r="AA50" i="71" s="1"/>
  <c r="AA51" i="71" s="1"/>
  <c r="AA52" i="71" s="1"/>
  <c r="AA53" i="71" s="1"/>
  <c r="AA54" i="71" s="1"/>
  <c r="AA55" i="71" s="1"/>
  <c r="AA56" i="71" s="1"/>
  <c r="G38" i="74" s="1"/>
  <c r="F37" i="74"/>
  <c r="P44" i="71"/>
  <c r="D44" i="71"/>
  <c r="AF44" i="54"/>
  <c r="C44" i="73" s="1"/>
  <c r="D44" i="73" s="1"/>
  <c r="AG44" i="54"/>
  <c r="T43" i="70"/>
  <c r="Y43" i="70"/>
  <c r="R43" i="70"/>
  <c r="F36" i="74"/>
  <c r="F39" i="74" s="1"/>
  <c r="Y45" i="71"/>
  <c r="Y46" i="71" s="1"/>
  <c r="Y47" i="71" s="1"/>
  <c r="Y48" i="71" s="1"/>
  <c r="Y49" i="71" s="1"/>
  <c r="Y50" i="71" s="1"/>
  <c r="Y51" i="71" s="1"/>
  <c r="Y52" i="71" s="1"/>
  <c r="Y53" i="71" s="1"/>
  <c r="Y54" i="71" s="1"/>
  <c r="Y55" i="71" s="1"/>
  <c r="C52" i="69"/>
  <c r="S44" i="71"/>
  <c r="F27" i="74" s="1"/>
  <c r="K43" i="73"/>
  <c r="L43" i="73" s="1"/>
  <c r="F24" i="74" l="1"/>
  <c r="F28" i="74" s="1"/>
  <c r="F34" i="74" s="1"/>
  <c r="F40" i="74" s="1"/>
  <c r="W44" i="71"/>
  <c r="AC44" i="71" s="1"/>
  <c r="F45" i="54"/>
  <c r="G45" i="54" s="1"/>
  <c r="I44" i="73"/>
  <c r="N45" i="54" s="1"/>
  <c r="M52" i="69"/>
  <c r="D47" i="60" s="1"/>
  <c r="J45" i="54" s="1"/>
  <c r="L52" i="69"/>
  <c r="G44" i="71"/>
  <c r="O44" i="71" s="1"/>
  <c r="AF44" i="71"/>
  <c r="AQ19" i="78" s="1"/>
  <c r="AQ24" i="78" s="1"/>
  <c r="F9" i="74"/>
  <c r="F12" i="74" s="1"/>
  <c r="F22" i="74" s="1"/>
  <c r="AD44" i="71" l="1"/>
  <c r="F41" i="74"/>
  <c r="N52" i="69"/>
  <c r="C47" i="60"/>
  <c r="K44" i="70"/>
  <c r="P45" i="54"/>
  <c r="M44" i="70" l="1"/>
  <c r="AR9" i="78"/>
  <c r="K45" i="54"/>
  <c r="N44" i="70" s="1"/>
  <c r="E47" i="60"/>
  <c r="AC45" i="54"/>
  <c r="X45" i="54"/>
  <c r="AR11" i="78" l="1"/>
  <c r="AO45" i="54"/>
  <c r="AP45" i="54" s="1"/>
  <c r="AR17" i="78"/>
  <c r="AR12" i="78"/>
  <c r="E44" i="73"/>
  <c r="O44" i="70"/>
  <c r="AR13" i="78" l="1"/>
  <c r="AD45" i="54"/>
  <c r="F44" i="73"/>
  <c r="AU45" i="54"/>
  <c r="AS45" i="54"/>
  <c r="W44" i="70"/>
  <c r="AV45" i="54" l="1"/>
  <c r="R52" i="69"/>
  <c r="E45" i="71"/>
  <c r="AI45" i="71" s="1"/>
  <c r="AR22" i="78" s="1"/>
  <c r="O52" i="69"/>
  <c r="S52" i="69" l="1"/>
  <c r="F47" i="60"/>
  <c r="H45" i="54" s="1"/>
  <c r="L45" i="54" s="1"/>
  <c r="Z45" i="54" s="1"/>
  <c r="AE45" i="54" s="1"/>
  <c r="P52" i="69"/>
  <c r="P44" i="70"/>
  <c r="AX45" i="54"/>
  <c r="AW45" i="54"/>
  <c r="T45" i="71" l="1"/>
  <c r="AR14" i="78"/>
  <c r="X44" i="70"/>
  <c r="Q44" i="70"/>
  <c r="Z45" i="71"/>
  <c r="AB45" i="71" s="1"/>
  <c r="S44" i="70"/>
  <c r="S45" i="71"/>
  <c r="K44" i="73"/>
  <c r="L44" i="73" s="1"/>
  <c r="C53" i="69"/>
  <c r="P45" i="71"/>
  <c r="D45" i="71"/>
  <c r="AG45" i="54"/>
  <c r="AF45" i="54"/>
  <c r="C45" i="73" s="1"/>
  <c r="D45" i="73" s="1"/>
  <c r="AR15" i="78" l="1"/>
  <c r="AR18" i="78" s="1"/>
  <c r="W45" i="71"/>
  <c r="AC45" i="71" s="1"/>
  <c r="AF45" i="71"/>
  <c r="AR19" i="78" s="1"/>
  <c r="G45" i="71"/>
  <c r="O45" i="71" s="1"/>
  <c r="F46" i="54"/>
  <c r="G46" i="54" s="1"/>
  <c r="I45" i="73"/>
  <c r="N46" i="54" s="1"/>
  <c r="M53" i="69"/>
  <c r="D48" i="60" s="1"/>
  <c r="J46" i="54" s="1"/>
  <c r="L53" i="69"/>
  <c r="R44" i="70"/>
  <c r="T44" i="70"/>
  <c r="Y44" i="70"/>
  <c r="AR24" i="78" l="1"/>
  <c r="AD45" i="71"/>
  <c r="K45" i="70"/>
  <c r="P46" i="54"/>
  <c r="AC46" i="54" s="1"/>
  <c r="C48" i="60"/>
  <c r="N53" i="69"/>
  <c r="E48" i="60" l="1"/>
  <c r="K46" i="54"/>
  <c r="N45" i="70" s="1"/>
  <c r="X46" i="54"/>
  <c r="E45" i="73"/>
  <c r="M45" i="70"/>
  <c r="AS9" i="78"/>
  <c r="AS11" i="78" l="1"/>
  <c r="AO46" i="54"/>
  <c r="O45" i="70"/>
  <c r="AS12" i="78"/>
  <c r="AS17" i="78"/>
  <c r="AD46" i="54"/>
  <c r="F45" i="73"/>
  <c r="AS13" i="78" l="1"/>
  <c r="E46" i="71"/>
  <c r="AI46" i="71" s="1"/>
  <c r="AS22" i="78" s="1"/>
  <c r="R53" i="69"/>
  <c r="W45" i="70"/>
  <c r="O53" i="69"/>
  <c r="AP46" i="54"/>
  <c r="S53" i="69" l="1"/>
  <c r="AU46" i="54"/>
  <c r="AS46" i="54"/>
  <c r="F48" i="60"/>
  <c r="H46" i="54" s="1"/>
  <c r="L46" i="54" s="1"/>
  <c r="Z46" i="54" s="1"/>
  <c r="AE46" i="54" s="1"/>
  <c r="P53" i="69"/>
  <c r="D46" i="71" l="1"/>
  <c r="AF46" i="54"/>
  <c r="C46" i="73" s="1"/>
  <c r="D46" i="73" s="1"/>
  <c r="AG46" i="54"/>
  <c r="P46" i="71"/>
  <c r="AV46" i="54"/>
  <c r="C54" i="69"/>
  <c r="S46" i="71"/>
  <c r="K45" i="73"/>
  <c r="L45" i="73" s="1"/>
  <c r="L54" i="69" l="1"/>
  <c r="M54" i="69"/>
  <c r="D49" i="60" s="1"/>
  <c r="J47" i="54" s="1"/>
  <c r="P45" i="70"/>
  <c r="AX46" i="54"/>
  <c r="AW46" i="54"/>
  <c r="F47" i="54"/>
  <c r="G47" i="54" s="1"/>
  <c r="I46" i="73"/>
  <c r="N47" i="54" s="1"/>
  <c r="AF46" i="71"/>
  <c r="AS19" i="78" s="1"/>
  <c r="G46" i="71"/>
  <c r="O46" i="71" s="1"/>
  <c r="AS14" i="78" l="1"/>
  <c r="X45" i="70"/>
  <c r="Q45" i="70"/>
  <c r="S45" i="70"/>
  <c r="Z46" i="71"/>
  <c r="AB46" i="71" s="1"/>
  <c r="P47" i="54"/>
  <c r="K46" i="70"/>
  <c r="T46" i="71"/>
  <c r="W46" i="71" s="1"/>
  <c r="C49" i="60"/>
  <c r="N54" i="69"/>
  <c r="AS15" i="78" l="1"/>
  <c r="AS18" i="78" s="1"/>
  <c r="AS24" i="78" s="1"/>
  <c r="AC46" i="71"/>
  <c r="AD46" i="71" s="1"/>
  <c r="E49" i="60"/>
  <c r="K47" i="54"/>
  <c r="N46" i="70" s="1"/>
  <c r="X47" i="54"/>
  <c r="AC47" i="54"/>
  <c r="T45" i="70"/>
  <c r="Y45" i="70"/>
  <c r="R45" i="70"/>
  <c r="AT9" i="78"/>
  <c r="M46" i="70"/>
  <c r="AT11" i="78" l="1"/>
  <c r="O46" i="70"/>
  <c r="W46" i="70" s="1"/>
  <c r="AO47" i="54"/>
  <c r="AP47" i="54" s="1"/>
  <c r="AT12" i="78"/>
  <c r="AT17" i="78"/>
  <c r="E46" i="73"/>
  <c r="AT13" i="78" l="1"/>
  <c r="AU47" i="54"/>
  <c r="AS47" i="54"/>
  <c r="AD47" i="54"/>
  <c r="F46" i="73"/>
  <c r="AV47" i="54" l="1"/>
  <c r="O54" i="69"/>
  <c r="E47" i="71"/>
  <c r="AI47" i="71" s="1"/>
  <c r="AT22" i="78" s="1"/>
  <c r="R54" i="69"/>
  <c r="S54" i="69" l="1"/>
  <c r="F49" i="60"/>
  <c r="H47" i="54" s="1"/>
  <c r="L47" i="54" s="1"/>
  <c r="Z47" i="54" s="1"/>
  <c r="AE47" i="54" s="1"/>
  <c r="P54" i="69"/>
  <c r="P46" i="70"/>
  <c r="AX47" i="54"/>
  <c r="AW47" i="54"/>
  <c r="T47" i="71" l="1"/>
  <c r="AT14" i="78"/>
  <c r="X46" i="70"/>
  <c r="Q46" i="70"/>
  <c r="K46" i="73"/>
  <c r="L46" i="73" s="1"/>
  <c r="C55" i="69"/>
  <c r="S47" i="71"/>
  <c r="Z47" i="71"/>
  <c r="AB47" i="71" s="1"/>
  <c r="S46" i="70"/>
  <c r="AG47" i="54"/>
  <c r="D47" i="71"/>
  <c r="AF47" i="54"/>
  <c r="C47" i="73" s="1"/>
  <c r="D47" i="73" s="1"/>
  <c r="P47" i="71"/>
  <c r="AT15" i="78" l="1"/>
  <c r="AT18" i="78" s="1"/>
  <c r="AF47" i="71"/>
  <c r="AT19" i="78" s="1"/>
  <c r="G47" i="71"/>
  <c r="O47" i="71" s="1"/>
  <c r="M55" i="69"/>
  <c r="D50" i="60" s="1"/>
  <c r="J48" i="54" s="1"/>
  <c r="L55" i="69"/>
  <c r="F48" i="54"/>
  <c r="G48" i="54" s="1"/>
  <c r="I47" i="73"/>
  <c r="N48" i="54" s="1"/>
  <c r="T46" i="70"/>
  <c r="Y46" i="70"/>
  <c r="R46" i="70"/>
  <c r="W47" i="71"/>
  <c r="AC47" i="71" s="1"/>
  <c r="AT24" i="78" l="1"/>
  <c r="AD47" i="71"/>
  <c r="P48" i="54"/>
  <c r="AC48" i="54" s="1"/>
  <c r="K47" i="70"/>
  <c r="C50" i="60"/>
  <c r="N55" i="69"/>
  <c r="AU9" i="78" l="1"/>
  <c r="M47" i="70"/>
  <c r="X48" i="54"/>
  <c r="K48" i="54"/>
  <c r="N47" i="70" s="1"/>
  <c r="E50" i="60"/>
  <c r="E47" i="73"/>
  <c r="AU11" i="78" l="1"/>
  <c r="AU12" i="78"/>
  <c r="AU17" i="78"/>
  <c r="AD48" i="54"/>
  <c r="F47" i="73"/>
  <c r="AO48" i="54"/>
  <c r="O47" i="70"/>
  <c r="AU13" i="78" l="1"/>
  <c r="AP48" i="54"/>
  <c r="R55" i="69"/>
  <c r="E48" i="71"/>
  <c r="AI48" i="71" s="1"/>
  <c r="AU22" i="78" s="1"/>
  <c r="O55" i="69"/>
  <c r="W47" i="70"/>
  <c r="S55" i="69" l="1"/>
  <c r="F50" i="60"/>
  <c r="H48" i="54" s="1"/>
  <c r="L48" i="54" s="1"/>
  <c r="Z48" i="54" s="1"/>
  <c r="AE48" i="54" s="1"/>
  <c r="P55" i="69"/>
  <c r="AS48" i="54"/>
  <c r="AU48" i="54"/>
  <c r="AV48" i="54" l="1"/>
  <c r="AW48" i="54" s="1"/>
  <c r="Z48" i="71" s="1"/>
  <c r="AB48" i="71" s="1"/>
  <c r="S48" i="71"/>
  <c r="K47" i="73"/>
  <c r="L47" i="73" s="1"/>
  <c r="C56" i="69"/>
  <c r="AF48" i="54"/>
  <c r="C48" i="73" s="1"/>
  <c r="D48" i="73" s="1"/>
  <c r="P48" i="71"/>
  <c r="D48" i="71"/>
  <c r="AG48" i="54"/>
  <c r="AX48" i="54" l="1"/>
  <c r="S47" i="70"/>
  <c r="P47" i="70"/>
  <c r="Q47" i="70" s="1"/>
  <c r="AF48" i="71"/>
  <c r="AU19" i="78" s="1"/>
  <c r="G48" i="71"/>
  <c r="O48" i="71" s="1"/>
  <c r="F49" i="54"/>
  <c r="G49" i="54" s="1"/>
  <c r="I48" i="73"/>
  <c r="N49" i="54" s="1"/>
  <c r="T48" i="71"/>
  <c r="W48" i="71" s="1"/>
  <c r="AC48" i="71" s="1"/>
  <c r="L56" i="69"/>
  <c r="M56" i="69"/>
  <c r="D51" i="60" s="1"/>
  <c r="J49" i="54" s="1"/>
  <c r="AD48" i="71" l="1"/>
  <c r="AU14" i="78"/>
  <c r="X47" i="70"/>
  <c r="C51" i="60"/>
  <c r="N56" i="69"/>
  <c r="P49" i="54"/>
  <c r="AC49" i="54" s="1"/>
  <c r="K48" i="70"/>
  <c r="T47" i="70"/>
  <c r="Y47" i="70"/>
  <c r="R47" i="70"/>
  <c r="AU15" i="78" l="1"/>
  <c r="AU18" i="78" s="1"/>
  <c r="AU24" i="78" s="1"/>
  <c r="M48" i="70"/>
  <c r="AV9" i="78"/>
  <c r="X49" i="54"/>
  <c r="E48" i="73"/>
  <c r="E51" i="60"/>
  <c r="K49" i="54"/>
  <c r="N48" i="70" s="1"/>
  <c r="AV11" i="78" l="1"/>
  <c r="AD49" i="54"/>
  <c r="F48" i="73"/>
  <c r="AV17" i="78"/>
  <c r="AV12" i="78"/>
  <c r="AO49" i="54"/>
  <c r="AP49" i="54" s="1"/>
  <c r="O48" i="70"/>
  <c r="AV13" i="78" l="1"/>
  <c r="W48" i="70"/>
  <c r="R56" i="69"/>
  <c r="E49" i="71"/>
  <c r="AI49" i="71" s="1"/>
  <c r="AV22" i="78" s="1"/>
  <c r="AS49" i="54"/>
  <c r="AU49" i="54"/>
  <c r="O56" i="69"/>
  <c r="S56" i="69" l="1"/>
  <c r="AV49" i="54"/>
  <c r="F51" i="60"/>
  <c r="H49" i="54" s="1"/>
  <c r="L49" i="54" s="1"/>
  <c r="Z49" i="54" s="1"/>
  <c r="AE49" i="54" s="1"/>
  <c r="P56" i="69"/>
  <c r="S49" i="71" l="1"/>
  <c r="C57" i="69"/>
  <c r="K48" i="73"/>
  <c r="L48" i="73" s="1"/>
  <c r="AF49" i="54"/>
  <c r="C49" i="73" s="1"/>
  <c r="D49" i="73" s="1"/>
  <c r="D49" i="71"/>
  <c r="AG49" i="54"/>
  <c r="P49" i="71"/>
  <c r="P48" i="70"/>
  <c r="AX49" i="54"/>
  <c r="AW49" i="54"/>
  <c r="AF49" i="71" l="1"/>
  <c r="AV19" i="78" s="1"/>
  <c r="G49" i="71"/>
  <c r="O49" i="71" s="1"/>
  <c r="AV14" i="78"/>
  <c r="X48" i="70"/>
  <c r="Q48" i="70"/>
  <c r="F50" i="54"/>
  <c r="G50" i="54" s="1"/>
  <c r="I49" i="73"/>
  <c r="N50" i="54" s="1"/>
  <c r="T49" i="71"/>
  <c r="W49" i="71" s="1"/>
  <c r="Z49" i="71"/>
  <c r="AB49" i="71" s="1"/>
  <c r="S48" i="70"/>
  <c r="L57" i="69"/>
  <c r="M57" i="69"/>
  <c r="D52" i="60" s="1"/>
  <c r="J50" i="54" s="1"/>
  <c r="AV15" i="78" l="1"/>
  <c r="AV18" i="78" s="1"/>
  <c r="AV24" i="78" s="1"/>
  <c r="AC49" i="71"/>
  <c r="AD49" i="71" s="1"/>
  <c r="Y48" i="70"/>
  <c r="T48" i="70"/>
  <c r="R48" i="70"/>
  <c r="K49" i="70"/>
  <c r="P50" i="54"/>
  <c r="N57" i="69"/>
  <c r="C52" i="60"/>
  <c r="AW9" i="78" l="1"/>
  <c r="AW11" i="78" s="1"/>
  <c r="M49" i="70"/>
  <c r="K50" i="54"/>
  <c r="N49" i="70" s="1"/>
  <c r="E52" i="60"/>
  <c r="AC50" i="54"/>
  <c r="X50" i="54"/>
  <c r="AO50" i="54" l="1"/>
  <c r="AP50" i="54" s="1"/>
  <c r="AS50" i="54" s="1"/>
  <c r="E49" i="73"/>
  <c r="AW17" i="78"/>
  <c r="AW12" i="78"/>
  <c r="AW13" i="78" s="1"/>
  <c r="O49" i="70"/>
  <c r="AU50" i="54" l="1"/>
  <c r="AV50" i="54" s="1"/>
  <c r="W49" i="70"/>
  <c r="AD50" i="54"/>
  <c r="F49" i="73"/>
  <c r="AW50" i="54" l="1"/>
  <c r="AX50" i="54"/>
  <c r="P49" i="70"/>
  <c r="AW14" i="78" s="1"/>
  <c r="AW15" i="78" s="1"/>
  <c r="AW18" i="78" s="1"/>
  <c r="T50" i="71"/>
  <c r="R57" i="69"/>
  <c r="E50" i="71"/>
  <c r="AI50" i="71" s="1"/>
  <c r="AW22" i="78" s="1"/>
  <c r="O57" i="69"/>
  <c r="S57" i="69" l="1"/>
  <c r="X49" i="70"/>
  <c r="Q49" i="70"/>
  <c r="Y49" i="70" s="1"/>
  <c r="Z50" i="71"/>
  <c r="AB50" i="71" s="1"/>
  <c r="S49" i="70"/>
  <c r="T49" i="70" s="1"/>
  <c r="F52" i="60"/>
  <c r="H50" i="54" s="1"/>
  <c r="L50" i="54" s="1"/>
  <c r="Z50" i="54" s="1"/>
  <c r="AE50" i="54" s="1"/>
  <c r="P57" i="69"/>
  <c r="R49" i="70" l="1"/>
  <c r="K49" i="73"/>
  <c r="L49" i="73" s="1"/>
  <c r="C58" i="69"/>
  <c r="S50" i="71"/>
  <c r="AF50" i="54"/>
  <c r="C50" i="73" s="1"/>
  <c r="D50" i="73" s="1"/>
  <c r="D50" i="71"/>
  <c r="AG50" i="54"/>
  <c r="P50" i="71"/>
  <c r="W50" i="71" l="1"/>
  <c r="AC50" i="71" s="1"/>
  <c r="F51" i="54"/>
  <c r="G51" i="54" s="1"/>
  <c r="I50" i="73"/>
  <c r="N51" i="54" s="1"/>
  <c r="L58" i="69"/>
  <c r="M58" i="69"/>
  <c r="D53" i="60" s="1"/>
  <c r="J51" i="54" s="1"/>
  <c r="G50" i="71"/>
  <c r="O50" i="71" s="1"/>
  <c r="AD50" i="71" s="1"/>
  <c r="AF50" i="71"/>
  <c r="AW19" i="78" s="1"/>
  <c r="AW24" i="78" s="1"/>
  <c r="N58" i="69" l="1"/>
  <c r="C53" i="60"/>
  <c r="K50" i="70"/>
  <c r="P51" i="54"/>
  <c r="M50" i="70" l="1"/>
  <c r="AX9" i="78"/>
  <c r="AX11" i="78" s="1"/>
  <c r="K51" i="54"/>
  <c r="N50" i="70" s="1"/>
  <c r="E53" i="60"/>
  <c r="AC51" i="54"/>
  <c r="X51" i="54"/>
  <c r="AO51" i="54" l="1"/>
  <c r="AP51" i="54" s="1"/>
  <c r="AS51" i="54" s="1"/>
  <c r="AX17" i="78"/>
  <c r="AX12" i="78"/>
  <c r="AX13" i="78" s="1"/>
  <c r="E50" i="73"/>
  <c r="O50" i="70"/>
  <c r="AU51" i="54" l="1"/>
  <c r="AV51" i="54" s="1"/>
  <c r="AD51" i="54"/>
  <c r="F50" i="73"/>
  <c r="W50" i="70"/>
  <c r="AW51" i="54" l="1"/>
  <c r="AX51" i="54"/>
  <c r="T51" i="71" s="1"/>
  <c r="P50" i="70"/>
  <c r="Q50" i="70" s="1"/>
  <c r="E51" i="71"/>
  <c r="AI51" i="71" s="1"/>
  <c r="AX22" i="78" s="1"/>
  <c r="R58" i="69"/>
  <c r="O58" i="69"/>
  <c r="S58" i="69" l="1"/>
  <c r="AX14" i="78"/>
  <c r="AX15" i="78" s="1"/>
  <c r="AX18" i="78" s="1"/>
  <c r="X50" i="70"/>
  <c r="S50" i="70"/>
  <c r="T50" i="70" s="1"/>
  <c r="Z51" i="71"/>
  <c r="AB51" i="71" s="1"/>
  <c r="F53" i="60"/>
  <c r="H51" i="54" s="1"/>
  <c r="L51" i="54" s="1"/>
  <c r="Z51" i="54" s="1"/>
  <c r="AE51" i="54" s="1"/>
  <c r="P58" i="69"/>
  <c r="Y50" i="70"/>
  <c r="R50" i="70"/>
  <c r="C59" i="69" l="1"/>
  <c r="S51" i="71"/>
  <c r="K50" i="73"/>
  <c r="L50" i="73" s="1"/>
  <c r="D51" i="71"/>
  <c r="P51" i="71"/>
  <c r="AF51" i="54"/>
  <c r="C51" i="73" s="1"/>
  <c r="D51" i="73" s="1"/>
  <c r="AG51" i="54"/>
  <c r="AF51" i="71" l="1"/>
  <c r="AX19" i="78" s="1"/>
  <c r="AX24" i="78" s="1"/>
  <c r="G51" i="71"/>
  <c r="O51" i="71" s="1"/>
  <c r="F52" i="54"/>
  <c r="G52" i="54" s="1"/>
  <c r="I51" i="73"/>
  <c r="N52" i="54" s="1"/>
  <c r="W51" i="71"/>
  <c r="AC51" i="71" s="1"/>
  <c r="L59" i="69"/>
  <c r="M59" i="69"/>
  <c r="D54" i="60" s="1"/>
  <c r="J52" i="54" s="1"/>
  <c r="P52" i="54" l="1"/>
  <c r="K51" i="70"/>
  <c r="C54" i="60"/>
  <c r="N59" i="69"/>
  <c r="AD51" i="71"/>
  <c r="E54" i="60" l="1"/>
  <c r="K52" i="54"/>
  <c r="N51" i="70" s="1"/>
  <c r="M51" i="70"/>
  <c r="AY9" i="78"/>
  <c r="AY11" i="78" s="1"/>
  <c r="AC52" i="54"/>
  <c r="X52" i="54"/>
  <c r="AO52" i="54" l="1"/>
  <c r="AP52" i="54" s="1"/>
  <c r="O51" i="70"/>
  <c r="W51" i="70" s="1"/>
  <c r="AY12" i="78"/>
  <c r="AY13" i="78" s="1"/>
  <c r="AY17" i="78"/>
  <c r="E51" i="73"/>
  <c r="AD52" i="54" l="1"/>
  <c r="F51" i="73"/>
  <c r="AS52" i="54"/>
  <c r="AU52" i="54"/>
  <c r="AV52" i="54" l="1"/>
  <c r="AW52" i="54" s="1"/>
  <c r="E52" i="71"/>
  <c r="AI52" i="71" s="1"/>
  <c r="AY22" i="78" s="1"/>
  <c r="R59" i="69"/>
  <c r="O59" i="69"/>
  <c r="P51" i="70" l="1"/>
  <c r="Q51" i="70" s="1"/>
  <c r="AX52" i="54"/>
  <c r="T52" i="71" s="1"/>
  <c r="S59" i="69"/>
  <c r="F54" i="60"/>
  <c r="H52" i="54" s="1"/>
  <c r="L52" i="54" s="1"/>
  <c r="Z52" i="54" s="1"/>
  <c r="AE52" i="54" s="1"/>
  <c r="P59" i="69"/>
  <c r="Z52" i="71"/>
  <c r="AB52" i="71" s="1"/>
  <c r="S51" i="70"/>
  <c r="X51" i="70" l="1"/>
  <c r="AY14" i="78"/>
  <c r="AY15" i="78" s="1"/>
  <c r="AY18" i="78" s="1"/>
  <c r="T51" i="70"/>
  <c r="Y51" i="70"/>
  <c r="R51" i="70"/>
  <c r="K51" i="73"/>
  <c r="L51" i="73" s="1"/>
  <c r="C60" i="69"/>
  <c r="S52" i="71"/>
  <c r="P52" i="71"/>
  <c r="W52" i="71" s="1"/>
  <c r="AC52" i="71" s="1"/>
  <c r="AF52" i="54"/>
  <c r="C52" i="73" s="1"/>
  <c r="D52" i="73" s="1"/>
  <c r="AG52" i="54"/>
  <c r="D52" i="71"/>
  <c r="M60" i="69" l="1"/>
  <c r="D55" i="60" s="1"/>
  <c r="J53" i="54" s="1"/>
  <c r="L60" i="69"/>
  <c r="F53" i="54"/>
  <c r="G53" i="54" s="1"/>
  <c r="I52" i="73"/>
  <c r="N53" i="54" s="1"/>
  <c r="G52" i="71"/>
  <c r="O52" i="71" s="1"/>
  <c r="AD52" i="71" s="1"/>
  <c r="AF52" i="71"/>
  <c r="AY19" i="78" s="1"/>
  <c r="AY24" i="78" s="1"/>
  <c r="C55" i="60" l="1"/>
  <c r="N60" i="69"/>
  <c r="K52" i="70"/>
  <c r="P53" i="54"/>
  <c r="AZ9" i="78" l="1"/>
  <c r="AZ11" i="78" s="1"/>
  <c r="M52" i="70"/>
  <c r="E55" i="60"/>
  <c r="K53" i="54"/>
  <c r="N52" i="70" s="1"/>
  <c r="AC53" i="54"/>
  <c r="X53" i="54"/>
  <c r="E52" i="73" l="1"/>
  <c r="AZ12" i="78"/>
  <c r="AZ13" i="78" s="1"/>
  <c r="AZ17" i="78"/>
  <c r="AO53" i="54"/>
  <c r="AP53" i="54" s="1"/>
  <c r="O52" i="70"/>
  <c r="W52" i="70" l="1"/>
  <c r="AD53" i="54"/>
  <c r="F52" i="73"/>
  <c r="AU53" i="54"/>
  <c r="AS53" i="54"/>
  <c r="AV53" i="54" l="1"/>
  <c r="AW53" i="54" s="1"/>
  <c r="S52" i="70" s="1"/>
  <c r="E53" i="71"/>
  <c r="AI53" i="71" s="1"/>
  <c r="AZ22" i="78" s="1"/>
  <c r="R60" i="69"/>
  <c r="O60" i="69"/>
  <c r="P52" i="70"/>
  <c r="AX53" i="54" l="1"/>
  <c r="Z53" i="71"/>
  <c r="AB53" i="71" s="1"/>
  <c r="S60" i="69"/>
  <c r="F55" i="60"/>
  <c r="H53" i="54" s="1"/>
  <c r="L53" i="54" s="1"/>
  <c r="Z53" i="54" s="1"/>
  <c r="AE53" i="54" s="1"/>
  <c r="P60" i="69"/>
  <c r="X52" i="70"/>
  <c r="AZ14" i="78"/>
  <c r="AZ15" i="78" s="1"/>
  <c r="AZ18" i="78" s="1"/>
  <c r="Q52" i="70"/>
  <c r="T53" i="71"/>
  <c r="Y52" i="70" l="1"/>
  <c r="T52" i="70"/>
  <c r="R52" i="70"/>
  <c r="K52" i="73"/>
  <c r="L52" i="73" s="1"/>
  <c r="S53" i="71"/>
  <c r="C61" i="69"/>
  <c r="AG53" i="54"/>
  <c r="P53" i="71"/>
  <c r="AF53" i="54"/>
  <c r="C53" i="73" s="1"/>
  <c r="D53" i="73" s="1"/>
  <c r="D53" i="71"/>
  <c r="W53" i="71" l="1"/>
  <c r="AC53" i="71" s="1"/>
  <c r="F54" i="54"/>
  <c r="G54" i="54" s="1"/>
  <c r="I53" i="73"/>
  <c r="N54" i="54" s="1"/>
  <c r="AF53" i="71"/>
  <c r="AZ19" i="78" s="1"/>
  <c r="AZ24" i="78" s="1"/>
  <c r="G53" i="71"/>
  <c r="O53" i="71" s="1"/>
  <c r="AD53" i="71" s="1"/>
  <c r="M61" i="69"/>
  <c r="D56" i="60" s="1"/>
  <c r="J54" i="54" s="1"/>
  <c r="L61" i="69"/>
  <c r="C56" i="60" l="1"/>
  <c r="N61" i="69"/>
  <c r="P54" i="54"/>
  <c r="K53" i="70"/>
  <c r="BA9" i="78" l="1"/>
  <c r="BA11" i="78" s="1"/>
  <c r="M53" i="70"/>
  <c r="AC54" i="54"/>
  <c r="X54" i="54"/>
  <c r="K54" i="54"/>
  <c r="N53" i="70" s="1"/>
  <c r="E56" i="60"/>
  <c r="AO54" i="54" l="1"/>
  <c r="AP54" i="54" s="1"/>
  <c r="E53" i="73"/>
  <c r="BA17" i="78"/>
  <c r="BA12" i="78"/>
  <c r="BA13" i="78" s="1"/>
  <c r="O53" i="70"/>
  <c r="AD54" i="54" l="1"/>
  <c r="F53" i="73"/>
  <c r="W53" i="70"/>
  <c r="AU54" i="54"/>
  <c r="AS54" i="54"/>
  <c r="AV54" i="54" l="1"/>
  <c r="R61" i="69"/>
  <c r="E54" i="71"/>
  <c r="AI54" i="71" s="1"/>
  <c r="BA22" i="78" s="1"/>
  <c r="O61" i="69"/>
  <c r="S61" i="69" l="1"/>
  <c r="F56" i="60"/>
  <c r="H54" i="54" s="1"/>
  <c r="L54" i="54" s="1"/>
  <c r="Z54" i="54" s="1"/>
  <c r="AE54" i="54" s="1"/>
  <c r="P61" i="69"/>
  <c r="AW54" i="54"/>
  <c r="P53" i="70"/>
  <c r="AX54" i="54"/>
  <c r="BA14" i="78" l="1"/>
  <c r="BA15" i="78" s="1"/>
  <c r="BA18" i="78" s="1"/>
  <c r="X53" i="70"/>
  <c r="Q53" i="70"/>
  <c r="Z54" i="71"/>
  <c r="AB54" i="71" s="1"/>
  <c r="S53" i="70"/>
  <c r="K53" i="73"/>
  <c r="L53" i="73" s="1"/>
  <c r="C62" i="69"/>
  <c r="S54" i="71"/>
  <c r="T54" i="71"/>
  <c r="AG54" i="54"/>
  <c r="P54" i="71"/>
  <c r="D54" i="71"/>
  <c r="AF54" i="54"/>
  <c r="C54" i="73" s="1"/>
  <c r="D54" i="73" s="1"/>
  <c r="AF54" i="71" l="1"/>
  <c r="BA19" i="78" s="1"/>
  <c r="BA24" i="78" s="1"/>
  <c r="G54" i="71"/>
  <c r="O54" i="71" s="1"/>
  <c r="W54" i="71"/>
  <c r="AC54" i="71" s="1"/>
  <c r="M62" i="69"/>
  <c r="D57" i="60" s="1"/>
  <c r="J55" i="54" s="1"/>
  <c r="L62" i="69"/>
  <c r="T53" i="70"/>
  <c r="Y53" i="70"/>
  <c r="R53" i="70"/>
  <c r="F55" i="54"/>
  <c r="G55" i="54" s="1"/>
  <c r="I54" i="73"/>
  <c r="N55" i="54" s="1"/>
  <c r="P55" i="54" l="1"/>
  <c r="K54" i="70"/>
  <c r="AD54" i="71"/>
  <c r="N62" i="69"/>
  <c r="C57" i="60"/>
  <c r="E57" i="60" l="1"/>
  <c r="K55" i="54"/>
  <c r="N54" i="70" s="1"/>
  <c r="M54" i="70"/>
  <c r="BB9" i="78"/>
  <c r="BB11" i="78" s="1"/>
  <c r="AC55" i="54"/>
  <c r="X55" i="54"/>
  <c r="AO55" i="54" l="1"/>
  <c r="AP55" i="54" s="1"/>
  <c r="O54" i="70"/>
  <c r="BB12" i="78"/>
  <c r="BB13" i="78" s="1"/>
  <c r="BB17" i="78"/>
  <c r="E54" i="73"/>
  <c r="AD55" i="54" l="1"/>
  <c r="F54" i="73"/>
  <c r="W54" i="70"/>
  <c r="AS55" i="54"/>
  <c r="AU55" i="54"/>
  <c r="AV55" i="54" l="1"/>
  <c r="AW55" i="54" s="1"/>
  <c r="R62" i="69"/>
  <c r="E55" i="71"/>
  <c r="AI55" i="71" s="1"/>
  <c r="BB22" i="78" s="1"/>
  <c r="O62" i="69"/>
  <c r="S62" i="69" l="1"/>
  <c r="AX55" i="54"/>
  <c r="T55" i="71" s="1"/>
  <c r="P54" i="70"/>
  <c r="X54" i="70" s="1"/>
  <c r="F57" i="60"/>
  <c r="H55" i="54" s="1"/>
  <c r="L55" i="54" s="1"/>
  <c r="Z55" i="54" s="1"/>
  <c r="AE55" i="54" s="1"/>
  <c r="P62" i="69"/>
  <c r="Z55" i="71"/>
  <c r="AB55" i="71" s="1"/>
  <c r="S54" i="70"/>
  <c r="Q54" i="70" l="1"/>
  <c r="R54" i="70" s="1"/>
  <c r="BB14" i="78"/>
  <c r="BB15" i="78" s="1"/>
  <c r="BB18" i="78" s="1"/>
  <c r="S55" i="71"/>
  <c r="C63" i="69"/>
  <c r="K54" i="73"/>
  <c r="L54" i="73" s="1"/>
  <c r="Y54" i="70"/>
  <c r="P55" i="71"/>
  <c r="AF55" i="54"/>
  <c r="C55" i="73" s="1"/>
  <c r="D55" i="73" s="1"/>
  <c r="D55" i="71"/>
  <c r="AG55" i="54"/>
  <c r="T54" i="70" l="1"/>
  <c r="G55" i="71"/>
  <c r="O55" i="71" s="1"/>
  <c r="AF55" i="71"/>
  <c r="BB19" i="78" s="1"/>
  <c r="BB24" i="78" s="1"/>
  <c r="F56" i="54"/>
  <c r="G56" i="54" s="1"/>
  <c r="I55" i="73"/>
  <c r="N56" i="54" s="1"/>
  <c r="W55" i="71"/>
  <c r="AC55" i="71" s="1"/>
  <c r="M63" i="69"/>
  <c r="D58" i="60" s="1"/>
  <c r="J56" i="54" s="1"/>
  <c r="L63" i="69"/>
  <c r="N63" i="69" l="1"/>
  <c r="C58" i="60"/>
  <c r="P56" i="54"/>
  <c r="K55" i="70"/>
  <c r="AD55" i="71"/>
  <c r="M55" i="70" l="1"/>
  <c r="BC9" i="78"/>
  <c r="BC11" i="78" s="1"/>
  <c r="AC56" i="54"/>
  <c r="X56" i="54"/>
  <c r="E58" i="60"/>
  <c r="K56" i="54"/>
  <c r="N55" i="70" s="1"/>
  <c r="AO56" i="54" l="1"/>
  <c r="AP56" i="54" s="1"/>
  <c r="BC12" i="78"/>
  <c r="BC13" i="78" s="1"/>
  <c r="BC17" i="78"/>
  <c r="E55" i="73"/>
  <c r="O55" i="70"/>
  <c r="AD56" i="54" l="1"/>
  <c r="F55" i="73"/>
  <c r="W55" i="70"/>
  <c r="AU56" i="54"/>
  <c r="AS56" i="54"/>
  <c r="AV56" i="54" l="1"/>
  <c r="R63" i="69"/>
  <c r="E56" i="71"/>
  <c r="O63" i="69"/>
  <c r="S63" i="69" l="1"/>
  <c r="F58" i="60"/>
  <c r="H56" i="54" s="1"/>
  <c r="L56" i="54" s="1"/>
  <c r="Z56" i="54" s="1"/>
  <c r="AE56" i="54" s="1"/>
  <c r="P63" i="69"/>
  <c r="AI56" i="71"/>
  <c r="BC22" i="78" s="1"/>
  <c r="G10" i="74"/>
  <c r="Y60" i="54"/>
  <c r="P55" i="70"/>
  <c r="Y62" i="54"/>
  <c r="AX56" i="54"/>
  <c r="AW56" i="54"/>
  <c r="Y13" i="76" l="1"/>
  <c r="Y15" i="76" s="1"/>
  <c r="Y56" i="71"/>
  <c r="Z56" i="71" s="1"/>
  <c r="S55" i="70"/>
  <c r="T56" i="71"/>
  <c r="G30" i="74" s="1"/>
  <c r="G33" i="74" s="1"/>
  <c r="X55" i="70"/>
  <c r="BC14" i="78"/>
  <c r="BC15" i="78" s="1"/>
  <c r="BC18" i="78" s="1"/>
  <c r="Q55" i="70"/>
  <c r="K55" i="73"/>
  <c r="L55" i="73" s="1"/>
  <c r="S56" i="71"/>
  <c r="G27" i="74" s="1"/>
  <c r="C64" i="69"/>
  <c r="AF56" i="54"/>
  <c r="C56" i="73" s="1"/>
  <c r="D56" i="73" s="1"/>
  <c r="D56" i="71"/>
  <c r="AG56" i="54"/>
  <c r="P56" i="71"/>
  <c r="G37" i="74" l="1"/>
  <c r="AA57" i="71"/>
  <c r="AA58" i="71" s="1"/>
  <c r="AA59" i="71" s="1"/>
  <c r="AA60" i="71" s="1"/>
  <c r="AA61" i="71" s="1"/>
  <c r="AA62" i="71" s="1"/>
  <c r="AA63" i="71" s="1"/>
  <c r="AA64" i="71" s="1"/>
  <c r="AA65" i="71" s="1"/>
  <c r="AA66" i="71" s="1"/>
  <c r="AA67" i="71" s="1"/>
  <c r="AA68" i="71" s="1"/>
  <c r="F57" i="54"/>
  <c r="G57" i="54" s="1"/>
  <c r="I56" i="73"/>
  <c r="N57" i="54" s="1"/>
  <c r="T55" i="70"/>
  <c r="Y55" i="70"/>
  <c r="R55" i="70"/>
  <c r="G24" i="74"/>
  <c r="G28" i="74" s="1"/>
  <c r="G34" i="74" s="1"/>
  <c r="W56" i="71"/>
  <c r="L64" i="69"/>
  <c r="M64" i="69"/>
  <c r="D59" i="60" s="1"/>
  <c r="J57" i="54" s="1"/>
  <c r="AF56" i="71"/>
  <c r="BC19" i="78" s="1"/>
  <c r="BC24" i="78" s="1"/>
  <c r="G56" i="71"/>
  <c r="O56" i="71" s="1"/>
  <c r="G9" i="74"/>
  <c r="G12" i="74" s="1"/>
  <c r="G22" i="74" s="1"/>
  <c r="G36" i="74"/>
  <c r="Y57" i="71"/>
  <c r="Y58" i="71" s="1"/>
  <c r="Y59" i="71" s="1"/>
  <c r="Y60" i="71" s="1"/>
  <c r="Y61" i="71" s="1"/>
  <c r="Y62" i="71" s="1"/>
  <c r="Y63" i="71" s="1"/>
  <c r="Y64" i="71" s="1"/>
  <c r="Y65" i="71" s="1"/>
  <c r="Y66" i="71" s="1"/>
  <c r="Y67" i="71" s="1"/>
  <c r="AB56" i="71"/>
  <c r="AC56" i="71" s="1"/>
  <c r="AD56" i="71" s="1"/>
  <c r="G39" i="74" l="1"/>
  <c r="G40" i="74" s="1"/>
  <c r="G41" i="74" s="1"/>
  <c r="C59" i="60"/>
  <c r="N64" i="69"/>
  <c r="AA70" i="71"/>
  <c r="H38" i="74"/>
  <c r="P57" i="54"/>
  <c r="AC57" i="54" s="1"/>
  <c r="K56" i="70"/>
  <c r="M56" i="70" l="1"/>
  <c r="BD9" i="78"/>
  <c r="E56" i="73"/>
  <c r="X57" i="54"/>
  <c r="E59" i="60"/>
  <c r="K57" i="54"/>
  <c r="N56" i="70" s="1"/>
  <c r="BD11" i="78" l="1"/>
  <c r="BD12" i="78"/>
  <c r="BD17" i="78"/>
  <c r="AD57" i="54"/>
  <c r="F56" i="73"/>
  <c r="AO57" i="54"/>
  <c r="O56" i="70"/>
  <c r="BD13" i="78" l="1"/>
  <c r="AP57" i="54"/>
  <c r="R64" i="69"/>
  <c r="E57" i="71"/>
  <c r="AI57" i="71" s="1"/>
  <c r="BD22" i="78" s="1"/>
  <c r="W56" i="70"/>
  <c r="O64" i="69"/>
  <c r="S64" i="69" l="1"/>
  <c r="F59" i="60"/>
  <c r="H57" i="54" s="1"/>
  <c r="L57" i="54" s="1"/>
  <c r="Z57" i="54" s="1"/>
  <c r="AE57" i="54" s="1"/>
  <c r="P64" i="69"/>
  <c r="AU57" i="54"/>
  <c r="AS57" i="54"/>
  <c r="AV57" i="54" l="1"/>
  <c r="K56" i="73"/>
  <c r="L56" i="73" s="1"/>
  <c r="S57" i="71"/>
  <c r="C65" i="69"/>
  <c r="AF57" i="54"/>
  <c r="C57" i="73" s="1"/>
  <c r="D57" i="73" s="1"/>
  <c r="D57" i="71"/>
  <c r="AG57" i="54"/>
  <c r="P57" i="71"/>
  <c r="L65" i="69" l="1"/>
  <c r="M65" i="69"/>
  <c r="D60" i="60" s="1"/>
  <c r="J58" i="54" s="1"/>
  <c r="G57" i="71"/>
  <c r="O57" i="71" s="1"/>
  <c r="AF57" i="71"/>
  <c r="BD19" i="78" s="1"/>
  <c r="F58" i="54"/>
  <c r="G58" i="54" s="1"/>
  <c r="I57" i="73"/>
  <c r="N58" i="54" s="1"/>
  <c r="P56" i="70"/>
  <c r="AX57" i="54"/>
  <c r="AW57" i="54"/>
  <c r="X56" i="70" l="1"/>
  <c r="BD14" i="78"/>
  <c r="Q56" i="70"/>
  <c r="S56" i="70"/>
  <c r="Z57" i="71"/>
  <c r="AB57" i="71" s="1"/>
  <c r="P58" i="54"/>
  <c r="K57" i="70"/>
  <c r="N65" i="69"/>
  <c r="C60" i="60"/>
  <c r="T57" i="71"/>
  <c r="W57" i="71" s="1"/>
  <c r="AC57" i="71" s="1"/>
  <c r="AD57" i="71" s="1"/>
  <c r="BD15" i="78" l="1"/>
  <c r="BD18" i="78" s="1"/>
  <c r="BD24" i="78" s="1"/>
  <c r="E60" i="60"/>
  <c r="K58" i="54"/>
  <c r="N57" i="70" s="1"/>
  <c r="BE9" i="78"/>
  <c r="M57" i="70"/>
  <c r="R56" i="70"/>
  <c r="T56" i="70"/>
  <c r="Y56" i="70"/>
  <c r="X58" i="54"/>
  <c r="AC58" i="54"/>
  <c r="BE11" i="78" l="1"/>
  <c r="AO58" i="54"/>
  <c r="AP58" i="54" s="1"/>
  <c r="O57" i="70"/>
  <c r="E57" i="73"/>
  <c r="BE17" i="78"/>
  <c r="BE12" i="78"/>
  <c r="BE13" i="78" l="1"/>
  <c r="AD58" i="54"/>
  <c r="F57" i="73"/>
  <c r="AU58" i="54"/>
  <c r="AS58" i="54"/>
  <c r="W57" i="70"/>
  <c r="AV58" i="54" l="1"/>
  <c r="E58" i="71"/>
  <c r="AI58" i="71" s="1"/>
  <c r="BE22" i="78" s="1"/>
  <c r="R65" i="69"/>
  <c r="O65" i="69"/>
  <c r="S65" i="69" l="1"/>
  <c r="F60" i="60"/>
  <c r="H58" i="54" s="1"/>
  <c r="L58" i="54" s="1"/>
  <c r="Z58" i="54" s="1"/>
  <c r="AE58" i="54" s="1"/>
  <c r="P65" i="69"/>
  <c r="P57" i="70"/>
  <c r="AX58" i="54"/>
  <c r="AW58" i="54"/>
  <c r="Z58" i="71" l="1"/>
  <c r="AB58" i="71" s="1"/>
  <c r="S57" i="70"/>
  <c r="T58" i="71"/>
  <c r="X57" i="70"/>
  <c r="BE14" i="78"/>
  <c r="Q57" i="70"/>
  <c r="C66" i="69"/>
  <c r="S58" i="71"/>
  <c r="K57" i="73"/>
  <c r="L57" i="73" s="1"/>
  <c r="AF58" i="54"/>
  <c r="C58" i="73" s="1"/>
  <c r="D58" i="73" s="1"/>
  <c r="P58" i="71"/>
  <c r="D58" i="71"/>
  <c r="AG58" i="54"/>
  <c r="BE15" i="78" l="1"/>
  <c r="BE18" i="78" s="1"/>
  <c r="L66" i="69"/>
  <c r="M66" i="69"/>
  <c r="D61" i="60" s="1"/>
  <c r="J59" i="54" s="1"/>
  <c r="F59" i="54"/>
  <c r="G59" i="54" s="1"/>
  <c r="I58" i="73"/>
  <c r="N59" i="54" s="1"/>
  <c r="Y57" i="70"/>
  <c r="T57" i="70"/>
  <c r="R57" i="70"/>
  <c r="W58" i="71"/>
  <c r="AC58" i="71" s="1"/>
  <c r="G58" i="71"/>
  <c r="O58" i="71" s="1"/>
  <c r="AF58" i="71"/>
  <c r="BE19" i="78" s="1"/>
  <c r="BE24" i="78" l="1"/>
  <c r="AD58" i="71"/>
  <c r="K58" i="70"/>
  <c r="P59" i="54"/>
  <c r="AC59" i="54" s="1"/>
  <c r="N66" i="69"/>
  <c r="C61" i="60"/>
  <c r="X59" i="54" l="1"/>
  <c r="E58" i="73"/>
  <c r="BF9" i="78"/>
  <c r="M58" i="70"/>
  <c r="E61" i="60"/>
  <c r="K59" i="54"/>
  <c r="N58" i="70" s="1"/>
  <c r="BF11" i="78" l="1"/>
  <c r="BF17" i="78"/>
  <c r="BF12" i="78"/>
  <c r="AD59" i="54"/>
  <c r="F58" i="73"/>
  <c r="O58" i="70"/>
  <c r="AO59" i="54"/>
  <c r="BF13" i="78" l="1"/>
  <c r="R66" i="69"/>
  <c r="E59" i="71"/>
  <c r="AI59" i="71" s="1"/>
  <c r="BF22" i="78" s="1"/>
  <c r="W58" i="70"/>
  <c r="AP59" i="54"/>
  <c r="O66" i="69"/>
  <c r="S66" i="69" l="1"/>
  <c r="F61" i="60"/>
  <c r="H59" i="54" s="1"/>
  <c r="L59" i="54" s="1"/>
  <c r="Z59" i="54" s="1"/>
  <c r="AE59" i="54" s="1"/>
  <c r="P66" i="69"/>
  <c r="AS59" i="54"/>
  <c r="AU59" i="54"/>
  <c r="AV59" i="54" l="1"/>
  <c r="AW59" i="54" s="1"/>
  <c r="S58" i="70" s="1"/>
  <c r="K58" i="73"/>
  <c r="L58" i="73" s="1"/>
  <c r="C67" i="69"/>
  <c r="S59" i="71"/>
  <c r="D59" i="71"/>
  <c r="AF59" i="54"/>
  <c r="C59" i="73" s="1"/>
  <c r="D59" i="73" s="1"/>
  <c r="AG59" i="54"/>
  <c r="P59" i="71"/>
  <c r="Z59" i="71" l="1"/>
  <c r="AB59" i="71" s="1"/>
  <c r="AX59" i="54"/>
  <c r="P58" i="70"/>
  <c r="X58" i="70" s="1"/>
  <c r="F60" i="54"/>
  <c r="G60" i="54" s="1"/>
  <c r="I59" i="73"/>
  <c r="N60" i="54" s="1"/>
  <c r="AF59" i="71"/>
  <c r="BF19" i="78" s="1"/>
  <c r="G59" i="71"/>
  <c r="O59" i="71" s="1"/>
  <c r="T59" i="71"/>
  <c r="W59" i="71" s="1"/>
  <c r="L67" i="69"/>
  <c r="M67" i="69"/>
  <c r="D62" i="60" s="1"/>
  <c r="J60" i="54" s="1"/>
  <c r="AC59" i="71" l="1"/>
  <c r="AD59" i="71" s="1"/>
  <c r="Q58" i="70"/>
  <c r="Y58" i="70" s="1"/>
  <c r="BF14" i="78"/>
  <c r="K59" i="70"/>
  <c r="P60" i="54"/>
  <c r="AC60" i="54" s="1"/>
  <c r="C62" i="60"/>
  <c r="N67" i="69"/>
  <c r="BF15" i="78" l="1"/>
  <c r="BF18" i="78" s="1"/>
  <c r="BF24" i="78" s="1"/>
  <c r="R58" i="70"/>
  <c r="T58" i="70"/>
  <c r="K60" i="54"/>
  <c r="N59" i="70" s="1"/>
  <c r="E62" i="60"/>
  <c r="X60" i="54"/>
  <c r="E59" i="73"/>
  <c r="M59" i="70"/>
  <c r="BG9" i="78"/>
  <c r="BG11" i="78" l="1"/>
  <c r="O59" i="70"/>
  <c r="AO60" i="54"/>
  <c r="AD60" i="54"/>
  <c r="F59" i="73"/>
  <c r="BG17" i="78"/>
  <c r="BG12" i="78"/>
  <c r="BG13" i="78" l="1"/>
  <c r="O67" i="69"/>
  <c r="AP60" i="54"/>
  <c r="W59" i="70"/>
  <c r="R67" i="69"/>
  <c r="E60" i="71"/>
  <c r="AI60" i="71" s="1"/>
  <c r="BG22" i="78" s="1"/>
  <c r="S67" i="69" l="1"/>
  <c r="AS60" i="54"/>
  <c r="AU60" i="54"/>
  <c r="F62" i="60"/>
  <c r="H60" i="54" s="1"/>
  <c r="L60" i="54" s="1"/>
  <c r="Z60" i="54" s="1"/>
  <c r="AE60" i="54" s="1"/>
  <c r="P67" i="69"/>
  <c r="AF60" i="54" l="1"/>
  <c r="C60" i="73" s="1"/>
  <c r="D60" i="73" s="1"/>
  <c r="D60" i="71"/>
  <c r="P60" i="71"/>
  <c r="AG60" i="54"/>
  <c r="K59" i="73"/>
  <c r="L59" i="73" s="1"/>
  <c r="C68" i="69"/>
  <c r="S60" i="71"/>
  <c r="AV60" i="54"/>
  <c r="P59" i="70" l="1"/>
  <c r="AX60" i="54"/>
  <c r="AW60" i="54"/>
  <c r="M68" i="69"/>
  <c r="D63" i="60" s="1"/>
  <c r="J61" i="54" s="1"/>
  <c r="L68" i="69"/>
  <c r="AF60" i="71"/>
  <c r="BG19" i="78" s="1"/>
  <c r="G60" i="71"/>
  <c r="O60" i="71" s="1"/>
  <c r="F61" i="54"/>
  <c r="G61" i="54" s="1"/>
  <c r="I60" i="73"/>
  <c r="N61" i="54" s="1"/>
  <c r="S59" i="70" l="1"/>
  <c r="Z60" i="71"/>
  <c r="AB60" i="71" s="1"/>
  <c r="C63" i="60"/>
  <c r="N68" i="69"/>
  <c r="P61" i="54"/>
  <c r="K60" i="70"/>
  <c r="T60" i="71"/>
  <c r="W60" i="71" s="1"/>
  <c r="AC60" i="71" s="1"/>
  <c r="AD60" i="71" s="1"/>
  <c r="X59" i="70"/>
  <c r="BG14" i="78"/>
  <c r="Q59" i="70"/>
  <c r="BG15" i="78" l="1"/>
  <c r="BG18" i="78" s="1"/>
  <c r="BG24" i="78" s="1"/>
  <c r="M60" i="70"/>
  <c r="BH9" i="78"/>
  <c r="X61" i="54"/>
  <c r="T59" i="70"/>
  <c r="Y59" i="70"/>
  <c r="R59" i="70"/>
  <c r="AC61" i="54"/>
  <c r="K61" i="54"/>
  <c r="N60" i="70" s="1"/>
  <c r="E63" i="60"/>
  <c r="BH11" i="78" l="1"/>
  <c r="E60" i="73"/>
  <c r="AO61" i="54"/>
  <c r="AP61" i="54" s="1"/>
  <c r="BH17" i="78"/>
  <c r="BH12" i="78"/>
  <c r="O60" i="70"/>
  <c r="BH13" i="78" l="1"/>
  <c r="W60" i="70"/>
  <c r="AU61" i="54"/>
  <c r="AS61" i="54"/>
  <c r="AD61" i="54"/>
  <c r="F60" i="73"/>
  <c r="AV61" i="54" l="1"/>
  <c r="AX61" i="54" s="1"/>
  <c r="R68" i="69"/>
  <c r="E61" i="71"/>
  <c r="AI61" i="71" s="1"/>
  <c r="BH22" i="78" s="1"/>
  <c r="O68" i="69"/>
  <c r="P60" i="70" l="1"/>
  <c r="Q60" i="70" s="1"/>
  <c r="AW61" i="54"/>
  <c r="Z61" i="71" s="1"/>
  <c r="AB61" i="71" s="1"/>
  <c r="S68" i="69"/>
  <c r="S60" i="70"/>
  <c r="F63" i="60"/>
  <c r="H61" i="54" s="1"/>
  <c r="L61" i="54" s="1"/>
  <c r="Z61" i="54" s="1"/>
  <c r="AE61" i="54" s="1"/>
  <c r="P68" i="69"/>
  <c r="T61" i="71"/>
  <c r="BH14" i="78" l="1"/>
  <c r="X60" i="70"/>
  <c r="K60" i="73"/>
  <c r="L60" i="73" s="1"/>
  <c r="C69" i="69"/>
  <c r="S61" i="71"/>
  <c r="AG61" i="54"/>
  <c r="P61" i="71"/>
  <c r="AF61" i="54"/>
  <c r="C61" i="73" s="1"/>
  <c r="D61" i="73" s="1"/>
  <c r="D61" i="71"/>
  <c r="Y60" i="70"/>
  <c r="T60" i="70"/>
  <c r="R60" i="70"/>
  <c r="BH15" i="78" l="1"/>
  <c r="BH18" i="78" s="1"/>
  <c r="W61" i="71"/>
  <c r="AC61" i="71" s="1"/>
  <c r="AF61" i="71"/>
  <c r="BH19" i="78" s="1"/>
  <c r="G61" i="71"/>
  <c r="O61" i="71" s="1"/>
  <c r="F62" i="54"/>
  <c r="G62" i="54" s="1"/>
  <c r="I61" i="73"/>
  <c r="N62" i="54" s="1"/>
  <c r="M69" i="69"/>
  <c r="D64" i="60" s="1"/>
  <c r="J62" i="54" s="1"/>
  <c r="L69" i="69"/>
  <c r="BH24" i="78" l="1"/>
  <c r="AD61" i="71"/>
  <c r="N69" i="69"/>
  <c r="C64" i="60"/>
  <c r="P62" i="54"/>
  <c r="K61" i="70"/>
  <c r="BI9" i="78" l="1"/>
  <c r="BI11" i="78" s="1"/>
  <c r="M61" i="70"/>
  <c r="AC62" i="54"/>
  <c r="X62" i="54"/>
  <c r="K62" i="54"/>
  <c r="N61" i="70" s="1"/>
  <c r="E64" i="60"/>
  <c r="AO62" i="54" l="1"/>
  <c r="AP62" i="54" s="1"/>
  <c r="E61" i="73"/>
  <c r="BI12" i="78"/>
  <c r="BI13" i="78" s="1"/>
  <c r="BI17" i="78"/>
  <c r="O61" i="70"/>
  <c r="J9" i="76"/>
  <c r="J10" i="76"/>
  <c r="J11" i="76"/>
  <c r="J12" i="76"/>
  <c r="K9" i="76"/>
  <c r="K10" i="76"/>
  <c r="K11" i="76"/>
  <c r="K12" i="76"/>
  <c r="AD62" i="54" l="1"/>
  <c r="F61" i="73"/>
  <c r="W61" i="70"/>
  <c r="AU62" i="54"/>
  <c r="AS62" i="54"/>
  <c r="D14" i="75"/>
  <c r="E14" i="75"/>
  <c r="F14" i="75"/>
  <c r="G14" i="75"/>
  <c r="AV62" i="54" l="1"/>
  <c r="E62" i="71"/>
  <c r="AI62" i="71" s="1"/>
  <c r="BI22" i="78" s="1"/>
  <c r="R69" i="69"/>
  <c r="O69" i="69"/>
  <c r="F9" i="76"/>
  <c r="F10" i="76"/>
  <c r="G10" i="76" s="1"/>
  <c r="F11" i="76"/>
  <c r="G11" i="76" s="1"/>
  <c r="F12" i="76"/>
  <c r="G12" i="76" s="1"/>
  <c r="H9" i="76"/>
  <c r="H10" i="76"/>
  <c r="L10" i="76" s="1"/>
  <c r="H11" i="76"/>
  <c r="L11" i="76" s="1"/>
  <c r="H12" i="76"/>
  <c r="L12" i="76" s="1"/>
  <c r="S69" i="69" l="1"/>
  <c r="F64" i="60"/>
  <c r="H62" i="54" s="1"/>
  <c r="L62" i="54" s="1"/>
  <c r="Z62" i="54" s="1"/>
  <c r="AE62" i="54" s="1"/>
  <c r="P69" i="69"/>
  <c r="P61" i="70"/>
  <c r="AX62" i="54"/>
  <c r="AW62" i="54"/>
  <c r="L9" i="76"/>
  <c r="N9" i="76"/>
  <c r="N10" i="76"/>
  <c r="P10" i="76" s="1"/>
  <c r="N11" i="76"/>
  <c r="P11" i="76" s="1"/>
  <c r="Z11" i="76" s="1"/>
  <c r="N12" i="76"/>
  <c r="P12" i="76" s="1"/>
  <c r="Z12" i="76" s="1"/>
  <c r="G9" i="76"/>
  <c r="T62" i="71" l="1"/>
  <c r="X61" i="70"/>
  <c r="BI14" i="78"/>
  <c r="BI15" i="78" s="1"/>
  <c r="BI18" i="78" s="1"/>
  <c r="Q61" i="70"/>
  <c r="K61" i="73"/>
  <c r="L61" i="73" s="1"/>
  <c r="S62" i="71"/>
  <c r="C70" i="69"/>
  <c r="Z62" i="71"/>
  <c r="AB62" i="71" s="1"/>
  <c r="S61" i="70"/>
  <c r="P62" i="71"/>
  <c r="AF62" i="54"/>
  <c r="C62" i="73" s="1"/>
  <c r="D62" i="73" s="1"/>
  <c r="D62" i="71"/>
  <c r="AG62" i="54"/>
  <c r="X12" i="76"/>
  <c r="AO12" i="76"/>
  <c r="AP12" i="76" s="1"/>
  <c r="P9" i="76"/>
  <c r="Z9" i="76" s="1"/>
  <c r="AO11" i="76"/>
  <c r="AP11" i="76" s="1"/>
  <c r="X11" i="76"/>
  <c r="X10" i="76"/>
  <c r="AO10" i="76"/>
  <c r="AP10" i="76" s="1"/>
  <c r="D11" i="75"/>
  <c r="D13" i="75" s="1"/>
  <c r="D15" i="75" s="1"/>
  <c r="E11" i="75"/>
  <c r="E13" i="75" s="1"/>
  <c r="E15" i="75" s="1"/>
  <c r="F11" i="75"/>
  <c r="F13" i="75" s="1"/>
  <c r="F15" i="75" s="1"/>
  <c r="G11" i="75"/>
  <c r="G13" i="75" s="1"/>
  <c r="G15" i="75" s="1"/>
  <c r="Z10" i="76"/>
  <c r="F63" i="54" l="1"/>
  <c r="I62" i="73"/>
  <c r="N63" i="54" s="1"/>
  <c r="M70" i="69"/>
  <c r="L70" i="69"/>
  <c r="G62" i="71"/>
  <c r="O62" i="71" s="1"/>
  <c r="AF62" i="71"/>
  <c r="BI19" i="78" s="1"/>
  <c r="BI24" i="78" s="1"/>
  <c r="T61" i="70"/>
  <c r="Y61" i="70"/>
  <c r="R61" i="70"/>
  <c r="W62" i="71"/>
  <c r="AC62" i="71" s="1"/>
  <c r="AC9" i="76"/>
  <c r="AC10" i="76"/>
  <c r="AC11" i="76"/>
  <c r="AC12" i="76"/>
  <c r="X9" i="76"/>
  <c r="AO9" i="76"/>
  <c r="D65" i="60" l="1"/>
  <c r="P63" i="54"/>
  <c r="K62" i="70"/>
  <c r="AD62" i="71"/>
  <c r="N70" i="69"/>
  <c r="C65" i="60"/>
  <c r="G63" i="54"/>
  <c r="AP9" i="76"/>
  <c r="M62" i="70" l="1"/>
  <c r="BJ9" i="78"/>
  <c r="BJ11" i="78" s="1"/>
  <c r="K63" i="54"/>
  <c r="AO63" i="54" s="1"/>
  <c r="AP63" i="54" s="1"/>
  <c r="E65" i="60"/>
  <c r="AC63" i="54"/>
  <c r="X63" i="54"/>
  <c r="J63" i="54"/>
  <c r="AU9" i="76"/>
  <c r="AU10" i="76" s="1"/>
  <c r="AS9" i="76"/>
  <c r="AS10" i="76" s="1"/>
  <c r="AD9" i="76"/>
  <c r="AD10" i="76"/>
  <c r="AD11" i="76"/>
  <c r="AD12" i="76"/>
  <c r="E62" i="73" l="1"/>
  <c r="AS63" i="54"/>
  <c r="AU63" i="54"/>
  <c r="N62" i="70"/>
  <c r="AU11" i="76"/>
  <c r="AU12" i="76" s="1"/>
  <c r="AV10" i="76"/>
  <c r="AS11" i="76"/>
  <c r="AE9" i="76"/>
  <c r="AE10" i="76"/>
  <c r="AE11" i="76"/>
  <c r="AE12" i="76"/>
  <c r="AV9" i="76"/>
  <c r="BJ12" i="78" l="1"/>
  <c r="BJ13" i="78" s="1"/>
  <c r="BJ17" i="78"/>
  <c r="O62" i="70"/>
  <c r="AD63" i="54"/>
  <c r="F62" i="73"/>
  <c r="AV63" i="54"/>
  <c r="AV11" i="76"/>
  <c r="AX11" i="76" s="1"/>
  <c r="AF12" i="76"/>
  <c r="AG12" i="76"/>
  <c r="AX9" i="76"/>
  <c r="AW9" i="76"/>
  <c r="AG11" i="76"/>
  <c r="AF11" i="76"/>
  <c r="AF10" i="76"/>
  <c r="AG10" i="76"/>
  <c r="AS12" i="76"/>
  <c r="AV12" i="76" s="1"/>
  <c r="D16" i="75"/>
  <c r="D17" i="75" s="1"/>
  <c r="D43" i="74" s="1"/>
  <c r="D44" i="74" s="1"/>
  <c r="E16" i="75"/>
  <c r="E17" i="75" s="1"/>
  <c r="E43" i="74" s="1"/>
  <c r="E44" i="74" s="1"/>
  <c r="F16" i="75"/>
  <c r="F17" i="75" s="1"/>
  <c r="F43" i="74" s="1"/>
  <c r="F44" i="74" s="1"/>
  <c r="G16" i="75"/>
  <c r="G17" i="75" s="1"/>
  <c r="G43" i="74" s="1"/>
  <c r="G44" i="74" s="1"/>
  <c r="AG9" i="76"/>
  <c r="AF9" i="76"/>
  <c r="AX10" i="76"/>
  <c r="AW10" i="76"/>
  <c r="E63" i="71" l="1"/>
  <c r="AI63" i="71" s="1"/>
  <c r="R70" i="69"/>
  <c r="O70" i="69"/>
  <c r="W62" i="70"/>
  <c r="AW63" i="54"/>
  <c r="P62" i="70"/>
  <c r="AX63" i="54"/>
  <c r="T63" i="71" s="1"/>
  <c r="AW11" i="76"/>
  <c r="AX12" i="76"/>
  <c r="AW12" i="76"/>
  <c r="S70" i="69" l="1"/>
  <c r="Z63" i="71"/>
  <c r="AB63" i="71" s="1"/>
  <c r="S62" i="70"/>
  <c r="BJ22" i="78"/>
  <c r="Q62" i="70"/>
  <c r="X62" i="70"/>
  <c r="BJ14" i="78"/>
  <c r="BJ15" i="78" s="1"/>
  <c r="BJ18" i="78" s="1"/>
  <c r="F65" i="60"/>
  <c r="P70" i="69"/>
  <c r="H63" i="54" l="1"/>
  <c r="C71" i="69"/>
  <c r="K62" i="73"/>
  <c r="L62" i="73" s="1"/>
  <c r="S63" i="71"/>
  <c r="T62" i="70"/>
  <c r="Y62" i="70"/>
  <c r="R62" i="70"/>
  <c r="M71" i="69" l="1"/>
  <c r="L71" i="69"/>
  <c r="L63" i="54"/>
  <c r="Z63" i="54" l="1"/>
  <c r="AE63" i="54" s="1"/>
  <c r="N71" i="69"/>
  <c r="C66" i="60"/>
  <c r="D66" i="60"/>
  <c r="J64" i="54" l="1"/>
  <c r="E66" i="60"/>
  <c r="K64" i="54"/>
  <c r="AG63" i="54" l="1"/>
  <c r="D63" i="71"/>
  <c r="P63" i="71"/>
  <c r="W63" i="71" s="1"/>
  <c r="AC63" i="71" s="1"/>
  <c r="AF63" i="54"/>
  <c r="C63" i="73" s="1"/>
  <c r="D63" i="73" s="1"/>
  <c r="N63" i="70"/>
  <c r="F64" i="54" l="1"/>
  <c r="I63" i="73"/>
  <c r="N64" i="54" s="1"/>
  <c r="BK17" i="78"/>
  <c r="BK12" i="78"/>
  <c r="AF63" i="71"/>
  <c r="G63" i="71"/>
  <c r="O63" i="71" s="1"/>
  <c r="AD63" i="71" s="1"/>
  <c r="BJ19" i="78" l="1"/>
  <c r="BJ24" i="78" s="1"/>
  <c r="P64" i="54"/>
  <c r="K63" i="70"/>
  <c r="G64" i="54"/>
  <c r="M63" i="70" l="1"/>
  <c r="BK9" i="78"/>
  <c r="BK11" i="78" s="1"/>
  <c r="BK13" i="78" s="1"/>
  <c r="AC64" i="54"/>
  <c r="AO64" i="54"/>
  <c r="X64" i="54"/>
  <c r="AP64" i="54" l="1"/>
  <c r="E63" i="73"/>
  <c r="O63" i="70"/>
  <c r="AD64" i="54" l="1"/>
  <c r="F63" i="73"/>
  <c r="AU64" i="54"/>
  <c r="AS64" i="54"/>
  <c r="W63" i="70"/>
  <c r="AV64" i="54" l="1"/>
  <c r="R71" i="69"/>
  <c r="E64" i="71"/>
  <c r="AI64" i="71" s="1"/>
  <c r="O71" i="69"/>
  <c r="S71" i="69" l="1"/>
  <c r="F66" i="60"/>
  <c r="P71" i="69"/>
  <c r="BK22" i="78"/>
  <c r="AX64" i="54"/>
  <c r="P63" i="70"/>
  <c r="AW64" i="54"/>
  <c r="BK14" i="78" l="1"/>
  <c r="BK15" i="78" s="1"/>
  <c r="BK18" i="78" s="1"/>
  <c r="X63" i="70"/>
  <c r="Q63" i="70"/>
  <c r="C72" i="69"/>
  <c r="K63" i="73"/>
  <c r="L63" i="73" s="1"/>
  <c r="S64" i="71"/>
  <c r="Z64" i="71"/>
  <c r="AB64" i="71" s="1"/>
  <c r="S63" i="70"/>
  <c r="T64" i="71"/>
  <c r="H64" i="54"/>
  <c r="L64" i="54" l="1"/>
  <c r="Y63" i="70"/>
  <c r="T63" i="70"/>
  <c r="R63" i="70"/>
  <c r="L72" i="69"/>
  <c r="M72" i="69"/>
  <c r="N72" i="69" l="1"/>
  <c r="C67" i="60"/>
  <c r="D67" i="60"/>
  <c r="Z64" i="54"/>
  <c r="AE64" i="54" s="1"/>
  <c r="J65" i="54" l="1"/>
  <c r="E67" i="60"/>
  <c r="K65" i="54"/>
  <c r="AG64" i="54" l="1"/>
  <c r="D64" i="71"/>
  <c r="AF64" i="54"/>
  <c r="C64" i="73" s="1"/>
  <c r="D64" i="73" s="1"/>
  <c r="P64" i="71"/>
  <c r="W64" i="71" s="1"/>
  <c r="AC64" i="71" s="1"/>
  <c r="N64" i="70"/>
  <c r="BL12" i="78" l="1"/>
  <c r="BL17" i="78"/>
  <c r="F65" i="54"/>
  <c r="I64" i="73"/>
  <c r="N65" i="54" s="1"/>
  <c r="AF64" i="71"/>
  <c r="G64" i="71"/>
  <c r="O64" i="71" s="1"/>
  <c r="AD64" i="71" s="1"/>
  <c r="P65" i="54" l="1"/>
  <c r="K64" i="70"/>
  <c r="G65" i="54"/>
  <c r="BK19" i="78"/>
  <c r="BK24" i="78" s="1"/>
  <c r="AC65" i="54" l="1"/>
  <c r="AO65" i="54"/>
  <c r="X65" i="54"/>
  <c r="M64" i="70"/>
  <c r="BL9" i="78"/>
  <c r="BL11" i="78" s="1"/>
  <c r="BL13" i="78" s="1"/>
  <c r="AP65" i="54" l="1"/>
  <c r="E64" i="73"/>
  <c r="O64" i="70"/>
  <c r="AU65" i="54" l="1"/>
  <c r="AS65" i="54"/>
  <c r="AD65" i="54"/>
  <c r="F64" i="73"/>
  <c r="W64" i="70"/>
  <c r="E65" i="71" l="1"/>
  <c r="AI65" i="71" s="1"/>
  <c r="R72" i="69"/>
  <c r="O72" i="69"/>
  <c r="AV65" i="54"/>
  <c r="S72" i="69" l="1"/>
  <c r="P64" i="70"/>
  <c r="AX65" i="54"/>
  <c r="AW65" i="54"/>
  <c r="F67" i="60"/>
  <c r="P72" i="69"/>
  <c r="BL22" i="78"/>
  <c r="Z65" i="71" l="1"/>
  <c r="AB65" i="71" s="1"/>
  <c r="S64" i="70"/>
  <c r="H65" i="54"/>
  <c r="C73" i="69"/>
  <c r="K64" i="73"/>
  <c r="L64" i="73" s="1"/>
  <c r="S65" i="71"/>
  <c r="T65" i="71"/>
  <c r="X64" i="70"/>
  <c r="BL14" i="78"/>
  <c r="BL15" i="78" s="1"/>
  <c r="BL18" i="78" s="1"/>
  <c r="Q64" i="70"/>
  <c r="L65" i="54" l="1"/>
  <c r="M73" i="69"/>
  <c r="L73" i="69"/>
  <c r="Y64" i="70"/>
  <c r="T64" i="70"/>
  <c r="R64" i="70"/>
  <c r="N73" i="69" l="1"/>
  <c r="C68" i="60"/>
  <c r="Z65" i="54"/>
  <c r="AE65" i="54" s="1"/>
  <c r="D68" i="60"/>
  <c r="K66" i="54" l="1"/>
  <c r="E68" i="60"/>
  <c r="J66" i="54"/>
  <c r="AG65" i="54" l="1"/>
  <c r="D65" i="71"/>
  <c r="AF65" i="54"/>
  <c r="C65" i="73" s="1"/>
  <c r="D65" i="73" s="1"/>
  <c r="P65" i="71"/>
  <c r="W65" i="71" s="1"/>
  <c r="AC65" i="71" s="1"/>
  <c r="N65" i="70"/>
  <c r="F66" i="54" l="1"/>
  <c r="I65" i="73"/>
  <c r="N66" i="54" s="1"/>
  <c r="AF65" i="71"/>
  <c r="G65" i="71"/>
  <c r="O65" i="71" s="1"/>
  <c r="AD65" i="71" s="1"/>
  <c r="BM12" i="78"/>
  <c r="BM17" i="78"/>
  <c r="BL19" i="78" l="1"/>
  <c r="BL24" i="78" s="1"/>
  <c r="P66" i="54"/>
  <c r="K65" i="70"/>
  <c r="G66" i="54"/>
  <c r="M65" i="70" l="1"/>
  <c r="BM9" i="78"/>
  <c r="BM11" i="78" s="1"/>
  <c r="BM13" i="78" s="1"/>
  <c r="AC66" i="54"/>
  <c r="AO66" i="54"/>
  <c r="X66" i="54"/>
  <c r="AP66" i="54" l="1"/>
  <c r="E65" i="73"/>
  <c r="O65" i="70"/>
  <c r="W65" i="70" l="1"/>
  <c r="AD66" i="54"/>
  <c r="F65" i="73"/>
  <c r="AU66" i="54"/>
  <c r="AS66" i="54"/>
  <c r="O73" i="69" l="1"/>
  <c r="AV66" i="54"/>
  <c r="R73" i="69"/>
  <c r="E66" i="71"/>
  <c r="AI66" i="71" s="1"/>
  <c r="S73" i="69" l="1"/>
  <c r="BM22" i="78"/>
  <c r="P65" i="70"/>
  <c r="AX66" i="54"/>
  <c r="AW66" i="54"/>
  <c r="F68" i="60"/>
  <c r="P73" i="69"/>
  <c r="C74" i="69" l="1"/>
  <c r="S66" i="71"/>
  <c r="K65" i="73"/>
  <c r="L65" i="73" s="1"/>
  <c r="T66" i="71"/>
  <c r="BM14" i="78"/>
  <c r="BM15" i="78" s="1"/>
  <c r="BM18" i="78" s="1"/>
  <c r="X65" i="70"/>
  <c r="Q65" i="70"/>
  <c r="H66" i="54"/>
  <c r="S65" i="70"/>
  <c r="Z66" i="71"/>
  <c r="AB66" i="71" s="1"/>
  <c r="Y65" i="70" l="1"/>
  <c r="T65" i="70"/>
  <c r="R65" i="70"/>
  <c r="L66" i="54"/>
  <c r="L74" i="69"/>
  <c r="M74" i="69"/>
  <c r="D69" i="60" l="1"/>
  <c r="Z66" i="54"/>
  <c r="AE66" i="54" s="1"/>
  <c r="C69" i="60"/>
  <c r="N74" i="69"/>
  <c r="E69" i="60" l="1"/>
  <c r="K67" i="54"/>
  <c r="J67" i="54"/>
  <c r="P66" i="71" l="1"/>
  <c r="W66" i="71" s="1"/>
  <c r="AC66" i="71" s="1"/>
  <c r="AG66" i="54"/>
  <c r="AF66" i="54"/>
  <c r="C66" i="73" s="1"/>
  <c r="D66" i="73" s="1"/>
  <c r="D66" i="71"/>
  <c r="N66" i="70"/>
  <c r="F67" i="54" l="1"/>
  <c r="I66" i="73"/>
  <c r="N67" i="54" s="1"/>
  <c r="BN12" i="78"/>
  <c r="BN17" i="78"/>
  <c r="AF66" i="71"/>
  <c r="G66" i="71"/>
  <c r="O66" i="71" s="1"/>
  <c r="AD66" i="71" s="1"/>
  <c r="BM19" i="78" l="1"/>
  <c r="BM24" i="78" s="1"/>
  <c r="K66" i="70"/>
  <c r="P67" i="54"/>
  <c r="G67" i="54"/>
  <c r="AC67" i="54" l="1"/>
  <c r="E66" i="73" s="1"/>
  <c r="X67" i="54"/>
  <c r="AO67" i="54"/>
  <c r="BN9" i="78"/>
  <c r="BN11" i="78" s="1"/>
  <c r="BN13" i="78" s="1"/>
  <c r="M66" i="70"/>
  <c r="AD67" i="54" l="1"/>
  <c r="F66" i="73"/>
  <c r="O66" i="70"/>
  <c r="AP67" i="54"/>
  <c r="AS67" i="54" l="1"/>
  <c r="AU67" i="54"/>
  <c r="R74" i="69"/>
  <c r="E67" i="71"/>
  <c r="AI67" i="71" s="1"/>
  <c r="W66" i="70"/>
  <c r="O74" i="69"/>
  <c r="S74" i="69" l="1"/>
  <c r="F69" i="60"/>
  <c r="P74" i="69"/>
  <c r="AV67" i="54"/>
  <c r="BN22" i="78"/>
  <c r="P66" i="70" l="1"/>
  <c r="AX67" i="54"/>
  <c r="AW67" i="54"/>
  <c r="K66" i="73"/>
  <c r="L66" i="73" s="1"/>
  <c r="C75" i="69"/>
  <c r="S67" i="71"/>
  <c r="H67" i="54"/>
  <c r="L67" i="54" l="1"/>
  <c r="Z67" i="71"/>
  <c r="AB67" i="71" s="1"/>
  <c r="S66" i="70"/>
  <c r="T67" i="71"/>
  <c r="M75" i="69"/>
  <c r="L75" i="69"/>
  <c r="BN14" i="78"/>
  <c r="BN15" i="78" s="1"/>
  <c r="BN18" i="78" s="1"/>
  <c r="X66" i="70"/>
  <c r="Q66" i="70"/>
  <c r="Y66" i="70" l="1"/>
  <c r="T66" i="70"/>
  <c r="R66" i="70"/>
  <c r="N75" i="69"/>
  <c r="N77" i="69" s="1"/>
  <c r="C70" i="60"/>
  <c r="L77" i="69"/>
  <c r="D70" i="60"/>
  <c r="M77" i="69"/>
  <c r="Z67" i="54"/>
  <c r="AE67" i="54" s="1"/>
  <c r="J68" i="54" l="1"/>
  <c r="D72" i="60"/>
  <c r="E70" i="60"/>
  <c r="E72" i="60" s="1"/>
  <c r="K68" i="54"/>
  <c r="C72" i="60"/>
  <c r="AF67" i="54" l="1"/>
  <c r="C67" i="73" s="1"/>
  <c r="D67" i="73" s="1"/>
  <c r="AG67" i="54"/>
  <c r="P67" i="71"/>
  <c r="W67" i="71" s="1"/>
  <c r="AC67" i="71" s="1"/>
  <c r="D67" i="71"/>
  <c r="N67" i="70"/>
  <c r="K13" i="76"/>
  <c r="K15" i="76" s="1"/>
  <c r="K70" i="54"/>
  <c r="J70" i="54"/>
  <c r="J13" i="76"/>
  <c r="J15" i="76" s="1"/>
  <c r="G67" i="71" l="1"/>
  <c r="O67" i="71" s="1"/>
  <c r="AD67" i="71" s="1"/>
  <c r="AF67" i="71"/>
  <c r="BO12" i="78"/>
  <c r="BO17" i="78"/>
  <c r="N69" i="70"/>
  <c r="H14" i="75"/>
  <c r="F68" i="54"/>
  <c r="I67" i="73"/>
  <c r="N68" i="54" s="1"/>
  <c r="H18" i="103" l="1"/>
  <c r="I18" i="103"/>
  <c r="J18" i="103"/>
  <c r="K18" i="103"/>
  <c r="L18" i="103"/>
  <c r="H13" i="103"/>
  <c r="I13" i="103"/>
  <c r="J13" i="103"/>
  <c r="K13" i="103"/>
  <c r="L13" i="103"/>
  <c r="BN19" i="78"/>
  <c r="BN24" i="78" s="1"/>
  <c r="K67" i="70"/>
  <c r="P68" i="54"/>
  <c r="N70" i="54"/>
  <c r="N13" i="76"/>
  <c r="G68" i="54"/>
  <c r="F13" i="76"/>
  <c r="F70" i="54"/>
  <c r="P13" i="76" l="1"/>
  <c r="N15" i="76"/>
  <c r="G13" i="76"/>
  <c r="F15" i="76"/>
  <c r="AC68" i="54"/>
  <c r="X68" i="54"/>
  <c r="AO68" i="54"/>
  <c r="P70" i="54"/>
  <c r="G70" i="54"/>
  <c r="M67" i="70"/>
  <c r="BO9" i="78"/>
  <c r="K69" i="70"/>
  <c r="H11" i="75"/>
  <c r="H13" i="75" s="1"/>
  <c r="H15" i="75" s="1"/>
  <c r="BO11" i="78" l="1"/>
  <c r="BO13" i="78" s="1"/>
  <c r="H10" i="103"/>
  <c r="H12" i="103" s="1"/>
  <c r="I10" i="103"/>
  <c r="I12" i="103" s="1"/>
  <c r="I14" i="103" s="1"/>
  <c r="J10" i="103"/>
  <c r="J12" i="103" s="1"/>
  <c r="J14" i="103" s="1"/>
  <c r="K10" i="103"/>
  <c r="K12" i="103" s="1"/>
  <c r="K14" i="103" s="1"/>
  <c r="L10" i="103"/>
  <c r="L12" i="103" s="1"/>
  <c r="L14" i="103" s="1"/>
  <c r="E67" i="73"/>
  <c r="AC13" i="76"/>
  <c r="AC15" i="76" s="1"/>
  <c r="O67" i="70"/>
  <c r="M69" i="70"/>
  <c r="AO70" i="54"/>
  <c r="AP68" i="54"/>
  <c r="G15" i="76"/>
  <c r="X70" i="54"/>
  <c r="X71" i="54"/>
  <c r="X13" i="76"/>
  <c r="X15" i="76" s="1"/>
  <c r="P15" i="76"/>
  <c r="AO13" i="76"/>
  <c r="H14" i="103" l="1"/>
  <c r="M12" i="103"/>
  <c r="AS68" i="54"/>
  <c r="AU68" i="54"/>
  <c r="AP13" i="76"/>
  <c r="AO15" i="76"/>
  <c r="W67" i="70"/>
  <c r="W69" i="70" s="1"/>
  <c r="O69" i="70"/>
  <c r="AD68" i="54"/>
  <c r="F67" i="73"/>
  <c r="M14" i="103" l="1"/>
  <c r="AP15" i="76"/>
  <c r="E68" i="71"/>
  <c r="R75" i="69"/>
  <c r="AU70" i="54"/>
  <c r="AU13" i="76"/>
  <c r="AU15" i="76" s="1"/>
  <c r="AD13" i="76"/>
  <c r="AD15" i="76" s="1"/>
  <c r="O75" i="69"/>
  <c r="AV68" i="54"/>
  <c r="AS13" i="76"/>
  <c r="AS70" i="54"/>
  <c r="S75" i="69" l="1"/>
  <c r="F70" i="60"/>
  <c r="O77" i="69"/>
  <c r="P75" i="69"/>
  <c r="AI68" i="71"/>
  <c r="H10" i="74"/>
  <c r="E70" i="71"/>
  <c r="AV13" i="76"/>
  <c r="AS15" i="76"/>
  <c r="P67" i="70"/>
  <c r="AV70" i="54"/>
  <c r="AX68" i="54"/>
  <c r="T68" i="71" s="1"/>
  <c r="AW68" i="54"/>
  <c r="Y68" i="71" l="1"/>
  <c r="S67" i="70"/>
  <c r="S69" i="70" s="1"/>
  <c r="AW70" i="54"/>
  <c r="BO22" i="78"/>
  <c r="AI70" i="71"/>
  <c r="T70" i="71"/>
  <c r="H30" i="74"/>
  <c r="H33" i="74" s="1"/>
  <c r="AV15" i="76"/>
  <c r="AX13" i="76"/>
  <c r="AW13" i="76"/>
  <c r="K67" i="73"/>
  <c r="L67" i="73" s="1"/>
  <c r="S68" i="71"/>
  <c r="H27" i="74" s="1"/>
  <c r="X67" i="70"/>
  <c r="BO14" i="78"/>
  <c r="P69" i="70"/>
  <c r="H16" i="75"/>
  <c r="H17" i="75" s="1"/>
  <c r="H43" i="74" s="1"/>
  <c r="Q67" i="70"/>
  <c r="H68" i="54"/>
  <c r="F72" i="60"/>
  <c r="H23" i="103" l="1"/>
  <c r="I23" i="103"/>
  <c r="J23" i="103"/>
  <c r="K23" i="103"/>
  <c r="L23" i="103"/>
  <c r="BO15" i="78"/>
  <c r="BO18" i="78" s="1"/>
  <c r="H15" i="103"/>
  <c r="H16" i="103" s="1"/>
  <c r="I15" i="103"/>
  <c r="I16" i="103" s="1"/>
  <c r="I19" i="103" s="1"/>
  <c r="J15" i="103"/>
  <c r="J16" i="103" s="1"/>
  <c r="J19" i="103" s="1"/>
  <c r="K15" i="103"/>
  <c r="K16" i="103" s="1"/>
  <c r="K19" i="103" s="1"/>
  <c r="L15" i="103"/>
  <c r="L16" i="103" s="1"/>
  <c r="L19" i="103" s="1"/>
  <c r="L68" i="54"/>
  <c r="H70" i="54"/>
  <c r="H13" i="76"/>
  <c r="T67" i="70"/>
  <c r="T69" i="70" s="1"/>
  <c r="Y67" i="70"/>
  <c r="R67" i="70"/>
  <c r="R69" i="70" s="1"/>
  <c r="Q69" i="70"/>
  <c r="Z68" i="71"/>
  <c r="AB68" i="71" s="1"/>
  <c r="AB70" i="71" s="1"/>
  <c r="Y70" i="71"/>
  <c r="H36" i="74"/>
  <c r="H19" i="103" l="1"/>
  <c r="M16" i="103"/>
  <c r="M23" i="103"/>
  <c r="Y69" i="70"/>
  <c r="Y70" i="70"/>
  <c r="L70" i="54"/>
  <c r="Z68" i="54"/>
  <c r="AE68" i="54" s="1"/>
  <c r="H37" i="74"/>
  <c r="H39" i="74" s="1"/>
  <c r="Z70" i="71"/>
  <c r="L13" i="76"/>
  <c r="H15" i="76"/>
  <c r="M19" i="103" l="1"/>
  <c r="H44" i="74"/>
  <c r="Z71" i="54"/>
  <c r="Z70" i="54"/>
  <c r="L15" i="76"/>
  <c r="Z13" i="76"/>
  <c r="Z15" i="76" s="1"/>
  <c r="P68" i="71" l="1"/>
  <c r="AG68" i="54"/>
  <c r="AG70" i="54" s="1"/>
  <c r="AF68" i="54"/>
  <c r="AF70" i="54" s="1"/>
  <c r="D68" i="71"/>
  <c r="AE70" i="54"/>
  <c r="AE13" i="76"/>
  <c r="H9" i="74" l="1"/>
  <c r="H12" i="74" s="1"/>
  <c r="H22" i="74" s="1"/>
  <c r="AF68" i="71"/>
  <c r="D70" i="71"/>
  <c r="G68" i="71"/>
  <c r="AF13" i="76"/>
  <c r="AF15" i="76" s="1"/>
  <c r="AE15" i="76"/>
  <c r="AG13" i="76"/>
  <c r="AG15" i="76" s="1"/>
  <c r="P70" i="71"/>
  <c r="H24" i="74"/>
  <c r="H28" i="74" s="1"/>
  <c r="H34" i="74" s="1"/>
  <c r="H40" i="74" s="1"/>
  <c r="W68" i="71"/>
  <c r="H41" i="74" l="1"/>
  <c r="O68" i="71"/>
  <c r="G70" i="71"/>
  <c r="W70" i="71"/>
  <c r="AC68" i="71"/>
  <c r="AC70" i="71" s="1"/>
  <c r="BO19" i="78"/>
  <c r="AF70" i="71"/>
  <c r="H20" i="103" l="1"/>
  <c r="I20" i="103"/>
  <c r="I25" i="103" s="1"/>
  <c r="J20" i="103"/>
  <c r="J25" i="103" s="1"/>
  <c r="K20" i="103"/>
  <c r="K25" i="103" s="1"/>
  <c r="L20" i="103"/>
  <c r="L25" i="103" s="1"/>
  <c r="BO24" i="78"/>
  <c r="E32" i="78"/>
  <c r="K5" i="63" s="1"/>
  <c r="E30" i="78"/>
  <c r="K4" i="63" s="1"/>
  <c r="E27" i="78"/>
  <c r="I3" i="63" s="1"/>
  <c r="O70" i="71"/>
  <c r="AD68" i="71"/>
  <c r="AD70" i="71" s="1"/>
  <c r="M20" i="103" l="1"/>
  <c r="H25" i="103"/>
  <c r="F172" i="87"/>
  <c r="G172" i="87"/>
  <c r="F171" i="87"/>
  <c r="G171" i="87"/>
  <c r="F170" i="87"/>
  <c r="G170" i="87"/>
  <c r="F169" i="87"/>
  <c r="G169" i="87"/>
  <c r="F94" i="92"/>
  <c r="F189" i="92"/>
  <c r="F208" i="92"/>
  <c r="F210" i="87"/>
  <c r="F191" i="87"/>
  <c r="G94" i="92"/>
  <c r="G189" i="92"/>
  <c r="G208" i="92"/>
  <c r="G210" i="87"/>
  <c r="G191" i="87"/>
  <c r="F188" i="92"/>
  <c r="F207" i="92"/>
  <c r="F93" i="92"/>
  <c r="F209" i="87"/>
  <c r="F190" i="87"/>
  <c r="G188" i="92"/>
  <c r="G207" i="92"/>
  <c r="G93" i="92"/>
  <c r="G209" i="87"/>
  <c r="G190" i="87"/>
  <c r="F205" i="92"/>
  <c r="F186" i="92"/>
  <c r="F91" i="92"/>
  <c r="F188" i="87"/>
  <c r="F207" i="87"/>
  <c r="G91" i="92"/>
  <c r="G205" i="92"/>
  <c r="G186" i="92"/>
  <c r="G188" i="87"/>
  <c r="G207" i="87"/>
  <c r="F206" i="92"/>
  <c r="F92" i="92"/>
  <c r="F208" i="87"/>
  <c r="F187" i="92"/>
  <c r="F189" i="87"/>
  <c r="E28" i="78"/>
  <c r="G92" i="92"/>
  <c r="G206" i="92"/>
  <c r="G187" i="92"/>
  <c r="G208" i="87"/>
  <c r="G189" i="87"/>
  <c r="E31" i="103" l="1"/>
  <c r="E33" i="103"/>
  <c r="M25" i="103"/>
  <c r="E28" i="103"/>
  <c r="E29" i="103" s="1"/>
  <c r="D172" i="87"/>
  <c r="D171" i="87"/>
  <c r="D208" i="87"/>
  <c r="D170" i="87"/>
  <c r="D169" i="87"/>
  <c r="D208" i="92"/>
  <c r="D189" i="92"/>
  <c r="D94" i="92"/>
  <c r="D210" i="87"/>
  <c r="D191" i="87"/>
  <c r="D93" i="92"/>
  <c r="D188" i="92"/>
  <c r="D207" i="92"/>
  <c r="D209" i="87"/>
  <c r="D190" i="87"/>
  <c r="D91" i="92"/>
  <c r="D186" i="92"/>
  <c r="D205" i="92"/>
  <c r="D207" i="87"/>
  <c r="D188" i="87"/>
  <c r="K3" i="63"/>
  <c r="D206" i="92"/>
  <c r="D187" i="92"/>
  <c r="D92" i="92"/>
  <c r="D189" i="87"/>
  <c r="E172" i="87" l="1"/>
  <c r="E171" i="87"/>
  <c r="E170" i="87"/>
  <c r="E169" i="87"/>
  <c r="E94" i="92"/>
  <c r="E208" i="92"/>
  <c r="E189" i="92"/>
  <c r="E210" i="87"/>
  <c r="E191" i="87"/>
  <c r="E188" i="92"/>
  <c r="E93" i="92"/>
  <c r="E207" i="92"/>
  <c r="E209" i="87"/>
  <c r="E190" i="87"/>
  <c r="E186" i="92"/>
  <c r="E91" i="92"/>
  <c r="E205" i="92"/>
  <c r="E207" i="87"/>
  <c r="E188" i="87"/>
  <c r="E206" i="92"/>
  <c r="E92" i="92"/>
  <c r="E208" i="87"/>
  <c r="E189" i="87"/>
  <c r="E187" i="92"/>
</calcChain>
</file>

<file path=xl/comments1.xml><?xml version="1.0" encoding="utf-8"?>
<comments xmlns="http://schemas.openxmlformats.org/spreadsheetml/2006/main">
  <authors>
    <author>Eduarben</author>
  </authors>
  <commentList>
    <comment ref="B27" authorId="0">
      <text>
        <r>
          <rPr>
            <sz val="9"/>
            <color indexed="81"/>
            <rFont val="Tahoma"/>
            <family val="2"/>
          </rPr>
          <t xml:space="preserve">Para marcar esta opción, borre el contenido de la celda superior (B25).
</t>
        </r>
      </text>
    </comment>
    <comment ref="B52" authorId="0">
      <text>
        <r>
          <rPr>
            <sz val="9"/>
            <color indexed="81"/>
            <rFont val="Tahoma"/>
            <family val="2"/>
          </rPr>
          <t xml:space="preserve">Para marcar esta opción, borre el contenido de la celda superior (B50).
</t>
        </r>
      </text>
    </comment>
    <comment ref="B74" authorId="0">
      <text>
        <r>
          <rPr>
            <sz val="9"/>
            <color indexed="81"/>
            <rFont val="Tahoma"/>
            <family val="2"/>
          </rPr>
          <t>Para marcar esta opción, borre el contenido de la celda superior (B71).</t>
        </r>
      </text>
    </comment>
    <comment ref="B85" authorId="0">
      <text>
        <r>
          <rPr>
            <sz val="9"/>
            <color indexed="81"/>
            <rFont val="Tahoma"/>
            <family val="2"/>
          </rPr>
          <t>Para marcar esta opción, borre el contenido de la celda superior (B83).</t>
        </r>
      </text>
    </comment>
  </commentList>
</comments>
</file>

<file path=xl/sharedStrings.xml><?xml version="1.0" encoding="utf-8"?>
<sst xmlns="http://schemas.openxmlformats.org/spreadsheetml/2006/main" count="3039" uniqueCount="916">
  <si>
    <t>FLORES SILVESTRES S.A. C.I.</t>
  </si>
  <si>
    <t>SERFINCO S.A. COMISIONISTAS DE BOLSA</t>
  </si>
  <si>
    <t>JEN COLOMBIA S.A.S.</t>
  </si>
  <si>
    <t>CORPORACIÓN CLUB CAMPESTRE</t>
  </si>
  <si>
    <t>INDUSTRIAS ST. EVEN S.A.</t>
  </si>
  <si>
    <t>FGA FONDO DE GARANTÍAS S.A.</t>
  </si>
  <si>
    <t>LOHLE CORREDOR Y CIA S.A.S.</t>
  </si>
  <si>
    <t>JULIO ALBERTO SUAREZ REPRESENTACIONES TURÍSTICAS Y CIA. S.A.S.</t>
  </si>
  <si>
    <t>SPEED SOLUTIONS S.A.S.</t>
  </si>
  <si>
    <t>AEROCHARTER ANDINA S.A.</t>
  </si>
  <si>
    <t>PROMOCIÓN DE MERCANCÍAS EXTRANJERAS S.A. PROMEX S.A.</t>
  </si>
  <si>
    <t>TRIMS DEPOT S.A.S.</t>
  </si>
  <si>
    <t>O - TEK INTERNACIONAL S.A.</t>
  </si>
  <si>
    <t>CARDONA GRANADA Y CÍA S.C.A.</t>
  </si>
  <si>
    <t>DUCÓN S.A.</t>
  </si>
  <si>
    <t>HIJOS M SANCHEZ Y CIA S.C.A</t>
  </si>
  <si>
    <t>REPRESENTACIONES GAFFEL S.A.</t>
  </si>
  <si>
    <t xml:space="preserve">NIT </t>
  </si>
  <si>
    <t>RAZON SOCIAL</t>
  </si>
  <si>
    <t>Planeación tributaria</t>
  </si>
  <si>
    <t>Atención de investigaciones y procesos ante las autoridades de control fiscal.</t>
  </si>
  <si>
    <t>Presentación de demandas ante la jurisdicción contenciosa administrativa.</t>
  </si>
  <si>
    <t>Estructuración y tramitación de procesos de devolución de impuestos en Renta, CREE, IVA e Industria y Comercio.</t>
  </si>
  <si>
    <t>Consultoría y asesoría permanente tributaria.</t>
  </si>
  <si>
    <t>Consultoría y asesoría laboral.</t>
  </si>
  <si>
    <t>Planeación tributaria internacional</t>
  </si>
  <si>
    <t>Consultoría y asesoría en procesos de implementación de las Normas Internacionales de Información Financiera (NIIF).</t>
  </si>
  <si>
    <t>Capacitaciones en temas tributarios, aduaneros y cambiarios.</t>
  </si>
  <si>
    <t>Consultoría y asesoría para la resolución de un problema específico.</t>
  </si>
  <si>
    <t>Presentación demandas</t>
  </si>
  <si>
    <t>Atención investigaciones tributarias</t>
  </si>
  <si>
    <t>Atención investigaciones aduaneras</t>
  </si>
  <si>
    <t>Devoluciones</t>
  </si>
  <si>
    <t>Consultoría tributaria permanente</t>
  </si>
  <si>
    <t>Consultoría laboral</t>
  </si>
  <si>
    <t>Estructuración de sociedades</t>
  </si>
  <si>
    <t>Estructuración de negocios</t>
  </si>
  <si>
    <t>Consultas específicas</t>
  </si>
  <si>
    <t>Resolución de problemas específicos</t>
  </si>
  <si>
    <t>NIIF</t>
  </si>
  <si>
    <t>Capacitaciones</t>
  </si>
  <si>
    <t>Cons</t>
  </si>
  <si>
    <t>Ingresos por Unidad de Producto (SMLMV)</t>
  </si>
  <si>
    <t>Producto</t>
  </si>
  <si>
    <t>Descripción</t>
  </si>
  <si>
    <t>NA</t>
  </si>
  <si>
    <t>ASISTENTES CAPACITACIONES</t>
  </si>
  <si>
    <t>CLIENTES ATENCIÓN DEMANDAS ADMINISTRATIVAS</t>
  </si>
  <si>
    <t>Ingresos</t>
  </si>
  <si>
    <t>Atención de investigaciones y procesos de carácter aduanero o cambiario.</t>
  </si>
  <si>
    <t>Planeación tributaria.</t>
  </si>
  <si>
    <t>Planeación tributaria internacional.</t>
  </si>
  <si>
    <t>Estructuración de sociedades y planeación patrimonial.</t>
  </si>
  <si>
    <t>Estructuración integral de negocios.</t>
  </si>
  <si>
    <t>Consultas sobre temas específicos.</t>
  </si>
  <si>
    <t>Laptops tipo A</t>
  </si>
  <si>
    <t>Laptops tipo B</t>
  </si>
  <si>
    <t>Concepto</t>
  </si>
  <si>
    <t>Unidades</t>
  </si>
  <si>
    <t>Costo Unidad</t>
  </si>
  <si>
    <t>Costo Inversión</t>
  </si>
  <si>
    <t>Muebles de oficina</t>
  </si>
  <si>
    <t>Capital de Trabajo</t>
  </si>
  <si>
    <t>Equipo de proyección</t>
  </si>
  <si>
    <t>Equipos de comunicaciones</t>
  </si>
  <si>
    <t>Total</t>
  </si>
  <si>
    <t>Horas semanales por Unidad de Producto</t>
  </si>
  <si>
    <t>Total Productos</t>
  </si>
  <si>
    <t>Total Ingresos por Unidad de Producto (SMLMV)</t>
  </si>
  <si>
    <t>SMLMV</t>
  </si>
  <si>
    <t>$</t>
  </si>
  <si>
    <t>Año</t>
  </si>
  <si>
    <r>
      <t>∆</t>
    </r>
    <r>
      <rPr>
        <b/>
        <vertAlign val="superscript"/>
        <sz val="11"/>
        <color theme="1"/>
        <rFont val="Calibri"/>
        <family val="2"/>
      </rPr>
      <t xml:space="preserve">+ </t>
    </r>
    <r>
      <rPr>
        <b/>
        <sz val="11"/>
        <color theme="1"/>
        <rFont val="Calibri"/>
        <family val="2"/>
      </rPr>
      <t>Demanda</t>
    </r>
  </si>
  <si>
    <r>
      <t>∆</t>
    </r>
    <r>
      <rPr>
        <b/>
        <vertAlign val="superscript"/>
        <sz val="11"/>
        <color theme="1"/>
        <rFont val="Calibri"/>
        <family val="2"/>
      </rPr>
      <t xml:space="preserve">+ </t>
    </r>
    <r>
      <rPr>
        <b/>
        <sz val="11"/>
        <color theme="1"/>
        <rFont val="Calibri"/>
        <family val="2"/>
      </rPr>
      <t>SMLMV</t>
    </r>
  </si>
  <si>
    <t>Ingresos Mes SMLMV</t>
  </si>
  <si>
    <r>
      <t>∆</t>
    </r>
    <r>
      <rPr>
        <b/>
        <vertAlign val="superscript"/>
        <sz val="11"/>
        <color theme="1"/>
        <rFont val="Calibri"/>
        <family val="2"/>
      </rPr>
      <t xml:space="preserve">+ </t>
    </r>
    <r>
      <rPr>
        <b/>
        <sz val="11"/>
        <color theme="1"/>
        <rFont val="Calibri"/>
        <family val="2"/>
      </rPr>
      <t>Combinado</t>
    </r>
  </si>
  <si>
    <r>
      <t>∆</t>
    </r>
    <r>
      <rPr>
        <b/>
        <vertAlign val="superscript"/>
        <sz val="11"/>
        <color theme="1"/>
        <rFont val="Calibri"/>
        <family val="2"/>
      </rPr>
      <t xml:space="preserve">+ </t>
    </r>
    <r>
      <rPr>
        <b/>
        <sz val="11"/>
        <color theme="1"/>
        <rFont val="Calibri"/>
        <family val="2"/>
      </rPr>
      <t>Combinado 2</t>
    </r>
  </si>
  <si>
    <t>Prueba</t>
  </si>
  <si>
    <t>Arrendamiento</t>
  </si>
  <si>
    <t>Servicios públicos</t>
  </si>
  <si>
    <t>Telefonía fija</t>
  </si>
  <si>
    <t>Celulares</t>
  </si>
  <si>
    <t>Internet oficina</t>
  </si>
  <si>
    <t>Internet móvil</t>
  </si>
  <si>
    <t>Aseo</t>
  </si>
  <si>
    <t>Cafetería</t>
  </si>
  <si>
    <t>Costo Total</t>
  </si>
  <si>
    <r>
      <t>∆</t>
    </r>
    <r>
      <rPr>
        <vertAlign val="superscript"/>
        <sz val="11"/>
        <color theme="1"/>
        <rFont val="Calibri"/>
        <family val="2"/>
      </rPr>
      <t xml:space="preserve">+ </t>
    </r>
    <r>
      <rPr>
        <sz val="11"/>
        <color theme="1"/>
        <rFont val="Calibri"/>
        <family val="2"/>
      </rPr>
      <t>Inflación</t>
    </r>
  </si>
  <si>
    <t>Total Erogaciones</t>
  </si>
  <si>
    <t>Cargo</t>
  </si>
  <si>
    <t>Consultor</t>
  </si>
  <si>
    <t>Laboral</t>
  </si>
  <si>
    <t>Recepcionista</t>
  </si>
  <si>
    <t>Consultor - Gerente</t>
  </si>
  <si>
    <t>Experiencia (años)</t>
  </si>
  <si>
    <t>Remuneración Fija</t>
  </si>
  <si>
    <t>Base</t>
  </si>
  <si>
    <t>Gerencia</t>
  </si>
  <si>
    <t>Unidades de Producto</t>
  </si>
  <si>
    <t>Horas Semana</t>
  </si>
  <si>
    <t>Horas semanales Unidad/Producto</t>
  </si>
  <si>
    <t>Real</t>
  </si>
  <si>
    <t>Proporción</t>
  </si>
  <si>
    <t>Subtotal Consultores</t>
  </si>
  <si>
    <t>Total Horas de Consultoría</t>
  </si>
  <si>
    <t>Diferencia (debe ser mayor o igual a cero)</t>
  </si>
  <si>
    <t>Mínimo</t>
  </si>
  <si>
    <t>Máximo</t>
  </si>
  <si>
    <t>Reales</t>
  </si>
  <si>
    <t>Servicios</t>
  </si>
  <si>
    <t>Contrato</t>
  </si>
  <si>
    <t>Asistente</t>
  </si>
  <si>
    <t>Horas de Trabajo</t>
  </si>
  <si>
    <t>Exper</t>
  </si>
  <si>
    <t>% Teórico</t>
  </si>
  <si>
    <t>Subtotal</t>
  </si>
  <si>
    <t>Prima legal</t>
  </si>
  <si>
    <t>Cesantías</t>
  </si>
  <si>
    <t>Intereses a las cesantías</t>
  </si>
  <si>
    <t>Vacaciones</t>
  </si>
  <si>
    <t>Subtotal prestaciones sociales</t>
  </si>
  <si>
    <t>Salud</t>
  </si>
  <si>
    <t>Pensión</t>
  </si>
  <si>
    <t>ARL</t>
  </si>
  <si>
    <t>Subtotal seguridad social</t>
  </si>
  <si>
    <t>Empleados</t>
  </si>
  <si>
    <t>Niveles de Ingresos</t>
  </si>
  <si>
    <t>Ingresos Asociados al Empleado (SMLMV)</t>
  </si>
  <si>
    <t>Factor Completo</t>
  </si>
  <si>
    <t>Remunerac Fija Nominal (SMLMV)</t>
  </si>
  <si>
    <t>Remunerac Fija Efectiva (SMLMV)</t>
  </si>
  <si>
    <t>% Comisión &lt;= 20 SMLMV</t>
  </si>
  <si>
    <r>
      <t xml:space="preserve">Remunerac Variable Efectiva (SMLMV) </t>
    </r>
    <r>
      <rPr>
        <vertAlign val="superscript"/>
        <sz val="10"/>
        <color theme="1"/>
        <rFont val="Calibri"/>
        <family val="2"/>
        <scheme val="minor"/>
      </rPr>
      <t>1</t>
    </r>
  </si>
  <si>
    <t>% Comisión &gt; 20 SMLMV</t>
  </si>
  <si>
    <r>
      <t xml:space="preserve">Remunerac Variable Efectiva (SMLMV) </t>
    </r>
    <r>
      <rPr>
        <vertAlign val="superscript"/>
        <sz val="10"/>
        <color theme="1"/>
        <rFont val="Calibri"/>
        <family val="2"/>
        <scheme val="minor"/>
      </rPr>
      <t>2</t>
    </r>
  </si>
  <si>
    <t>Remunerac Variable Efectiva (SMLMV) Total</t>
  </si>
  <si>
    <t>Remuneración Total Efectiva (SMLMV)</t>
  </si>
  <si>
    <t>Remuneración Variable Nominal (SMLMV)</t>
  </si>
  <si>
    <t>Remuneración Total Nominal (SMLMV)</t>
  </si>
  <si>
    <t>Valor SMLMV</t>
  </si>
  <si>
    <t>Remuneración total nominal ($)</t>
  </si>
  <si>
    <t>% Efectivo Sobre Ingresos</t>
  </si>
  <si>
    <t>Contratos de Prestación de Servicios</t>
  </si>
  <si>
    <t>Ingresos Asociados al Colaborador (SMLMV)</t>
  </si>
  <si>
    <t>Salarios Mínimos Legales Mensuales Vigentes (SMLMV)</t>
  </si>
  <si>
    <t>Prestación de Servicios</t>
  </si>
  <si>
    <t>Asistente Administrativo</t>
  </si>
  <si>
    <t>Proporc</t>
  </si>
  <si>
    <t>Remuneración Fija Total $</t>
  </si>
  <si>
    <t>Horas consultores</t>
  </si>
  <si>
    <t>MO Directa</t>
  </si>
  <si>
    <t>% MO D / Ingresos</t>
  </si>
  <si>
    <t>Inversión Inicial</t>
  </si>
  <si>
    <t>Software Control de Gestión</t>
  </si>
  <si>
    <t>Financiación Inversión Inicial</t>
  </si>
  <si>
    <t>Capital</t>
  </si>
  <si>
    <t>Pasivos con Accionistas</t>
  </si>
  <si>
    <t>Tasa</t>
  </si>
  <si>
    <t>Monto</t>
  </si>
  <si>
    <t>Gastos preoperativos</t>
  </si>
  <si>
    <t>Comisión</t>
  </si>
  <si>
    <t>Total Comisiones</t>
  </si>
  <si>
    <t>Comisión Negocios Iniciales</t>
  </si>
  <si>
    <t>Comisión Trabajo 1</t>
  </si>
  <si>
    <t>%</t>
  </si>
  <si>
    <t>Tope Ing Referencia</t>
  </si>
  <si>
    <t>Comisión Trabajo 2</t>
  </si>
  <si>
    <t>Comisión Trabajo Total</t>
  </si>
  <si>
    <t>Comisión de Ventas</t>
  </si>
  <si>
    <t>Ingresos Anteriores</t>
  </si>
  <si>
    <t>Ing Nuevos Totales</t>
  </si>
  <si>
    <t>Ing Nuevos  Consultor</t>
  </si>
  <si>
    <t>Comisión de Gestión</t>
  </si>
  <si>
    <t>Ingresos Base</t>
  </si>
  <si>
    <t>Total Comisiones Ajustadas</t>
  </si>
  <si>
    <t>Ingresos Mes</t>
  </si>
  <si>
    <t>Ingresos  Asociados por Consultor</t>
  </si>
  <si>
    <t>% Participación Ingresos por Consultor</t>
  </si>
  <si>
    <t>Horas de Trabajo de Consultoría</t>
  </si>
  <si>
    <t>Período</t>
  </si>
  <si>
    <t>Fecha</t>
  </si>
  <si>
    <t>de Capital</t>
  </si>
  <si>
    <t>Otros</t>
  </si>
  <si>
    <t>Erogaciones</t>
  </si>
  <si>
    <t>Financiación</t>
  </si>
  <si>
    <t>Inversiones</t>
  </si>
  <si>
    <t>Flujo Neto</t>
  </si>
  <si>
    <t>Intereses</t>
  </si>
  <si>
    <t>No Operacionales</t>
  </si>
  <si>
    <t>TIR</t>
  </si>
  <si>
    <t>Mes</t>
  </si>
  <si>
    <t>Inversiones Adicionales</t>
  </si>
  <si>
    <t>Diseño Portal Operativo</t>
  </si>
  <si>
    <t>Marca (VISIÓN CG)</t>
  </si>
  <si>
    <t>Financiación Inversiones Adicionales</t>
  </si>
  <si>
    <t>Compra Oficina</t>
  </si>
  <si>
    <t>Entidades Financieras</t>
  </si>
  <si>
    <t>Comisión Negocios Nuevos</t>
  </si>
  <si>
    <t>Comisión Ventas Total</t>
  </si>
  <si>
    <t>SENA</t>
  </si>
  <si>
    <t>ICBF</t>
  </si>
  <si>
    <t>Caja de Compensación</t>
  </si>
  <si>
    <t>% Aporte</t>
  </si>
  <si>
    <t>Prestac</t>
  </si>
  <si>
    <t>Seg Soc</t>
  </si>
  <si>
    <t>Factor de Ajuste</t>
  </si>
  <si>
    <t>Total Ajustado</t>
  </si>
  <si>
    <t>Inicial</t>
  </si>
  <si>
    <t>Otras</t>
  </si>
  <si>
    <t>Créditos</t>
  </si>
  <si>
    <t>Pagos</t>
  </si>
  <si>
    <t>Saldo Inicial</t>
  </si>
  <si>
    <t>Saldo Final</t>
  </si>
  <si>
    <t>Prima</t>
  </si>
  <si>
    <t>DTF EA</t>
  </si>
  <si>
    <t>Tasa EA</t>
  </si>
  <si>
    <t>Tasa E Mes</t>
  </si>
  <si>
    <t>Tasa NA, TA</t>
  </si>
  <si>
    <t>Tasa E TA</t>
  </si>
  <si>
    <t>DTF NA, TA</t>
  </si>
  <si>
    <t>Tasa E TV</t>
  </si>
  <si>
    <t>Nuevos Desembolsos</t>
  </si>
  <si>
    <t>Tasa de Financ</t>
  </si>
  <si>
    <t>Plazo</t>
  </si>
  <si>
    <t>Meses</t>
  </si>
  <si>
    <t>Crédito</t>
  </si>
  <si>
    <t>Fecha de Desembolso</t>
  </si>
  <si>
    <r>
      <t xml:space="preserve">Subtotal aportes parafiscales </t>
    </r>
    <r>
      <rPr>
        <b/>
        <i/>
        <vertAlign val="superscript"/>
        <sz val="11"/>
        <color theme="1"/>
        <rFont val="Calibri"/>
        <family val="2"/>
        <scheme val="minor"/>
      </rPr>
      <t>(1)</t>
    </r>
  </si>
  <si>
    <t>(1)</t>
  </si>
  <si>
    <t>Aplica gradualidad Ley 1429 de 2010</t>
  </si>
  <si>
    <t>Prestaciones Sociales</t>
  </si>
  <si>
    <t>Seguridad Social</t>
  </si>
  <si>
    <t>Aportes Parafiscales</t>
  </si>
  <si>
    <r>
      <t xml:space="preserve">Gradualidad 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</si>
  <si>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t>Remuneración</t>
  </si>
  <si>
    <t>Fija</t>
  </si>
  <si>
    <t>Variable</t>
  </si>
  <si>
    <t>% Prestacional</t>
  </si>
  <si>
    <t>% Seguridad Social</t>
  </si>
  <si>
    <t>% Total</t>
  </si>
  <si>
    <t>Subtotal Laboral</t>
  </si>
  <si>
    <t>Subtotal Servicios</t>
  </si>
  <si>
    <t>Remuneración Integral</t>
  </si>
  <si>
    <t>Remuneración Ordinaria</t>
  </si>
  <si>
    <t>Total Consultores</t>
  </si>
  <si>
    <t>Caja Comp</t>
  </si>
  <si>
    <t>Base (70%)</t>
  </si>
  <si>
    <t>Base (100%)</t>
  </si>
  <si>
    <t>Total Seguridad Social y Parafiscales</t>
  </si>
  <si>
    <t>Seguridad Social y Aportes Parafiscales</t>
  </si>
  <si>
    <t>Subtotal Remun Int</t>
  </si>
  <si>
    <t>Subtotal Remun Ord</t>
  </si>
  <si>
    <t>Gastos Operacionales</t>
  </si>
  <si>
    <t>Consultores</t>
  </si>
  <si>
    <t>Admvos</t>
  </si>
  <si>
    <t>Seg Social</t>
  </si>
  <si>
    <t>Mantenimiento Software</t>
  </si>
  <si>
    <t>Mantenimiento Página Web</t>
  </si>
  <si>
    <t>Póliza de cumplimiento</t>
  </si>
  <si>
    <t>Pólizas seguros</t>
  </si>
  <si>
    <t>Industry Name</t>
  </si>
  <si>
    <t>Number of firms</t>
  </si>
  <si>
    <t xml:space="preserve">Beta </t>
  </si>
  <si>
    <t>D/E Ratio</t>
  </si>
  <si>
    <t>Tax rate</t>
  </si>
  <si>
    <t>Unlevered beta</t>
  </si>
  <si>
    <t>Cash/Firm value</t>
  </si>
  <si>
    <t>Unlevered beta corrected for cash</t>
  </si>
  <si>
    <t>Advertising</t>
  </si>
  <si>
    <t>Aerospace/Defense</t>
  </si>
  <si>
    <t>Air Transport</t>
  </si>
  <si>
    <t>Apparel</t>
  </si>
  <si>
    <t>Auto &amp; Truck</t>
  </si>
  <si>
    <t>Auto Parts</t>
  </si>
  <si>
    <t>Bank</t>
  </si>
  <si>
    <t>Banks (Regional)</t>
  </si>
  <si>
    <t xml:space="preserve">Beverage </t>
  </si>
  <si>
    <t>Beverage (Alcoholic)</t>
  </si>
  <si>
    <t>Biotechnology</t>
  </si>
  <si>
    <t>Broadcasting</t>
  </si>
  <si>
    <t>Brokerage &amp; Investment Banking</t>
  </si>
  <si>
    <t>Building Materials</t>
  </si>
  <si>
    <t>Business &amp; Consumer Services</t>
  </si>
  <si>
    <t>Cable TV</t>
  </si>
  <si>
    <t>Chemical (Basic)</t>
  </si>
  <si>
    <t>Chemical (Diversified)</t>
  </si>
  <si>
    <t>Chemical (Specialty)</t>
  </si>
  <si>
    <t>Coal &amp; Related Energy</t>
  </si>
  <si>
    <t>Computer Services</t>
  </si>
  <si>
    <t>Computer Software</t>
  </si>
  <si>
    <t>Computers/Peripherals</t>
  </si>
  <si>
    <t>Construction</t>
  </si>
  <si>
    <t>Diversified</t>
  </si>
  <si>
    <t>Educational Services</t>
  </si>
  <si>
    <t>Electrical Equipment</t>
  </si>
  <si>
    <t>Electronics</t>
  </si>
  <si>
    <t>Electronics (Consumer &amp; Office)</t>
  </si>
  <si>
    <t>Engineering</t>
  </si>
  <si>
    <t>Entertainment</t>
  </si>
  <si>
    <t>Environmental &amp; Waste Services</t>
  </si>
  <si>
    <t>Farming/Agriculture</t>
  </si>
  <si>
    <t>Financial Svcs.</t>
  </si>
  <si>
    <t>Financial Svcs. (Non-bank &amp; Insurance)</t>
  </si>
  <si>
    <t>Food Processing</t>
  </si>
  <si>
    <t>Food Wholesalers</t>
  </si>
  <si>
    <t>Furn/Home Furnishings</t>
  </si>
  <si>
    <t>Healthcare Equipment</t>
  </si>
  <si>
    <t>Healthcare Facilities</t>
  </si>
  <si>
    <t>Healthcare Products</t>
  </si>
  <si>
    <t>Healthcare Services</t>
  </si>
  <si>
    <t>Heathcare Information and Technology</t>
  </si>
  <si>
    <t>Heavy Construction</t>
  </si>
  <si>
    <t>Homebuilding</t>
  </si>
  <si>
    <t>Hotel/Gaming</t>
  </si>
  <si>
    <t>Household Products</t>
  </si>
  <si>
    <t>Information Services</t>
  </si>
  <si>
    <t>Insurance (General)</t>
  </si>
  <si>
    <t>Insurance (Life)</t>
  </si>
  <si>
    <t>Insurance (Prop/Cas.)</t>
  </si>
  <si>
    <t>Internet software and services</t>
  </si>
  <si>
    <t>Investment Co.</t>
  </si>
  <si>
    <t>Machinery</t>
  </si>
  <si>
    <t>Metals &amp; Mining</t>
  </si>
  <si>
    <t>Office Equipment &amp; Services</t>
  </si>
  <si>
    <t>Oil/Gas (Integrated)</t>
  </si>
  <si>
    <t>Oil/Gas (Production and Exploration)</t>
  </si>
  <si>
    <t>Oil/Gas Distribution</t>
  </si>
  <si>
    <t>Oilfield Svcs/Equip.</t>
  </si>
  <si>
    <t>Packaging &amp; Container</t>
  </si>
  <si>
    <t>Paper/Forest Products</t>
  </si>
  <si>
    <t>Pharma &amp; Drugs</t>
  </si>
  <si>
    <t>Power</t>
  </si>
  <si>
    <t>Precious Metals</t>
  </si>
  <si>
    <t>Publshing &amp; Newspapers</t>
  </si>
  <si>
    <t>R.E.I.T.</t>
  </si>
  <si>
    <t>Railroad</t>
  </si>
  <si>
    <t>Real Estate (Development)</t>
  </si>
  <si>
    <t>Real Estate (General/Diversified)</t>
  </si>
  <si>
    <t>Real Estate (Operations &amp; Services)</t>
  </si>
  <si>
    <t>Recreation</t>
  </si>
  <si>
    <t>Reinsurance</t>
  </si>
  <si>
    <t>Restaurant</t>
  </si>
  <si>
    <t>Retail (Automotive)</t>
  </si>
  <si>
    <t>Retail (Building Supply)</t>
  </si>
  <si>
    <t>Retail (Distributors)</t>
  </si>
  <si>
    <t>Retail (General)</t>
  </si>
  <si>
    <t>Retail (Grocery and Food)</t>
  </si>
  <si>
    <t>Retail (Internet)</t>
  </si>
  <si>
    <t>Retail (Special Lines)</t>
  </si>
  <si>
    <t>Rubber&amp; Tires</t>
  </si>
  <si>
    <t>Semiconductor</t>
  </si>
  <si>
    <t>Semiconductor Equip</t>
  </si>
  <si>
    <t>Shipbuilding &amp; Marine</t>
  </si>
  <si>
    <t>Shoe</t>
  </si>
  <si>
    <t>Steel</t>
  </si>
  <si>
    <t>Telecom (Wireless)</t>
  </si>
  <si>
    <t>Telecom. Equipment</t>
  </si>
  <si>
    <t>Telecom. Services</t>
  </si>
  <si>
    <t>Thrift</t>
  </si>
  <si>
    <t>Tobacco</t>
  </si>
  <si>
    <t>Transportation</t>
  </si>
  <si>
    <t>Trucking</t>
  </si>
  <si>
    <t>Utility (General)</t>
  </si>
  <si>
    <t>Utility (Water)</t>
  </si>
  <si>
    <t>Total Market</t>
  </si>
  <si>
    <t>Selección</t>
  </si>
  <si>
    <t>Capital de Trabajo Mínimo</t>
  </si>
  <si>
    <t>Sí o no</t>
  </si>
  <si>
    <t>Utilidades</t>
  </si>
  <si>
    <t>Pasivos con Accionistas: Monto
                                             Tasa</t>
  </si>
  <si>
    <t>Entidades Financieras:    Monto
                                             Tasa</t>
  </si>
  <si>
    <t>Flujo Neto Financiación</t>
  </si>
  <si>
    <t>Expectativas</t>
  </si>
  <si>
    <t>Inversión en Capacitaciones</t>
  </si>
  <si>
    <t>Amortizaciones y Depreciaciones</t>
  </si>
  <si>
    <t>Marca</t>
  </si>
  <si>
    <t>Laptops</t>
  </si>
  <si>
    <t>Muebles y Equipo de Oficina</t>
  </si>
  <si>
    <t>Equipo de Comunicaciones</t>
  </si>
  <si>
    <t>Software</t>
  </si>
  <si>
    <t>Gastos Preoperativos</t>
  </si>
  <si>
    <t>Inversión</t>
  </si>
  <si>
    <t>Gasto Mes</t>
  </si>
  <si>
    <t>Adicionales</t>
  </si>
  <si>
    <t>Tarifa</t>
  </si>
  <si>
    <t>Reducción</t>
  </si>
  <si>
    <t>Tarifa Teórica</t>
  </si>
  <si>
    <t>Tarifa Real</t>
  </si>
  <si>
    <t>Impuesto</t>
  </si>
  <si>
    <t>Porcentaje</t>
  </si>
  <si>
    <t>Impuesto de Renta</t>
  </si>
  <si>
    <t>Impuesto del Cree</t>
  </si>
  <si>
    <t>Impuesto CREE</t>
  </si>
  <si>
    <t>Total Impuesto</t>
  </si>
  <si>
    <t>Presupuesto de efectivo</t>
  </si>
  <si>
    <t>Estado de resultados</t>
  </si>
  <si>
    <t>mes</t>
  </si>
  <si>
    <t>anual</t>
  </si>
  <si>
    <t>Balance general</t>
  </si>
  <si>
    <t>Flujo de Caja Libre</t>
  </si>
  <si>
    <t>WACC</t>
  </si>
  <si>
    <t>unitario</t>
  </si>
  <si>
    <t>Política de dividendos</t>
  </si>
  <si>
    <t>operación</t>
  </si>
  <si>
    <t>Flujo de Caja Acconista</t>
  </si>
  <si>
    <t>Flujo de Caja deuda</t>
  </si>
  <si>
    <t>ya</t>
  </si>
  <si>
    <t>Inv Inicial</t>
  </si>
  <si>
    <t>Variables</t>
  </si>
  <si>
    <t>Inv Adic</t>
  </si>
  <si>
    <t>Financ 1</t>
  </si>
  <si>
    <t>Financ 2</t>
  </si>
  <si>
    <t>Financ Total</t>
  </si>
  <si>
    <t>Productos $</t>
  </si>
  <si>
    <t>Productos Horas</t>
  </si>
  <si>
    <t>Clientes</t>
  </si>
  <si>
    <t>Ingresos Uds 100</t>
  </si>
  <si>
    <t>Ingresos Uds</t>
  </si>
  <si>
    <t>Ingresos $</t>
  </si>
  <si>
    <t>Ing Proyect</t>
  </si>
  <si>
    <t>Horas Productos</t>
  </si>
  <si>
    <t>HP Proyect</t>
  </si>
  <si>
    <t>Remuner</t>
  </si>
  <si>
    <t>Factor</t>
  </si>
  <si>
    <t>Factor Proy</t>
  </si>
  <si>
    <t>HC 2015</t>
  </si>
  <si>
    <t>RF 2015</t>
  </si>
  <si>
    <t>RV 2015</t>
  </si>
  <si>
    <t>HC 2016</t>
  </si>
  <si>
    <t>RF 2016</t>
  </si>
  <si>
    <t>RV 2016</t>
  </si>
  <si>
    <t>HC 2017</t>
  </si>
  <si>
    <t>RF 2017</t>
  </si>
  <si>
    <t>RV 2017</t>
  </si>
  <si>
    <t>HC 2018</t>
  </si>
  <si>
    <t>RF 2018</t>
  </si>
  <si>
    <t>RV 2018</t>
  </si>
  <si>
    <t>HC 2019</t>
  </si>
  <si>
    <t>RF 2019</t>
  </si>
  <si>
    <t>RV 2019</t>
  </si>
  <si>
    <t>Gastos Grales</t>
  </si>
  <si>
    <t>Gastos Proyect</t>
  </si>
  <si>
    <t>Gtos Consultores</t>
  </si>
  <si>
    <t>Betas</t>
  </si>
  <si>
    <t>Amort Inv Inicial</t>
  </si>
  <si>
    <t>Amort Inv Adic</t>
  </si>
  <si>
    <t>Inv Inicial'!A1</t>
  </si>
  <si>
    <t>Inv Adic'!A1</t>
  </si>
  <si>
    <t>Amort Inv Inic'!A1</t>
  </si>
  <si>
    <t>Amort Inv Adic'!A1</t>
  </si>
  <si>
    <t>Variables!A1</t>
  </si>
  <si>
    <t>Financ 1'!A1</t>
  </si>
  <si>
    <t>Financ 2'!A1</t>
  </si>
  <si>
    <t>Financ Total'!A1</t>
  </si>
  <si>
    <t>Productos $'!A1</t>
  </si>
  <si>
    <t>Productos Horas'!A1</t>
  </si>
  <si>
    <t>Clientes!A1</t>
  </si>
  <si>
    <t>Ingresos Uds 100'!A1</t>
  </si>
  <si>
    <t>Ingresos Uds'!A1</t>
  </si>
  <si>
    <t>Ingresos $'!A1</t>
  </si>
  <si>
    <t>HP Proyect'!A1</t>
  </si>
  <si>
    <t>Horas Productos'!A1</t>
  </si>
  <si>
    <t>Remuner!A1</t>
  </si>
  <si>
    <t>Factor!A1</t>
  </si>
  <si>
    <t>Factor Proy'!A1</t>
  </si>
  <si>
    <t>HC 2015'!A1</t>
  </si>
  <si>
    <t>RF 2015'!A1</t>
  </si>
  <si>
    <t>RV 2015'!A1</t>
  </si>
  <si>
    <t>HC 2016'!A1</t>
  </si>
  <si>
    <t>RF 2016'!A1</t>
  </si>
  <si>
    <t>RV 2016'!A1</t>
  </si>
  <si>
    <t>HC 2017'!A1</t>
  </si>
  <si>
    <t>RF 2017'!A1</t>
  </si>
  <si>
    <t>RV 2017'!A1</t>
  </si>
  <si>
    <t>HC 2018'!A1</t>
  </si>
  <si>
    <t>RF 2018'!A1</t>
  </si>
  <si>
    <t>RV 2018'!A1</t>
  </si>
  <si>
    <t>HC 2019'!A1</t>
  </si>
  <si>
    <t>RF 2019'!A1</t>
  </si>
  <si>
    <t>RV 2019'!A1</t>
  </si>
  <si>
    <t>Gastos Grales'!A1</t>
  </si>
  <si>
    <t>Gastos Proyect'!A1</t>
  </si>
  <si>
    <t>Gtos Consultores'!A1</t>
  </si>
  <si>
    <t>Betas!A1</t>
  </si>
  <si>
    <t>Total Mes Amortizac</t>
  </si>
  <si>
    <t>Vr Bruto Inversiones</t>
  </si>
  <si>
    <t>Dep y Amort Acum</t>
  </si>
  <si>
    <t>Vr Neto Inversiones</t>
  </si>
  <si>
    <t>Intención Comprar Inmueble</t>
  </si>
  <si>
    <t>Decisión</t>
  </si>
  <si>
    <t>Compra</t>
  </si>
  <si>
    <t>No Compra</t>
  </si>
  <si>
    <t>Posteriores</t>
  </si>
  <si>
    <t>Modalidades Créditos</t>
  </si>
  <si>
    <t>Inversión inicial</t>
  </si>
  <si>
    <t>Inmueble</t>
  </si>
  <si>
    <t>Crédito rotativo</t>
  </si>
  <si>
    <t>Modalidad</t>
  </si>
  <si>
    <t>Condiciones Créditos</t>
  </si>
  <si>
    <t>Gracia</t>
  </si>
  <si>
    <t>Cuota Fija</t>
  </si>
  <si>
    <t>Abono Fijo a Capital</t>
  </si>
  <si>
    <t>Pago Único al Final</t>
  </si>
  <si>
    <t>Exceso de Efectivo</t>
  </si>
  <si>
    <t>Déficit de Efectivo</t>
  </si>
  <si>
    <t>Objetivo de Finaniciación</t>
  </si>
  <si>
    <t>Capital de trabajo</t>
  </si>
  <si>
    <t>Rotativo</t>
  </si>
  <si>
    <t>Período Gracia</t>
  </si>
  <si>
    <t>Tasas de Financiación</t>
  </si>
  <si>
    <t>DTF Esperada Trim 4 2014</t>
  </si>
  <si>
    <t>Variación Hacia Arriba</t>
  </si>
  <si>
    <t>Variación Hacia Abajo</t>
  </si>
  <si>
    <t>Operacional</t>
  </si>
  <si>
    <t>Capital de Trabajo Presupuestado</t>
  </si>
  <si>
    <t>VARIABLES GENERALES</t>
  </si>
  <si>
    <t>Ing Operacionales</t>
  </si>
  <si>
    <t>Menos:</t>
  </si>
  <si>
    <t>Utilidad Operacional</t>
  </si>
  <si>
    <t>Optimista</t>
  </si>
  <si>
    <t>Normal</t>
  </si>
  <si>
    <t>Pesimista</t>
  </si>
  <si>
    <t>Ing</t>
  </si>
  <si>
    <t>GO</t>
  </si>
  <si>
    <t>UO</t>
  </si>
  <si>
    <t>Fros</t>
  </si>
  <si>
    <t>UAI</t>
  </si>
  <si>
    <t>UN</t>
  </si>
  <si>
    <t>+Amort</t>
  </si>
  <si>
    <t>+G FROS</t>
  </si>
  <si>
    <t>Flujo Bruto</t>
  </si>
  <si>
    <t>Var AF</t>
  </si>
  <si>
    <t>VPN</t>
  </si>
  <si>
    <t>Flujo Caja Libre</t>
  </si>
  <si>
    <t>Bancos</t>
  </si>
  <si>
    <t>Inversiones Temporales</t>
  </si>
  <si>
    <t>Activos</t>
  </si>
  <si>
    <t>CxC</t>
  </si>
  <si>
    <t>Activos Fijos</t>
  </si>
  <si>
    <t>Vr Bruto</t>
  </si>
  <si>
    <t>Dep Acum</t>
  </si>
  <si>
    <t>Neto</t>
  </si>
  <si>
    <t>Activos Diferidos</t>
  </si>
  <si>
    <t>Activo Largo Plazo</t>
  </si>
  <si>
    <t>Escenario</t>
  </si>
  <si>
    <t>Política de Pagos</t>
  </si>
  <si>
    <t>Provedores</t>
  </si>
  <si>
    <t>Política</t>
  </si>
  <si>
    <t>Ítem</t>
  </si>
  <si>
    <t>Sobregiro</t>
  </si>
  <si>
    <t>Saldo</t>
  </si>
  <si>
    <t>Redenciones</t>
  </si>
  <si>
    <t>Rendimientos</t>
  </si>
  <si>
    <t>Temporales</t>
  </si>
  <si>
    <t>Redención Inv Temporales</t>
  </si>
  <si>
    <t>Exceso Disponible</t>
  </si>
  <si>
    <t>Plazo Inicial</t>
  </si>
  <si>
    <t>Plazo Pago Capital</t>
  </si>
  <si>
    <t>Fecha Inicio Pago de Capital</t>
  </si>
  <si>
    <t>Diferidos</t>
  </si>
  <si>
    <t>Total Activos</t>
  </si>
  <si>
    <t>Oficina</t>
  </si>
  <si>
    <t>Impto Renta</t>
  </si>
  <si>
    <t>Ingresos Causados</t>
  </si>
  <si>
    <t>Prestaciones Sociales Causadas</t>
  </si>
  <si>
    <t>Prestaciones Sociales por Pagar</t>
  </si>
  <si>
    <t>Otras Obligaciones</t>
  </si>
  <si>
    <t>Pasivos</t>
  </si>
  <si>
    <t>Patrimonio</t>
  </si>
  <si>
    <t>Reserva Legal</t>
  </si>
  <si>
    <t>Utilidades del Período</t>
  </si>
  <si>
    <t>Utilidades Retenidas</t>
  </si>
  <si>
    <t>Total Pasivo + Patrimonio</t>
  </si>
  <si>
    <t>Subtotal Patrimonio</t>
  </si>
  <si>
    <t>Subtotal Pasivo</t>
  </si>
  <si>
    <t>Utilidad Contable Período</t>
  </si>
  <si>
    <t>Utilidad Antes Imptos Cble Acumulada</t>
  </si>
  <si>
    <t>Utilidad Neta Cble Acumulada</t>
  </si>
  <si>
    <t>Inversiones Temporales Realizadas</t>
  </si>
  <si>
    <t>Recuperación Cartera</t>
  </si>
  <si>
    <t>Total Pago Mes Consultores</t>
  </si>
  <si>
    <t>Pago Nómina Consultores</t>
  </si>
  <si>
    <t>Pago Seguridad Social y Parafiscales</t>
  </si>
  <si>
    <t>Pago Prestaciones Sociales</t>
  </si>
  <si>
    <t>Pago de Impuestos</t>
  </si>
  <si>
    <t>Exceso de Liquidez</t>
  </si>
  <si>
    <t>Tasa Mes</t>
  </si>
  <si>
    <t>Saldo Impto Renta por Pagar</t>
  </si>
  <si>
    <t>Egresos Operacionales</t>
  </si>
  <si>
    <t>Pago Seguridad Social</t>
  </si>
  <si>
    <t>Causación Seguridad Social</t>
  </si>
  <si>
    <t>Más:</t>
  </si>
  <si>
    <t>Ingresos de Capital</t>
  </si>
  <si>
    <t>Otros Gastos</t>
  </si>
  <si>
    <t>Utilidad Antes de Intereses e Imptos</t>
  </si>
  <si>
    <t>Impto Renta y Cree</t>
  </si>
  <si>
    <t>Utilidad Neta</t>
  </si>
  <si>
    <t>Utilidad Neta 2</t>
  </si>
  <si>
    <t>Tasa Renta</t>
  </si>
  <si>
    <t>Tasa Cree</t>
  </si>
  <si>
    <t>Impto Calculado</t>
  </si>
  <si>
    <t>Amortizaciones</t>
  </si>
  <si>
    <t>Prueba Impto</t>
  </si>
  <si>
    <t>Utilidad Neta Acumulada</t>
  </si>
  <si>
    <t>Var KNO</t>
  </si>
  <si>
    <t>Activo Corriente</t>
  </si>
  <si>
    <t>Obligaciones Financieras</t>
  </si>
  <si>
    <t>Subtotal Obligaciones Financieras</t>
  </si>
  <si>
    <t>Subtotal Otras Obligaciones</t>
  </si>
  <si>
    <t>Mes/Año</t>
  </si>
  <si>
    <t>Utilidades PyG</t>
  </si>
  <si>
    <t>Diferencia</t>
  </si>
  <si>
    <t>Flujo de Caja Bruto</t>
  </si>
  <si>
    <t>Variación Neta Capital de Trabajo</t>
  </si>
  <si>
    <t>Variación Neta Activos Fijos</t>
  </si>
  <si>
    <t>Variación Neta Diferidos</t>
  </si>
  <si>
    <t>Variación Capital de Trabajo</t>
  </si>
  <si>
    <t>Variación Activos Fijos</t>
  </si>
  <si>
    <t>Variación Activos Diferidos</t>
  </si>
  <si>
    <t>+</t>
  </si>
  <si>
    <t>-</t>
  </si>
  <si>
    <t>Signo</t>
  </si>
  <si>
    <t>Inversión (Capital)</t>
  </si>
  <si>
    <t>Variación Neta Inversiones Temporales</t>
  </si>
  <si>
    <t>Utilidad Antes de Imptos</t>
  </si>
  <si>
    <t>Vr Mínimo DTF</t>
  </si>
  <si>
    <t>Vr Máximo DTF</t>
  </si>
  <si>
    <t>Valor</t>
  </si>
  <si>
    <t>Política Inversiones Excesos de Liquidez</t>
  </si>
  <si>
    <t>Exceso Liquidez Mínimo</t>
  </si>
  <si>
    <t>Para Betas</t>
  </si>
  <si>
    <t>Libre de Riesgo</t>
  </si>
  <si>
    <t>Rmto. Mercado</t>
  </si>
  <si>
    <t>Rmto. Acción</t>
  </si>
  <si>
    <t>TES</t>
  </si>
  <si>
    <t>Rmto.</t>
  </si>
  <si>
    <t>Tesoro Americano3 Años</t>
  </si>
  <si>
    <t>Media</t>
  </si>
  <si>
    <t>Tasa Libre de Riesgo</t>
  </si>
  <si>
    <t>Covarianza Calculada</t>
  </si>
  <si>
    <t>Desv Estándar</t>
  </si>
  <si>
    <t>Covarianza Excel</t>
  </si>
  <si>
    <t>Coeficiente de Variación</t>
  </si>
  <si>
    <t>Covarianza Fórmula Directa</t>
  </si>
  <si>
    <t>Coef Correl</t>
  </si>
  <si>
    <t>Desv Estándar Mdo</t>
  </si>
  <si>
    <t>Desv Estándar Acción</t>
  </si>
  <si>
    <t>Covarianza Acción</t>
  </si>
  <si>
    <t>Varianza Mercado</t>
  </si>
  <si>
    <t>β</t>
  </si>
  <si>
    <t>Costo (CAPM)</t>
  </si>
  <si>
    <t>=</t>
  </si>
  <si>
    <r>
      <t xml:space="preserve">Rf + </t>
    </r>
    <r>
      <rPr>
        <i/>
        <sz val="11"/>
        <color indexed="8"/>
        <rFont val="Verdana"/>
        <family val="2"/>
      </rPr>
      <t>β</t>
    </r>
    <r>
      <rPr>
        <sz val="11"/>
        <color indexed="8"/>
        <rFont val="Verdana"/>
        <family val="2"/>
      </rPr>
      <t>(Rm - Rf)</t>
    </r>
  </si>
  <si>
    <t>https://www.grupoaval.com/portal/page?_pageid=33,256972&amp;_dad=portal&amp;_schema=PORTAL</t>
  </si>
  <si>
    <t>Fuente:</t>
  </si>
  <si>
    <r>
      <t xml:space="preserve">Rf + </t>
    </r>
    <r>
      <rPr>
        <i/>
        <sz val="11"/>
        <color indexed="8"/>
        <rFont val="Verdana"/>
        <family val="2"/>
      </rPr>
      <t>β</t>
    </r>
    <r>
      <rPr>
        <sz val="11"/>
        <color indexed="8"/>
        <rFont val="Verdana"/>
        <family val="2"/>
      </rPr>
      <t>(Rm - Rf)+ Rpaís + P.T.M.</t>
    </r>
  </si>
  <si>
    <t>http://www.ambito.com/economia/mercados/riesgo-pais/</t>
  </si>
  <si>
    <t>PAIS</t>
  </si>
  <si>
    <t>PUNTOS</t>
  </si>
  <si>
    <t>% Dia</t>
  </si>
  <si>
    <t>% Mes</t>
  </si>
  <si>
    <t>% Año</t>
  </si>
  <si>
    <t>EMBI+</t>
  </si>
  <si>
    <t>EMBI+ ARGENTINA</t>
  </si>
  <si>
    <t>EMBI+ BRASIL</t>
  </si>
  <si>
    <t>EMBI+ COLOMBIA</t>
  </si>
  <si>
    <t>EMBI+ CROACIA</t>
  </si>
  <si>
    <t>EMBI+ ECUADOR</t>
  </si>
  <si>
    <t>EMBI+ FILIPINAS</t>
  </si>
  <si>
    <t>EMBI+ MALASIA</t>
  </si>
  <si>
    <t>EMBI+ EGIPTO</t>
  </si>
  <si>
    <t>EMBI+ MEXICO</t>
  </si>
  <si>
    <t>EMBI+ INDONESIA</t>
  </si>
  <si>
    <t>EMBI+ PANAMA</t>
  </si>
  <si>
    <t>EMBI+ PERU</t>
  </si>
  <si>
    <t>EMBI+ POLONIA</t>
  </si>
  <si>
    <t>EMBI+ RUSIA</t>
  </si>
  <si>
    <t>EMBI+ SUDAFRICA</t>
  </si>
  <si>
    <t>EMBI+ TURQUIA</t>
  </si>
  <si>
    <t>EMBI+ UCRANIA</t>
  </si>
  <si>
    <t>EMBI+ URUGUAY</t>
  </si>
  <si>
    <t>EMBI+ VENEZUELA</t>
  </si>
  <si>
    <t>Indice Bolsa de Bogotá - IBB</t>
  </si>
  <si>
    <t>Media Geométrica</t>
  </si>
  <si>
    <t>Promedio</t>
  </si>
  <si>
    <t xml:space="preserve">Rentabilidad </t>
  </si>
  <si>
    <t>Acumulada</t>
  </si>
  <si>
    <t>http://www.banrep.gov.co/es/indicadores-financieros-diarios</t>
  </si>
  <si>
    <t>_</t>
  </si>
  <si>
    <t>n.d.</t>
  </si>
  <si>
    <t>Tasas Cero Cupón a término*</t>
  </si>
  <si>
    <t>1 año</t>
  </si>
  <si>
    <t>5 años</t>
  </si>
  <si>
    <t>10 años</t>
  </si>
  <si>
    <r>
      <rPr>
        <b/>
        <sz val="10"/>
        <color indexed="8"/>
        <rFont val="Calibri"/>
        <family val="2"/>
      </rPr>
      <t>Fuente:</t>
    </r>
    <r>
      <rPr>
        <sz val="10"/>
        <color indexed="8"/>
        <rFont val="Calibri"/>
        <family val="2"/>
      </rPr>
      <t xml:space="preserve"> SEN y MEC, con cálculos Banco de la República.</t>
    </r>
  </si>
  <si>
    <t>* Las tasas cero cupon son calculadas a partir de la información de los precios de mercado de los TES en pesos, utilizando el modelo de Nelson &amp; Siegel.</t>
  </si>
  <si>
    <t>http://www.banrep.gov.co/es/node/36055</t>
  </si>
  <si>
    <t>TES A 2014, Vcto 5 años</t>
  </si>
  <si>
    <t>Riesgo País</t>
  </si>
  <si>
    <t>P.T.M.</t>
  </si>
  <si>
    <t>http://people.stern.nyu.edu/adamodar/New_Home_Page/datafile/Betas.html</t>
  </si>
  <si>
    <t>Tes Banrep</t>
  </si>
  <si>
    <t>Tes AVAL</t>
  </si>
  <si>
    <t>Rent Mercado</t>
  </si>
  <si>
    <t>DTF</t>
  </si>
  <si>
    <t>Tes Banrep'!A1</t>
  </si>
  <si>
    <t>Tes AVAL'!A1</t>
  </si>
  <si>
    <t>Rent Mercado'!A1</t>
  </si>
  <si>
    <t>Riesgo País'!A1</t>
  </si>
  <si>
    <t>Inv Temp</t>
  </si>
  <si>
    <t>Inv Temp'!A1</t>
  </si>
  <si>
    <t>Ppto-Mes</t>
  </si>
  <si>
    <t>Ppto-Mes'!A1</t>
  </si>
  <si>
    <t>Ppto-Año</t>
  </si>
  <si>
    <t>Ppto-Año'!A1</t>
  </si>
  <si>
    <t>PyG-Mes</t>
  </si>
  <si>
    <t>PyG-Año</t>
  </si>
  <si>
    <t>Bal Mes</t>
  </si>
  <si>
    <t>Bal Año</t>
  </si>
  <si>
    <t>PyG-Mes'!A1</t>
  </si>
  <si>
    <t>PyG-Año'!A1</t>
  </si>
  <si>
    <t>Bal Mes'!A1</t>
  </si>
  <si>
    <t>Bal Año'!A1</t>
  </si>
  <si>
    <t>DTF!A1</t>
  </si>
  <si>
    <t>Financ 3</t>
  </si>
  <si>
    <t>Financ 3'!A1</t>
  </si>
  <si>
    <t>Hoja</t>
  </si>
  <si>
    <t>Contenido</t>
  </si>
  <si>
    <t>Link</t>
  </si>
  <si>
    <t>Tasas TES Banco de la República</t>
  </si>
  <si>
    <t>Tasas TES Grupo Aval</t>
  </si>
  <si>
    <t>Betas por sectores</t>
  </si>
  <si>
    <t>Rentabilidad Bursátil 10 años</t>
  </si>
  <si>
    <t>Datos de riesgo país</t>
  </si>
  <si>
    <t>Fuente</t>
  </si>
  <si>
    <t>Inversión adicional</t>
  </si>
  <si>
    <t>Depreciación y Amortización inversión inicial</t>
  </si>
  <si>
    <t>Depreciación y Amortización inversión adicional</t>
  </si>
  <si>
    <t>Inversiones temporales</t>
  </si>
  <si>
    <t>Variables y supuestos del proyecto</t>
  </si>
  <si>
    <t>Presupuesto de efectivo MES</t>
  </si>
  <si>
    <t>Presupuesto de efectivo AÑO</t>
  </si>
  <si>
    <t>Estado de resultados MES</t>
  </si>
  <si>
    <t>Estado de resultados AÑO</t>
  </si>
  <si>
    <t>Balance general MES</t>
  </si>
  <si>
    <t>Balance general AÑO</t>
  </si>
  <si>
    <t>Proyecciones DTF</t>
  </si>
  <si>
    <t>Financiación Oficina</t>
  </si>
  <si>
    <t>Financiación Inversión Déficit Capital de Trabajo</t>
  </si>
  <si>
    <t>Financiación total</t>
  </si>
  <si>
    <t>Productos ofrecidos</t>
  </si>
  <si>
    <t>Horas de trabajo por unidad de producto ofrecido</t>
  </si>
  <si>
    <t>Clientes potenciales</t>
  </si>
  <si>
    <t>Ingresos por unidad si se cumple el presupuesto al 100%</t>
  </si>
  <si>
    <t>Ingresos por unidad ajustado al presupuesto real</t>
  </si>
  <si>
    <t>Ingresos en pesos para el primer año</t>
  </si>
  <si>
    <t>Ingresos en pesos proyectados para los 5 años</t>
  </si>
  <si>
    <t>Horas de trabajo por producto según presupuesto año 1</t>
  </si>
  <si>
    <t>Horas de trabajo totales proyectadas 5 años</t>
  </si>
  <si>
    <t>Remuneración empleados y prestadores de servicios</t>
  </si>
  <si>
    <t>Factores prestacionales y segurdidad social año 1</t>
  </si>
  <si>
    <t>Factores prestacionales y segurdidad social proyectados 5 años</t>
  </si>
  <si>
    <t>Horas de trabajo por consultor proyectadas 2015</t>
  </si>
  <si>
    <t>Remuneración fija por consultor 2015</t>
  </si>
  <si>
    <t>Remuneración variable por consultor 2015</t>
  </si>
  <si>
    <t>Horas de trabajo por consultor proyectadas 2019</t>
  </si>
  <si>
    <t>Remuneración fija por consultor 2019</t>
  </si>
  <si>
    <t>Remuneración variable por consultor 2019</t>
  </si>
  <si>
    <t>Horas de trabajo por consultor proyectadas 2018</t>
  </si>
  <si>
    <t>Remuneración fija por consultor 2018</t>
  </si>
  <si>
    <t>Remuneración variable por consultor 2018</t>
  </si>
  <si>
    <t>Horas de trabajo por consultor proyectadas 2017</t>
  </si>
  <si>
    <t>Remuneración fija por consultor 2017</t>
  </si>
  <si>
    <t>Remuneración variable por consultor 2017</t>
  </si>
  <si>
    <t>Horas de trabajo por consultor proyectadas 2016</t>
  </si>
  <si>
    <t>Remuneración fija por consultor 2016</t>
  </si>
  <si>
    <t>Remuneración variable por consultor 2016</t>
  </si>
  <si>
    <t>Gastos generales año 2015</t>
  </si>
  <si>
    <t>Gastos generales proyectados 5 años</t>
  </si>
  <si>
    <t>Remuneración consultores mensual proyectada 5 años</t>
  </si>
  <si>
    <t>Columna</t>
  </si>
  <si>
    <t>Indice General Bolsa de Valores de Colombia  - IGBC   1/</t>
  </si>
  <si>
    <t>Índice COLCAP - Índice de capitalización  2/</t>
  </si>
  <si>
    <t>Indice IGBC/COLCAP (todos)</t>
  </si>
  <si>
    <t>Indice IGBC/COLCAP (10 años)</t>
  </si>
  <si>
    <t>Indice IGBC/COLCAP Acumulado (10 años)</t>
  </si>
  <si>
    <t>Rentabilidad</t>
  </si>
  <si>
    <t>Anual</t>
  </si>
  <si>
    <t>Rentabilidad Mercado</t>
  </si>
  <si>
    <t>ÍNDICE</t>
  </si>
  <si>
    <t>Para regresar haga click en el botón "Regresar" al inicio de cada hoja</t>
  </si>
  <si>
    <t>Modulación Tasas de Financiación</t>
  </si>
  <si>
    <t>Definitiva</t>
  </si>
  <si>
    <t>Simulada</t>
  </si>
  <si>
    <t>Definitiva (ya calculada)</t>
  </si>
  <si>
    <t>Simulada (proyectada nuevamente)</t>
  </si>
  <si>
    <t>CAPM</t>
  </si>
  <si>
    <t>General</t>
  </si>
  <si>
    <t>Ajustado Colombia</t>
  </si>
  <si>
    <t>Tasa Anual</t>
  </si>
  <si>
    <t>Costo (CAPM) Anual</t>
  </si>
  <si>
    <t>Costo (CAPM) Mes</t>
  </si>
  <si>
    <t>Mensual</t>
  </si>
  <si>
    <t>VPN (CAPM)</t>
  </si>
  <si>
    <t>VPN (TIR)</t>
  </si>
  <si>
    <t>(Prueba)</t>
  </si>
  <si>
    <t>VPN (CAPM General)</t>
  </si>
  <si>
    <t>VPN (CAPM Ajustado Colombia)</t>
  </si>
  <si>
    <t>Exceso (Déficit) Efect antes Redenc Inv</t>
  </si>
  <si>
    <t>Variación Inversiones Temporales</t>
  </si>
  <si>
    <t>Verificación NO Deuda si Hay Inv Temporales</t>
  </si>
  <si>
    <t>¿Inversiones Temporales?</t>
  </si>
  <si>
    <t>DTF Efectiva Anual</t>
  </si>
  <si>
    <t>Máxima</t>
  </si>
  <si>
    <t>Mínima</t>
  </si>
  <si>
    <t>Equilibrio (CAPM General)</t>
  </si>
  <si>
    <t>Equilibrio (CAPM Ajustado)</t>
  </si>
  <si>
    <t>TABLERO DE RESULTADOS</t>
  </si>
  <si>
    <t>Buscado</t>
  </si>
  <si>
    <t>Proveedores</t>
  </si>
  <si>
    <t>Rotación Cartera-Proveedores</t>
  </si>
  <si>
    <t>Meses capital de trabajo</t>
  </si>
  <si>
    <t>Capital de T</t>
  </si>
  <si>
    <t>Resultados</t>
  </si>
  <si>
    <t>Cartera</t>
  </si>
  <si>
    <t>¿Intención de Comprar Inmueble?</t>
  </si>
  <si>
    <t/>
  </si>
  <si>
    <t>Libre</t>
  </si>
  <si>
    <t>% Cumplimiento</t>
  </si>
  <si>
    <t>Resultados para Escenario Normal</t>
  </si>
  <si>
    <t>Movimiento Neto</t>
  </si>
  <si>
    <t>Contado</t>
  </si>
  <si>
    <t>N° de Consultores por Cargo</t>
  </si>
  <si>
    <t>Exper (años)</t>
  </si>
  <si>
    <t>Horas de Trabajo Mensuales por Consultor Proyectadas</t>
  </si>
  <si>
    <t>Remuneración Fija Mensual Proyectada</t>
  </si>
  <si>
    <t>Remuneración Variable Mensual Proyectada</t>
  </si>
  <si>
    <t>Ajuste Prestacional + Seguridad Social</t>
  </si>
  <si>
    <t>N° de Consultores y Empleados</t>
  </si>
  <si>
    <t>Horas de Consultoría Mensuales Requeridas Año 2015</t>
  </si>
  <si>
    <t>Total Gastos Nómina Mensual</t>
  </si>
  <si>
    <t>Total Gastos Nómina Mensual Proyectado 2015 - 2019</t>
  </si>
  <si>
    <t>Nómina Consultores</t>
  </si>
  <si>
    <t>Ingresos Mensuales Proyectados 2015 - 2019</t>
  </si>
  <si>
    <t>PyG Anual Presupuestado 2015 - 2019</t>
  </si>
  <si>
    <t>Balance General Proyectado</t>
  </si>
  <si>
    <t>Flujo-Mes</t>
  </si>
  <si>
    <t>Flujo descontado mensual</t>
  </si>
  <si>
    <t>Flujo-Mes'!A1</t>
  </si>
  <si>
    <t>Flujo-Año</t>
  </si>
  <si>
    <t>Flujo descontado anual</t>
  </si>
  <si>
    <t>Flujo-Año'!A1</t>
  </si>
  <si>
    <t>Flujo de Caja Libre Proyectado 2015 - 2019</t>
  </si>
  <si>
    <t>RV 2015-Resumen</t>
  </si>
  <si>
    <t>Resumen Remuneración variable por consultor 2015</t>
  </si>
  <si>
    <t>RV 2016-Resumen</t>
  </si>
  <si>
    <t>Resumen Remuneración variable por consultor 2016</t>
  </si>
  <si>
    <t>RV 2017-Resumen</t>
  </si>
  <si>
    <t>Resumen Remuneración variable por consultor 2017</t>
  </si>
  <si>
    <t>RV 2018-Resumen</t>
  </si>
  <si>
    <t>Resumen Remuneración variable por consultor 2018</t>
  </si>
  <si>
    <t>RV 2019-Resumen</t>
  </si>
  <si>
    <t>Resumen Remuneración variable por consultor 2019</t>
  </si>
  <si>
    <t>HC Proyect</t>
  </si>
  <si>
    <t>RF Proyect</t>
  </si>
  <si>
    <t>RV Proyect</t>
  </si>
  <si>
    <t>HC Proyect'!A1</t>
  </si>
  <si>
    <t>RF Proyect'!A1</t>
  </si>
  <si>
    <t>RV Proyect'!A1</t>
  </si>
  <si>
    <t>Gtos Nómina-Resumen</t>
  </si>
  <si>
    <t>Gtos Nómina-Resumen'!A1</t>
  </si>
  <si>
    <t>RV 2015-Resumen'!A1</t>
  </si>
  <si>
    <t>RV 2016-Resumen'!A1</t>
  </si>
  <si>
    <t>RV 2017-Resumen'!A1</t>
  </si>
  <si>
    <t>RV 2018-Resumen'!A1</t>
  </si>
  <si>
    <t>RV 2019-Resumen'!A1</t>
  </si>
  <si>
    <t>Índice</t>
  </si>
  <si>
    <t>Resumen</t>
  </si>
  <si>
    <t>Resumen Total</t>
  </si>
  <si>
    <t>Resultados Combinaciones Todos los Escenarios</t>
  </si>
  <si>
    <t>Resultados Diferentes Políticas para Escenario Normal</t>
  </si>
  <si>
    <t>Índice!A1</t>
  </si>
  <si>
    <t>Resumen!A1</t>
  </si>
  <si>
    <t>Resumen Total'!A1</t>
  </si>
  <si>
    <t>VPN.</t>
  </si>
  <si>
    <t>Tasa del inversionista.</t>
  </si>
  <si>
    <t>Flujo de caja descontado.</t>
  </si>
  <si>
    <t>Tasa interna de retorno.</t>
  </si>
  <si>
    <t>Margen EBITDA.</t>
  </si>
  <si>
    <t>Conclusiones.</t>
  </si>
  <si>
    <t>WACC Gral</t>
  </si>
  <si>
    <t>WACC Ajust</t>
  </si>
  <si>
    <t>Cálculo WACC Fórmula General</t>
  </si>
  <si>
    <t>Cálculo WACC Fórmula Ajustada Colombia</t>
  </si>
  <si>
    <t>WACC Gral'!A1</t>
  </si>
  <si>
    <t>WACC Ajust'!A1</t>
  </si>
  <si>
    <t>Ing Proyect'!A1</t>
  </si>
  <si>
    <t>Orden</t>
  </si>
  <si>
    <t>Servicio – cliente</t>
  </si>
  <si>
    <t>Productividad – interna</t>
  </si>
  <si>
    <t>Bienestar- empleado</t>
  </si>
  <si>
    <t>Generación – dueño</t>
  </si>
  <si>
    <t>Estado</t>
  </si>
  <si>
    <t>Sociedad</t>
  </si>
  <si>
    <t>Oportunidad – mejora productividad</t>
  </si>
  <si>
    <t>Inicial:</t>
  </si>
  <si>
    <t>Último</t>
  </si>
  <si>
    <t>EBITDA Proyetado 2015 - 2019</t>
  </si>
  <si>
    <t>EBITDA</t>
  </si>
  <si>
    <t>Flujo de Caja Ebitda</t>
  </si>
  <si>
    <t>Valoración EBITDA</t>
  </si>
  <si>
    <t>WACC General</t>
  </si>
  <si>
    <t>WACC Ajustado Colombia</t>
  </si>
  <si>
    <t>Ebitda</t>
  </si>
  <si>
    <t>Cálculo Ebitda anual</t>
  </si>
  <si>
    <t>Ebitda!A1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</si>
</sst>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_-;_-@_-"/>
    <numFmt numFmtId="166" formatCode="0.0"/>
    <numFmt numFmtId="167" formatCode="_-&quot;$&quot;* #,##0_-;\-&quot;$&quot;* #,##0_-;_-&quot;$&quot;* &quot;-&quot;??_-;_-@_-"/>
    <numFmt numFmtId="168" formatCode="_-* #,##0.00\ [$€]_-;\-* #,##0.00\ [$€]_-;_-* &quot;-&quot;??\ [$€]_-;_-@_-"/>
    <numFmt numFmtId="169" formatCode="_-* #,##0\ _P_t_s_-;\-* #,##0\ _P_t_s_-;_-* &quot;-&quot;\ _P_t_s_-;_-@_-"/>
    <numFmt numFmtId="170" formatCode="_(* #,##0.00_);_(* \(#,##0.00\);_(* &quot;-&quot;??_);_(@_)"/>
    <numFmt numFmtId="171" formatCode="_ * #,##0.00_ ;_ * \-#,##0.00_ ;_ * &quot;-&quot;??_ ;_ @_ "/>
    <numFmt numFmtId="172" formatCode="_-* #,##0.00\ _P_t_s_-;\-* #,##0.00\ _P_t_s_-;_-* &quot;-&quot;??\ _P_t_s_-;_-@_-"/>
    <numFmt numFmtId="173" formatCode="_(&quot;$&quot;\ * #,##0.00_);_(&quot;$&quot;\ * \(#,##0.00\);_(&quot;$&quot;\ * &quot;-&quot;??_);_(@_)"/>
    <numFmt numFmtId="174" formatCode="_(* #,##0\ &quot;pta&quot;_);_(* \(#,##0\ &quot;pta&quot;\);_(* &quot;-&quot;??\ &quot;pta&quot;_);_(@_)"/>
    <numFmt numFmtId="175" formatCode="0.000"/>
    <numFmt numFmtId="176" formatCode="#,##0_ ;\-#,##0\ "/>
    <numFmt numFmtId="177" formatCode="&quot;$&quot;#,##0"/>
    <numFmt numFmtId="178" formatCode="0.0%"/>
    <numFmt numFmtId="179" formatCode="mmm/yyyy"/>
    <numFmt numFmtId="180" formatCode="_(* #,##0_);_(* \(#,##0\);_(* &quot;-&quot;??_);_(@_)"/>
    <numFmt numFmtId="181" formatCode="\√"/>
    <numFmt numFmtId="182" formatCode="&quot;DTF + &quot;0%"/>
    <numFmt numFmtId="183" formatCode="&quot;DTF + &quot;0.00%"/>
    <numFmt numFmtId="184" formatCode="0.000%"/>
    <numFmt numFmtId="185" formatCode="0.0000%"/>
    <numFmt numFmtId="186" formatCode="&quot;$&quot;#,##0_);\(&quot;$&quot;#,##0\)"/>
    <numFmt numFmtId="187" formatCode="General_)"/>
    <numFmt numFmtId="188" formatCode="_-* #,##0.00\ _P_t_a_-;\-* #,##0.00\ _P_t_a_-;_-* &quot;-&quot;??\ _P_t_a_-;_-@_-"/>
    <numFmt numFmtId="189" formatCode="dd/mmm/yyyy"/>
    <numFmt numFmtId="190" formatCode="#,##0.00_ ;\-#,##0.00\ "/>
    <numFmt numFmtId="191" formatCode="0.0000000%"/>
    <numFmt numFmtId="192" formatCode="&quot;Comb&quot;\ 0"/>
    <numFmt numFmtId="193" formatCode="yyyy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charset val="204"/>
    </font>
    <font>
      <u/>
      <sz val="8"/>
      <color rgb="FF800080"/>
      <name val="Calibri"/>
      <family val="2"/>
      <scheme val="minor"/>
    </font>
    <font>
      <sz val="11"/>
      <color indexed="20"/>
      <name val="Calibri"/>
      <family val="2"/>
    </font>
    <font>
      <sz val="11"/>
      <color indexed="8"/>
      <name val="Calibri"/>
      <family val="2"/>
      <charset val="204"/>
    </font>
    <font>
      <sz val="11"/>
      <color indexed="60"/>
      <name val="Calibri"/>
      <family val="2"/>
    </font>
    <font>
      <sz val="10"/>
      <name val="Courier"/>
      <family val="3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10"/>
      <name val="Arial"/>
      <family val="2"/>
    </font>
    <font>
      <sz val="9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Arial"/>
      <family val="2"/>
    </font>
    <font>
      <b/>
      <i/>
      <sz val="8"/>
      <name val="Arial"/>
      <family val="2"/>
    </font>
    <font>
      <b/>
      <sz val="9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u/>
      <sz val="11"/>
      <color theme="10"/>
      <name val="Calibri"/>
      <family val="2"/>
      <scheme val="minor"/>
    </font>
    <font>
      <b/>
      <sz val="8"/>
      <name val="Verdana"/>
      <family val="2"/>
    </font>
    <font>
      <b/>
      <i/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  <font>
      <i/>
      <sz val="11"/>
      <color indexed="8"/>
      <name val="Verdana"/>
      <family val="2"/>
    </font>
    <font>
      <sz val="11"/>
      <color indexed="8"/>
      <name val="Verdana"/>
      <family val="2"/>
    </font>
    <font>
      <sz val="12"/>
      <name val="Arial"/>
      <family val="2"/>
    </font>
    <font>
      <b/>
      <sz val="12"/>
      <name val="Arial"/>
      <family val="2"/>
    </font>
    <font>
      <sz val="5"/>
      <color rgb="FF003366"/>
      <name val="Tahoma"/>
      <family val="2"/>
    </font>
    <font>
      <sz val="5"/>
      <color theme="1"/>
      <name val="Arial"/>
      <family val="2"/>
    </font>
    <font>
      <sz val="5"/>
      <color rgb="FF333333"/>
      <name val="Arial"/>
      <family val="2"/>
    </font>
    <font>
      <sz val="5"/>
      <color rgb="FF0F871D"/>
      <name val="Arial"/>
      <family val="2"/>
    </font>
    <font>
      <sz val="5"/>
      <color rgb="FF990000"/>
      <name val="Arial"/>
      <family val="2"/>
    </font>
    <font>
      <sz val="12"/>
      <name val="Helv"/>
    </font>
    <font>
      <sz val="11"/>
      <name val="Arial"/>
      <family val="2"/>
    </font>
    <font>
      <b/>
      <sz val="10"/>
      <name val="Helv"/>
    </font>
    <font>
      <b/>
      <sz val="12"/>
      <name val="Helv"/>
    </font>
    <font>
      <sz val="12"/>
      <name val="Arial"/>
      <family val="2"/>
    </font>
    <font>
      <sz val="10"/>
      <name val="Helv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name val="Arial"/>
      <family val="2"/>
    </font>
    <font>
      <b/>
      <i/>
      <sz val="11"/>
      <color indexed="8"/>
      <name val="Verdana"/>
      <family val="2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99FF"/>
      <name val="Calibri"/>
      <family val="2"/>
      <scheme val="minor"/>
    </font>
    <font>
      <b/>
      <sz val="11"/>
      <color rgb="FF0099FF"/>
      <name val="Calibri"/>
      <family val="2"/>
      <scheme val="minor"/>
    </font>
    <font>
      <i/>
      <sz val="8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5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FFCC"/>
        <bgColor indexed="64"/>
      </patternFill>
    </fill>
  </fills>
  <borders count="1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/>
      </left>
      <right/>
      <top style="medium">
        <color auto="1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99CCFF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8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4" fillId="19" borderId="37" applyNumberFormat="0" applyAlignment="0" applyProtection="0"/>
    <xf numFmtId="0" fontId="14" fillId="19" borderId="37" applyNumberFormat="0" applyAlignment="0" applyProtection="0"/>
    <xf numFmtId="0" fontId="14" fillId="19" borderId="37" applyNumberFormat="0" applyAlignment="0" applyProtection="0"/>
    <xf numFmtId="0" fontId="14" fillId="19" borderId="37" applyNumberFormat="0" applyAlignment="0" applyProtection="0"/>
    <xf numFmtId="0" fontId="14" fillId="19" borderId="37" applyNumberFormat="0" applyAlignment="0" applyProtection="0"/>
    <xf numFmtId="0" fontId="14" fillId="19" borderId="37" applyNumberFormat="0" applyAlignment="0" applyProtection="0"/>
    <xf numFmtId="0" fontId="14" fillId="19" borderId="37" applyNumberFormat="0" applyAlignment="0" applyProtection="0"/>
    <xf numFmtId="0" fontId="15" fillId="20" borderId="38" applyNumberFormat="0" applyAlignment="0" applyProtection="0"/>
    <xf numFmtId="0" fontId="15" fillId="20" borderId="38" applyNumberFormat="0" applyAlignment="0" applyProtection="0"/>
    <xf numFmtId="0" fontId="15" fillId="20" borderId="38" applyNumberFormat="0" applyAlignment="0" applyProtection="0"/>
    <xf numFmtId="0" fontId="15" fillId="20" borderId="38" applyNumberFormat="0" applyAlignment="0" applyProtection="0"/>
    <xf numFmtId="0" fontId="15" fillId="20" borderId="38" applyNumberFormat="0" applyAlignment="0" applyProtection="0"/>
    <xf numFmtId="0" fontId="15" fillId="20" borderId="38" applyNumberFormat="0" applyAlignment="0" applyProtection="0"/>
    <xf numFmtId="0" fontId="15" fillId="20" borderId="38" applyNumberFormat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16" fillId="0" borderId="39" applyNumberFormat="0" applyFill="0" applyAlignment="0" applyProtection="0"/>
    <xf numFmtId="0" fontId="9" fillId="4" borderId="40" applyNumberFormat="0" applyFont="0" applyAlignment="0"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8" fillId="10" borderId="37" applyNumberFormat="0" applyAlignment="0" applyProtection="0"/>
    <xf numFmtId="0" fontId="18" fillId="10" borderId="37" applyNumberFormat="0" applyAlignment="0" applyProtection="0"/>
    <xf numFmtId="0" fontId="18" fillId="10" borderId="37" applyNumberFormat="0" applyAlignment="0" applyProtection="0"/>
    <xf numFmtId="0" fontId="18" fillId="10" borderId="37" applyNumberFormat="0" applyAlignment="0" applyProtection="0"/>
    <xf numFmtId="0" fontId="18" fillId="10" borderId="37" applyNumberFormat="0" applyAlignment="0" applyProtection="0"/>
    <xf numFmtId="0" fontId="18" fillId="10" borderId="37" applyNumberFormat="0" applyAlignment="0" applyProtection="0"/>
    <xf numFmtId="0" fontId="18" fillId="10" borderId="37" applyNumberFormat="0" applyAlignment="0" applyProtection="0"/>
    <xf numFmtId="0" fontId="19" fillId="0" borderId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169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0" fontId="9" fillId="0" borderId="0" applyNumberForma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6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27" fillId="0" borderId="0"/>
    <xf numFmtId="0" fontId="9" fillId="0" borderId="0"/>
    <xf numFmtId="0" fontId="9" fillId="0" borderId="0"/>
    <xf numFmtId="0" fontId="1" fillId="0" borderId="0"/>
    <xf numFmtId="0" fontId="27" fillId="0" borderId="0"/>
    <xf numFmtId="0" fontId="1" fillId="0" borderId="0"/>
    <xf numFmtId="0" fontId="11" fillId="0" borderId="0"/>
    <xf numFmtId="0" fontId="9" fillId="0" borderId="0"/>
    <xf numFmtId="0" fontId="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26" borderId="41" applyNumberFormat="0" applyFont="0" applyAlignment="0" applyProtection="0"/>
    <xf numFmtId="0" fontId="11" fillId="26" borderId="41" applyNumberFormat="0" applyFont="0" applyAlignment="0" applyProtection="0"/>
    <xf numFmtId="0" fontId="11" fillId="26" borderId="41" applyNumberFormat="0" applyFont="0" applyAlignment="0" applyProtection="0"/>
    <xf numFmtId="0" fontId="11" fillId="26" borderId="41" applyNumberFormat="0" applyFont="0" applyAlignment="0" applyProtection="0"/>
    <xf numFmtId="0" fontId="11" fillId="26" borderId="41" applyNumberFormat="0" applyFont="0" applyAlignment="0" applyProtection="0"/>
    <xf numFmtId="0" fontId="11" fillId="26" borderId="41" applyNumberFormat="0" applyFont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19" borderId="42" applyNumberFormat="0" applyAlignment="0" applyProtection="0"/>
    <xf numFmtId="0" fontId="29" fillId="19" borderId="42" applyNumberFormat="0" applyAlignment="0" applyProtection="0"/>
    <xf numFmtId="0" fontId="29" fillId="19" borderId="42" applyNumberFormat="0" applyAlignment="0" applyProtection="0"/>
    <xf numFmtId="0" fontId="29" fillId="19" borderId="42" applyNumberFormat="0" applyAlignment="0" applyProtection="0"/>
    <xf numFmtId="0" fontId="29" fillId="19" borderId="42" applyNumberFormat="0" applyAlignment="0" applyProtection="0"/>
    <xf numFmtId="0" fontId="29" fillId="19" borderId="42" applyNumberFormat="0" applyAlignment="0" applyProtection="0"/>
    <xf numFmtId="0" fontId="29" fillId="19" borderId="4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27" borderId="0" applyNumberFormat="0" applyBorder="0">
      <alignment horizontal="centerContinuous" vertical="center" wrapText="1"/>
    </xf>
    <xf numFmtId="0" fontId="33" fillId="0" borderId="43" applyNumberFormat="0" applyFill="0" applyAlignment="0" applyProtection="0"/>
    <xf numFmtId="0" fontId="33" fillId="0" borderId="43" applyNumberFormat="0" applyFill="0" applyAlignment="0" applyProtection="0"/>
    <xf numFmtId="0" fontId="33" fillId="0" borderId="43" applyNumberFormat="0" applyFill="0" applyAlignment="0" applyProtection="0"/>
    <xf numFmtId="0" fontId="33" fillId="0" borderId="43" applyNumberFormat="0" applyFill="0" applyAlignment="0" applyProtection="0"/>
    <xf numFmtId="0" fontId="33" fillId="0" borderId="43" applyNumberFormat="0" applyFill="0" applyAlignment="0" applyProtection="0"/>
    <xf numFmtId="0" fontId="33" fillId="0" borderId="43" applyNumberFormat="0" applyFill="0" applyAlignment="0" applyProtection="0"/>
    <xf numFmtId="0" fontId="33" fillId="0" borderId="43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17" fillId="0" borderId="45" applyNumberFormat="0" applyFill="0" applyAlignment="0" applyProtection="0"/>
    <xf numFmtId="0" fontId="17" fillId="0" borderId="45" applyNumberFormat="0" applyFill="0" applyAlignment="0" applyProtection="0"/>
    <xf numFmtId="0" fontId="17" fillId="0" borderId="45" applyNumberFormat="0" applyFill="0" applyAlignment="0" applyProtection="0"/>
    <xf numFmtId="0" fontId="17" fillId="0" borderId="45" applyNumberFormat="0" applyFill="0" applyAlignment="0" applyProtection="0"/>
    <xf numFmtId="0" fontId="17" fillId="0" borderId="45" applyNumberFormat="0" applyFill="0" applyAlignment="0" applyProtection="0"/>
    <xf numFmtId="0" fontId="17" fillId="0" borderId="45" applyNumberFormat="0" applyFill="0" applyAlignment="0" applyProtection="0"/>
    <xf numFmtId="0" fontId="17" fillId="0" borderId="4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27" borderId="0" applyNumberFormat="0" applyBorder="0">
      <alignment horizontal="centerContinuous" vertical="center" wrapText="1"/>
    </xf>
    <xf numFmtId="0" fontId="36" fillId="0" borderId="46" applyNumberFormat="0" applyFill="0" applyAlignment="0" applyProtection="0"/>
    <xf numFmtId="0" fontId="36" fillId="0" borderId="46" applyNumberFormat="0" applyFill="0" applyAlignment="0" applyProtection="0"/>
    <xf numFmtId="0" fontId="36" fillId="0" borderId="46" applyNumberFormat="0" applyFill="0" applyAlignment="0" applyProtection="0"/>
    <xf numFmtId="0" fontId="36" fillId="0" borderId="46" applyNumberFormat="0" applyFill="0" applyAlignment="0" applyProtection="0"/>
    <xf numFmtId="0" fontId="36" fillId="0" borderId="46" applyNumberFormat="0" applyFill="0" applyAlignment="0" applyProtection="0"/>
    <xf numFmtId="0" fontId="36" fillId="0" borderId="46" applyNumberFormat="0" applyFill="0" applyAlignment="0" applyProtection="0"/>
    <xf numFmtId="0" fontId="36" fillId="0" borderId="46" applyNumberFormat="0" applyFill="0" applyAlignment="0" applyProtection="0"/>
    <xf numFmtId="174" fontId="9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60" fillId="0" borderId="0"/>
    <xf numFmtId="171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186" fontId="65" fillId="0" borderId="0"/>
    <xf numFmtId="37" fontId="72" fillId="0" borderId="0"/>
    <xf numFmtId="188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1151">
    <xf numFmtId="0" fontId="0" fillId="0" borderId="0" xfId="0"/>
    <xf numFmtId="0" fontId="2" fillId="0" borderId="0" xfId="0" applyFont="1"/>
    <xf numFmtId="10" fontId="0" fillId="0" borderId="0" xfId="2" applyNumberFormat="1" applyFont="1"/>
    <xf numFmtId="0" fontId="2" fillId="0" borderId="1" xfId="0" applyFont="1" applyBorder="1" applyAlignment="1">
      <alignment horizontal="center" vertical="center"/>
    </xf>
    <xf numFmtId="164" fontId="0" fillId="2" borderId="3" xfId="1" applyNumberFormat="1" applyFont="1" applyFill="1" applyBorder="1"/>
    <xf numFmtId="0" fontId="0" fillId="2" borderId="3" xfId="0" applyFill="1" applyBorder="1"/>
    <xf numFmtId="164" fontId="0" fillId="2" borderId="5" xfId="1" applyNumberFormat="1" applyFont="1" applyFill="1" applyBorder="1"/>
    <xf numFmtId="0" fontId="0" fillId="2" borderId="5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0" fontId="0" fillId="0" borderId="0" xfId="0" applyNumberFormat="1"/>
    <xf numFmtId="0" fontId="0" fillId="0" borderId="0" xfId="0" applyAlignment="1">
      <alignment horizontal="center" vertical="top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164" fontId="0" fillId="0" borderId="0" xfId="1" applyNumberFormat="1" applyFont="1"/>
    <xf numFmtId="0" fontId="0" fillId="2" borderId="11" xfId="0" applyFill="1" applyBorder="1"/>
    <xf numFmtId="0" fontId="0" fillId="2" borderId="12" xfId="0" applyFill="1" applyBorder="1"/>
    <xf numFmtId="0" fontId="0" fillId="0" borderId="10" xfId="0" applyBorder="1"/>
    <xf numFmtId="0" fontId="2" fillId="0" borderId="13" xfId="0" applyFont="1" applyBorder="1" applyAlignment="1">
      <alignment horizontal="left" vertical="center"/>
    </xf>
    <xf numFmtId="0" fontId="0" fillId="0" borderId="10" xfId="1" applyNumberFormat="1" applyFont="1" applyBorder="1" applyAlignment="1">
      <alignment horizontal="center"/>
    </xf>
    <xf numFmtId="164" fontId="0" fillId="2" borderId="5" xfId="1" applyNumberFormat="1" applyFont="1" applyFill="1" applyBorder="1" applyAlignment="1">
      <alignment horizontal="center"/>
    </xf>
    <xf numFmtId="167" fontId="4" fillId="0" borderId="21" xfId="3" applyNumberFormat="1" applyFont="1" applyBorder="1" applyAlignment="1">
      <alignment horizontal="center" vertical="top" wrapText="1"/>
    </xf>
    <xf numFmtId="0" fontId="2" fillId="3" borderId="14" xfId="0" applyFont="1" applyFill="1" applyBorder="1" applyAlignment="1"/>
    <xf numFmtId="0" fontId="2" fillId="0" borderId="6" xfId="0" applyFont="1" applyBorder="1" applyAlignment="1">
      <alignment vertical="top"/>
    </xf>
    <xf numFmtId="165" fontId="0" fillId="0" borderId="0" xfId="0" applyNumberFormat="1"/>
    <xf numFmtId="0" fontId="2" fillId="0" borderId="0" xfId="0" applyFont="1" applyBorder="1" applyAlignment="1">
      <alignment horizontal="left" vertical="center"/>
    </xf>
    <xf numFmtId="164" fontId="2" fillId="0" borderId="10" xfId="1" applyNumberFormat="1" applyFont="1" applyBorder="1"/>
    <xf numFmtId="164" fontId="2" fillId="0" borderId="10" xfId="0" applyNumberFormat="1" applyFont="1" applyBorder="1"/>
    <xf numFmtId="0" fontId="4" fillId="0" borderId="25" xfId="0" applyFont="1" applyBorder="1" applyAlignment="1">
      <alignment horizontal="center" vertical="top" wrapText="1"/>
    </xf>
    <xf numFmtId="0" fontId="4" fillId="3" borderId="10" xfId="0" applyFont="1" applyFill="1" applyBorder="1"/>
    <xf numFmtId="166" fontId="4" fillId="3" borderId="10" xfId="0" applyNumberFormat="1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0" fontId="0" fillId="3" borderId="10" xfId="0" applyFill="1" applyBorder="1"/>
    <xf numFmtId="0" fontId="0" fillId="0" borderId="10" xfId="1" applyNumberFormat="1" applyFont="1" applyFill="1" applyBorder="1" applyAlignment="1">
      <alignment horizontal="center"/>
    </xf>
    <xf numFmtId="0" fontId="4" fillId="0" borderId="10" xfId="0" applyFont="1" applyFill="1" applyBorder="1"/>
    <xf numFmtId="1" fontId="2" fillId="0" borderId="10" xfId="0" applyNumberFormat="1" applyFont="1" applyBorder="1"/>
    <xf numFmtId="167" fontId="2" fillId="0" borderId="0" xfId="3" applyNumberFormat="1" applyFont="1"/>
    <xf numFmtId="0" fontId="7" fillId="0" borderId="10" xfId="0" applyFont="1" applyBorder="1"/>
    <xf numFmtId="0" fontId="7" fillId="0" borderId="29" xfId="0" applyFont="1" applyFill="1" applyBorder="1"/>
    <xf numFmtId="0" fontId="0" fillId="0" borderId="0" xfId="0" applyBorder="1"/>
    <xf numFmtId="10" fontId="0" fillId="0" borderId="0" xfId="2" applyNumberFormat="1" applyFont="1" applyBorder="1"/>
    <xf numFmtId="0" fontId="0" fillId="0" borderId="10" xfId="0" applyBorder="1" applyAlignment="1">
      <alignment horizontal="center"/>
    </xf>
    <xf numFmtId="0" fontId="10" fillId="4" borderId="0" xfId="4" applyFont="1" applyFill="1"/>
    <xf numFmtId="0" fontId="10" fillId="4" borderId="0" xfId="4" applyFont="1" applyFill="1" applyAlignment="1">
      <alignment horizontal="center"/>
    </xf>
    <xf numFmtId="0" fontId="9" fillId="4" borderId="0" xfId="4" applyFont="1" applyFill="1" applyAlignment="1">
      <alignment horizontal="left" vertical="center" wrapText="1"/>
    </xf>
    <xf numFmtId="0" fontId="9" fillId="4" borderId="0" xfId="4" applyFont="1" applyFill="1" applyAlignment="1">
      <alignment horizontal="left"/>
    </xf>
    <xf numFmtId="0" fontId="9" fillId="4" borderId="0" xfId="4" applyFont="1" applyFill="1"/>
    <xf numFmtId="164" fontId="0" fillId="0" borderId="0" xfId="0" applyNumberFormat="1"/>
    <xf numFmtId="0" fontId="10" fillId="4" borderId="0" xfId="4" applyFont="1" applyFill="1"/>
    <xf numFmtId="0" fontId="9" fillId="0" borderId="0" xfId="4" applyFont="1" applyBorder="1" applyAlignment="1">
      <alignment vertical="center"/>
    </xf>
    <xf numFmtId="0" fontId="9" fillId="0" borderId="17" xfId="4" applyFont="1" applyBorder="1" applyAlignment="1">
      <alignment vertical="center"/>
    </xf>
    <xf numFmtId="0" fontId="9" fillId="0" borderId="10" xfId="4" applyFont="1" applyBorder="1" applyAlignment="1">
      <alignment vertical="center"/>
    </xf>
    <xf numFmtId="166" fontId="9" fillId="4" borderId="10" xfId="4" applyNumberFormat="1" applyFont="1" applyFill="1" applyBorder="1" applyAlignment="1">
      <alignment horizontal="center" vertical="center" wrapText="1"/>
    </xf>
    <xf numFmtId="166" fontId="9" fillId="4" borderId="10" xfId="1" applyNumberFormat="1" applyFont="1" applyFill="1" applyBorder="1" applyAlignment="1">
      <alignment horizontal="center" vertical="center" wrapText="1"/>
    </xf>
    <xf numFmtId="10" fontId="9" fillId="4" borderId="10" xfId="2" applyNumberFormat="1" applyFont="1" applyFill="1" applyBorder="1" applyAlignment="1">
      <alignment vertical="center" wrapText="1"/>
    </xf>
    <xf numFmtId="1" fontId="9" fillId="0" borderId="10" xfId="4" applyNumberFormat="1" applyFont="1" applyBorder="1" applyAlignment="1">
      <alignment vertical="center"/>
    </xf>
    <xf numFmtId="0" fontId="9" fillId="0" borderId="10" xfId="4" applyFont="1" applyBorder="1" applyAlignment="1">
      <alignment horizontal="center" vertical="center"/>
    </xf>
    <xf numFmtId="166" fontId="9" fillId="4" borderId="18" xfId="4" applyNumberFormat="1" applyFont="1" applyFill="1" applyBorder="1" applyAlignment="1">
      <alignment horizontal="right" vertical="center" wrapText="1"/>
    </xf>
    <xf numFmtId="5" fontId="10" fillId="4" borderId="0" xfId="4" applyNumberFormat="1" applyFont="1" applyFill="1" applyAlignment="1">
      <alignment horizontal="right"/>
    </xf>
    <xf numFmtId="166" fontId="9" fillId="4" borderId="10" xfId="4" applyNumberFormat="1" applyFont="1" applyFill="1" applyBorder="1" applyAlignment="1">
      <alignment vertical="center" wrapText="1"/>
    </xf>
    <xf numFmtId="5" fontId="9" fillId="4" borderId="18" xfId="4" applyNumberFormat="1" applyFont="1" applyFill="1" applyBorder="1" applyAlignment="1">
      <alignment horizontal="right"/>
    </xf>
    <xf numFmtId="0" fontId="10" fillId="0" borderId="20" xfId="4" applyFont="1" applyBorder="1" applyAlignment="1">
      <alignment vertical="center"/>
    </xf>
    <xf numFmtId="5" fontId="10" fillId="4" borderId="21" xfId="4" applyNumberFormat="1" applyFont="1" applyFill="1" applyBorder="1" applyAlignment="1">
      <alignment horizontal="right"/>
    </xf>
    <xf numFmtId="0" fontId="10" fillId="0" borderId="54" xfId="4" applyFont="1" applyBorder="1" applyAlignment="1">
      <alignment vertical="center"/>
    </xf>
    <xf numFmtId="0" fontId="10" fillId="0" borderId="27" xfId="4" applyFont="1" applyBorder="1" applyAlignment="1">
      <alignment vertical="center"/>
    </xf>
    <xf numFmtId="0" fontId="10" fillId="0" borderId="24" xfId="4" applyFont="1" applyBorder="1" applyAlignment="1">
      <alignment vertical="center"/>
    </xf>
    <xf numFmtId="0" fontId="10" fillId="4" borderId="6" xfId="4" applyFont="1" applyFill="1" applyBorder="1" applyAlignment="1">
      <alignment horizontal="left"/>
    </xf>
    <xf numFmtId="0" fontId="10" fillId="4" borderId="7" xfId="4" applyFont="1" applyFill="1" applyBorder="1" applyAlignment="1">
      <alignment horizontal="left"/>
    </xf>
    <xf numFmtId="0" fontId="10" fillId="4" borderId="26" xfId="4" applyFont="1" applyFill="1" applyBorder="1" applyAlignment="1">
      <alignment horizontal="left"/>
    </xf>
    <xf numFmtId="0" fontId="10" fillId="4" borderId="7" xfId="4" applyFont="1" applyFill="1" applyBorder="1"/>
    <xf numFmtId="0" fontId="10" fillId="4" borderId="26" xfId="4" applyFont="1" applyFill="1" applyBorder="1"/>
    <xf numFmtId="0" fontId="37" fillId="0" borderId="56" xfId="4" applyFont="1" applyBorder="1" applyAlignment="1">
      <alignment vertical="center"/>
    </xf>
    <xf numFmtId="0" fontId="37" fillId="0" borderId="10" xfId="4" applyFont="1" applyBorder="1" applyAlignment="1">
      <alignment vertical="center"/>
    </xf>
    <xf numFmtId="166" fontId="37" fillId="4" borderId="23" xfId="4" applyNumberFormat="1" applyFont="1" applyFill="1" applyBorder="1" applyAlignment="1">
      <alignment horizontal="center" vertical="center" wrapText="1"/>
    </xf>
    <xf numFmtId="166" fontId="37" fillId="4" borderId="54" xfId="1" applyNumberFormat="1" applyFont="1" applyFill="1" applyBorder="1" applyAlignment="1">
      <alignment horizontal="center" vertical="center" wrapText="1"/>
    </xf>
    <xf numFmtId="166" fontId="37" fillId="4" borderId="54" xfId="4" applyNumberFormat="1" applyFont="1" applyFill="1" applyBorder="1" applyAlignment="1">
      <alignment horizontal="center" vertical="center" wrapText="1"/>
    </xf>
    <xf numFmtId="10" fontId="37" fillId="4" borderId="27" xfId="2" applyNumberFormat="1" applyFont="1" applyFill="1" applyBorder="1" applyAlignment="1">
      <alignment vertical="center" wrapText="1"/>
    </xf>
    <xf numFmtId="5" fontId="37" fillId="4" borderId="18" xfId="4" applyNumberFormat="1" applyFont="1" applyFill="1" applyBorder="1" applyAlignment="1">
      <alignment horizontal="right"/>
    </xf>
    <xf numFmtId="166" fontId="9" fillId="4" borderId="23" xfId="4" applyNumberFormat="1" applyFont="1" applyFill="1" applyBorder="1" applyAlignment="1">
      <alignment vertical="center" wrapText="1"/>
    </xf>
    <xf numFmtId="0" fontId="37" fillId="0" borderId="23" xfId="4" applyFont="1" applyBorder="1" applyAlignment="1">
      <alignment vertical="center"/>
    </xf>
    <xf numFmtId="10" fontId="38" fillId="4" borderId="23" xfId="2" applyNumberFormat="1" applyFont="1" applyFill="1" applyBorder="1" applyAlignment="1">
      <alignment vertical="center" wrapText="1"/>
    </xf>
    <xf numFmtId="0" fontId="2" fillId="0" borderId="30" xfId="0" applyFont="1" applyBorder="1"/>
    <xf numFmtId="0" fontId="0" fillId="0" borderId="57" xfId="0" applyBorder="1"/>
    <xf numFmtId="0" fontId="0" fillId="0" borderId="32" xfId="0" applyBorder="1"/>
    <xf numFmtId="0" fontId="0" fillId="0" borderId="40" xfId="0" applyBorder="1"/>
    <xf numFmtId="10" fontId="0" fillId="0" borderId="40" xfId="0" applyNumberFormat="1" applyBorder="1"/>
    <xf numFmtId="0" fontId="0" fillId="0" borderId="34" xfId="0" applyBorder="1"/>
    <xf numFmtId="0" fontId="0" fillId="0" borderId="59" xfId="0" applyBorder="1"/>
    <xf numFmtId="0" fontId="39" fillId="0" borderId="62" xfId="0" applyFont="1" applyBorder="1"/>
    <xf numFmtId="0" fontId="0" fillId="0" borderId="61" xfId="0" applyBorder="1"/>
    <xf numFmtId="10" fontId="2" fillId="0" borderId="34" xfId="0" applyNumberFormat="1" applyFont="1" applyBorder="1"/>
    <xf numFmtId="0" fontId="0" fillId="0" borderId="63" xfId="0" applyBorder="1"/>
    <xf numFmtId="0" fontId="39" fillId="0" borderId="64" xfId="0" applyFont="1" applyBorder="1"/>
    <xf numFmtId="0" fontId="0" fillId="0" borderId="65" xfId="0" applyBorder="1"/>
    <xf numFmtId="10" fontId="2" fillId="0" borderId="36" xfId="0" applyNumberFormat="1" applyFont="1" applyBorder="1"/>
    <xf numFmtId="0" fontId="3" fillId="0" borderId="32" xfId="0" applyFont="1" applyBorder="1"/>
    <xf numFmtId="0" fontId="3" fillId="0" borderId="40" xfId="0" applyFont="1" applyBorder="1"/>
    <xf numFmtId="166" fontId="0" fillId="0" borderId="40" xfId="0" applyNumberFormat="1" applyBorder="1"/>
    <xf numFmtId="166" fontId="0" fillId="0" borderId="34" xfId="0" applyNumberFormat="1" applyBorder="1"/>
    <xf numFmtId="10" fontId="0" fillId="0" borderId="34" xfId="0" applyNumberFormat="1" applyBorder="1"/>
    <xf numFmtId="166" fontId="0" fillId="0" borderId="0" xfId="0" applyNumberFormat="1"/>
    <xf numFmtId="9" fontId="0" fillId="0" borderId="40" xfId="0" applyNumberFormat="1" applyBorder="1"/>
    <xf numFmtId="9" fontId="0" fillId="0" borderId="34" xfId="0" applyNumberFormat="1" applyBorder="1"/>
    <xf numFmtId="9" fontId="0" fillId="0" borderId="0" xfId="0" applyNumberFormat="1"/>
    <xf numFmtId="0" fontId="3" fillId="0" borderId="32" xfId="0" applyFont="1" applyBorder="1" applyAlignment="1"/>
    <xf numFmtId="2" fontId="0" fillId="0" borderId="40" xfId="0" applyNumberFormat="1" applyBorder="1"/>
    <xf numFmtId="2" fontId="0" fillId="0" borderId="34" xfId="0" applyNumberFormat="1" applyBorder="1"/>
    <xf numFmtId="2" fontId="0" fillId="0" borderId="0" xfId="0" applyNumberFormat="1"/>
    <xf numFmtId="164" fontId="0" fillId="0" borderId="40" xfId="1" applyNumberFormat="1" applyFont="1" applyBorder="1"/>
    <xf numFmtId="164" fontId="0" fillId="0" borderId="34" xfId="1" applyNumberFormat="1" applyFont="1" applyBorder="1"/>
    <xf numFmtId="0" fontId="2" fillId="0" borderId="32" xfId="0" applyFont="1" applyBorder="1"/>
    <xf numFmtId="164" fontId="2" fillId="0" borderId="40" xfId="1" applyNumberFormat="1" applyFont="1" applyBorder="1"/>
    <xf numFmtId="164" fontId="2" fillId="0" borderId="34" xfId="1" applyNumberFormat="1" applyFont="1" applyBorder="1"/>
    <xf numFmtId="164" fontId="2" fillId="0" borderId="0" xfId="1" applyNumberFormat="1" applyFont="1"/>
    <xf numFmtId="0" fontId="2" fillId="0" borderId="35" xfId="0" applyFont="1" applyBorder="1"/>
    <xf numFmtId="0" fontId="2" fillId="0" borderId="65" xfId="0" applyFont="1" applyBorder="1"/>
    <xf numFmtId="10" fontId="2" fillId="0" borderId="65" xfId="2" applyNumberFormat="1" applyFont="1" applyBorder="1"/>
    <xf numFmtId="10" fontId="2" fillId="0" borderId="36" xfId="2" applyNumberFormat="1" applyFont="1" applyBorder="1"/>
    <xf numFmtId="10" fontId="2" fillId="0" borderId="0" xfId="2" applyNumberFormat="1" applyFont="1"/>
    <xf numFmtId="0" fontId="10" fillId="3" borderId="10" xfId="4" applyFont="1" applyFill="1" applyBorder="1" applyAlignment="1">
      <alignment horizontal="center" vertical="top"/>
    </xf>
    <xf numFmtId="0" fontId="9" fillId="0" borderId="56" xfId="4" applyFont="1" applyBorder="1" applyAlignment="1">
      <alignment vertical="center"/>
    </xf>
    <xf numFmtId="0" fontId="9" fillId="0" borderId="54" xfId="4" applyFont="1" applyBorder="1" applyAlignment="1">
      <alignment vertical="center"/>
    </xf>
    <xf numFmtId="166" fontId="9" fillId="4" borderId="54" xfId="4" applyNumberFormat="1" applyFont="1" applyFill="1" applyBorder="1" applyAlignment="1">
      <alignment horizontal="center" vertical="center" wrapText="1"/>
    </xf>
    <xf numFmtId="166" fontId="9" fillId="4" borderId="54" xfId="1" applyNumberFormat="1" applyFont="1" applyFill="1" applyBorder="1" applyAlignment="1">
      <alignment horizontal="center" vertical="center" wrapText="1"/>
    </xf>
    <xf numFmtId="10" fontId="9" fillId="4" borderId="54" xfId="2" applyNumberFormat="1" applyFont="1" applyFill="1" applyBorder="1" applyAlignment="1">
      <alignment vertical="center" wrapText="1"/>
    </xf>
    <xf numFmtId="166" fontId="9" fillId="4" borderId="54" xfId="4" applyNumberFormat="1" applyFont="1" applyFill="1" applyBorder="1" applyAlignment="1">
      <alignment vertical="center" wrapText="1"/>
    </xf>
    <xf numFmtId="166" fontId="9" fillId="4" borderId="68" xfId="4" applyNumberFormat="1" applyFont="1" applyFill="1" applyBorder="1" applyAlignment="1">
      <alignment horizontal="right" vertical="center" wrapText="1"/>
    </xf>
    <xf numFmtId="0" fontId="9" fillId="4" borderId="56" xfId="4" applyFont="1" applyFill="1" applyBorder="1" applyAlignment="1">
      <alignment horizontal="left"/>
    </xf>
    <xf numFmtId="0" fontId="9" fillId="4" borderId="54" xfId="4" applyFont="1" applyFill="1" applyBorder="1" applyAlignment="1">
      <alignment horizontal="left"/>
    </xf>
    <xf numFmtId="0" fontId="9" fillId="4" borderId="54" xfId="4" applyFont="1" applyFill="1" applyBorder="1"/>
    <xf numFmtId="0" fontId="9" fillId="4" borderId="68" xfId="4" applyFont="1" applyFill="1" applyBorder="1" applyAlignment="1">
      <alignment horizontal="right"/>
    </xf>
    <xf numFmtId="0" fontId="10" fillId="3" borderId="18" xfId="4" applyFont="1" applyFill="1" applyBorder="1" applyAlignment="1">
      <alignment horizontal="center" vertical="top"/>
    </xf>
    <xf numFmtId="0" fontId="10" fillId="3" borderId="28" xfId="4" applyFont="1" applyFill="1" applyBorder="1" applyAlignment="1">
      <alignment horizontal="left" vertical="top"/>
    </xf>
    <xf numFmtId="0" fontId="10" fillId="4" borderId="47" xfId="4" applyFont="1" applyFill="1" applyBorder="1" applyAlignment="1"/>
    <xf numFmtId="0" fontId="10" fillId="3" borderId="48" xfId="4" applyFont="1" applyFill="1" applyBorder="1" applyAlignment="1">
      <alignment horizontal="left" vertical="top"/>
    </xf>
    <xf numFmtId="0" fontId="9" fillId="4" borderId="71" xfId="4" applyFont="1" applyFill="1" applyBorder="1"/>
    <xf numFmtId="9" fontId="9" fillId="4" borderId="18" xfId="2" applyFont="1" applyFill="1" applyBorder="1" applyAlignment="1">
      <alignment horizontal="right" vertical="center" wrapText="1"/>
    </xf>
    <xf numFmtId="0" fontId="9" fillId="4" borderId="18" xfId="4" applyFont="1" applyFill="1" applyBorder="1" applyAlignment="1">
      <alignment horizontal="right" vertical="center" wrapText="1"/>
    </xf>
    <xf numFmtId="0" fontId="9" fillId="4" borderId="68" xfId="4" applyFont="1" applyFill="1" applyBorder="1"/>
    <xf numFmtId="0" fontId="9" fillId="4" borderId="68" xfId="4" applyFont="1" applyFill="1" applyBorder="1" applyAlignment="1">
      <alignment horizontal="right" vertical="center" wrapText="1"/>
    </xf>
    <xf numFmtId="5" fontId="2" fillId="0" borderId="0" xfId="0" applyNumberFormat="1" applyFont="1"/>
    <xf numFmtId="0" fontId="10" fillId="4" borderId="0" xfId="4" applyFont="1" applyFill="1"/>
    <xf numFmtId="0" fontId="10" fillId="4" borderId="0" xfId="4" applyFont="1" applyFill="1" applyAlignment="1">
      <alignment horizontal="center" vertical="center" wrapText="1"/>
    </xf>
    <xf numFmtId="0" fontId="38" fillId="3" borderId="15" xfId="4" applyFont="1" applyFill="1" applyBorder="1" applyAlignment="1">
      <alignment horizontal="center" vertical="top" wrapText="1"/>
    </xf>
    <xf numFmtId="0" fontId="44" fillId="3" borderId="10" xfId="4" applyFont="1" applyFill="1" applyBorder="1" applyAlignment="1">
      <alignment vertical="top" wrapText="1"/>
    </xf>
    <xf numFmtId="0" fontId="44" fillId="3" borderId="10" xfId="4" applyFont="1" applyFill="1" applyBorder="1" applyAlignment="1">
      <alignment horizontal="center" vertical="top" wrapText="1"/>
    </xf>
    <xf numFmtId="166" fontId="47" fillId="4" borderId="10" xfId="4" applyNumberFormat="1" applyFont="1" applyFill="1" applyBorder="1" applyAlignment="1">
      <alignment horizontal="center" vertical="center" wrapText="1"/>
    </xf>
    <xf numFmtId="0" fontId="47" fillId="4" borderId="18" xfId="4" applyFont="1" applyFill="1" applyBorder="1"/>
    <xf numFmtId="10" fontId="47" fillId="4" borderId="10" xfId="2" applyNumberFormat="1" applyFont="1" applyFill="1" applyBorder="1" applyAlignment="1">
      <alignment horizontal="center" vertical="center" wrapText="1"/>
    </xf>
    <xf numFmtId="177" fontId="47" fillId="4" borderId="10" xfId="4" applyNumberFormat="1" applyFont="1" applyFill="1" applyBorder="1" applyAlignment="1">
      <alignment vertical="center" wrapText="1"/>
    </xf>
    <xf numFmtId="177" fontId="48" fillId="4" borderId="18" xfId="4" applyNumberFormat="1" applyFont="1" applyFill="1" applyBorder="1" applyAlignment="1">
      <alignment vertical="center" wrapText="1"/>
    </xf>
    <xf numFmtId="9" fontId="47" fillId="4" borderId="10" xfId="2" applyFont="1" applyFill="1" applyBorder="1" applyAlignment="1">
      <alignment horizontal="center" vertical="center" wrapText="1"/>
    </xf>
    <xf numFmtId="164" fontId="47" fillId="4" borderId="10" xfId="1" applyNumberFormat="1" applyFont="1" applyFill="1" applyBorder="1" applyAlignment="1">
      <alignment vertical="center" wrapText="1"/>
    </xf>
    <xf numFmtId="178" fontId="47" fillId="4" borderId="10" xfId="4" applyNumberFormat="1" applyFont="1" applyFill="1" applyBorder="1" applyAlignment="1">
      <alignment horizontal="center" vertical="center" wrapText="1"/>
    </xf>
    <xf numFmtId="5" fontId="47" fillId="4" borderId="10" xfId="4" applyNumberFormat="1" applyFont="1" applyFill="1" applyBorder="1" applyAlignment="1">
      <alignment horizontal="right" vertical="center" wrapText="1"/>
    </xf>
    <xf numFmtId="9" fontId="47" fillId="4" borderId="10" xfId="2" applyNumberFormat="1" applyFont="1" applyFill="1" applyBorder="1" applyAlignment="1">
      <alignment vertical="center" wrapText="1"/>
    </xf>
    <xf numFmtId="10" fontId="47" fillId="4" borderId="10" xfId="2" applyNumberFormat="1" applyFont="1" applyFill="1" applyBorder="1" applyAlignment="1">
      <alignment vertical="center" wrapText="1"/>
    </xf>
    <xf numFmtId="177" fontId="48" fillId="4" borderId="21" xfId="4" applyNumberFormat="1" applyFont="1" applyFill="1" applyBorder="1" applyAlignment="1">
      <alignment vertical="center" wrapText="1"/>
    </xf>
    <xf numFmtId="177" fontId="48" fillId="4" borderId="10" xfId="4" applyNumberFormat="1" applyFont="1" applyFill="1" applyBorder="1" applyAlignment="1">
      <alignment vertical="center" wrapText="1"/>
    </xf>
    <xf numFmtId="5" fontId="48" fillId="4" borderId="10" xfId="4" applyNumberFormat="1" applyFont="1" applyFill="1" applyBorder="1" applyAlignment="1">
      <alignment horizontal="right" vertical="center" wrapText="1"/>
    </xf>
    <xf numFmtId="177" fontId="48" fillId="4" borderId="20" xfId="4" applyNumberFormat="1" applyFont="1" applyFill="1" applyBorder="1" applyAlignment="1">
      <alignment vertical="center" wrapText="1"/>
    </xf>
    <xf numFmtId="0" fontId="47" fillId="4" borderId="18" xfId="4" applyFont="1" applyFill="1" applyBorder="1" applyAlignment="1">
      <alignment horizontal="center"/>
    </xf>
    <xf numFmtId="0" fontId="47" fillId="4" borderId="76" xfId="4" applyFont="1" applyFill="1" applyBorder="1" applyAlignment="1"/>
    <xf numFmtId="10" fontId="48" fillId="4" borderId="18" xfId="2" applyNumberFormat="1" applyFont="1" applyFill="1" applyBorder="1" applyAlignment="1">
      <alignment vertical="center" wrapText="1"/>
    </xf>
    <xf numFmtId="0" fontId="10" fillId="3" borderId="16" xfId="4" applyFont="1" applyFill="1" applyBorder="1" applyAlignment="1">
      <alignment horizontal="center" vertical="top"/>
    </xf>
    <xf numFmtId="0" fontId="41" fillId="3" borderId="15" xfId="4" applyFont="1" applyFill="1" applyBorder="1" applyAlignment="1">
      <alignment horizontal="center" vertical="top" wrapText="1"/>
    </xf>
    <xf numFmtId="0" fontId="38" fillId="0" borderId="10" xfId="4" applyFont="1" applyFill="1" applyBorder="1" applyAlignment="1">
      <alignment horizontal="center" vertical="top"/>
    </xf>
    <xf numFmtId="0" fontId="10" fillId="0" borderId="77" xfId="4" applyFont="1" applyFill="1" applyBorder="1" applyAlignment="1">
      <alignment vertical="top"/>
    </xf>
    <xf numFmtId="0" fontId="0" fillId="0" borderId="56" xfId="0" applyBorder="1" applyAlignment="1">
      <alignment horizontal="left" vertical="top"/>
    </xf>
    <xf numFmtId="0" fontId="2" fillId="3" borderId="74" xfId="0" applyFont="1" applyFill="1" applyBorder="1" applyAlignment="1">
      <alignment horizontal="left"/>
    </xf>
    <xf numFmtId="14" fontId="0" fillId="0" borderId="0" xfId="0" applyNumberFormat="1"/>
    <xf numFmtId="0" fontId="2" fillId="0" borderId="10" xfId="0" applyFont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top" wrapText="1"/>
    </xf>
    <xf numFmtId="180" fontId="38" fillId="0" borderId="10" xfId="0" applyNumberFormat="1" applyFont="1" applyFill="1" applyBorder="1" applyAlignment="1"/>
    <xf numFmtId="0" fontId="2" fillId="0" borderId="10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180" fontId="38" fillId="0" borderId="27" xfId="0" applyNumberFormat="1" applyFont="1" applyFill="1" applyBorder="1" applyAlignment="1"/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0" fillId="0" borderId="29" xfId="0" applyBorder="1"/>
    <xf numFmtId="0" fontId="0" fillId="0" borderId="28" xfId="0" applyBorder="1"/>
    <xf numFmtId="179" fontId="0" fillId="0" borderId="28" xfId="0" applyNumberFormat="1" applyBorder="1" applyAlignment="1">
      <alignment horizontal="center"/>
    </xf>
    <xf numFmtId="179" fontId="0" fillId="0" borderId="10" xfId="0" applyNumberFormat="1" applyBorder="1" applyAlignment="1">
      <alignment horizontal="center"/>
    </xf>
    <xf numFmtId="10" fontId="2" fillId="0" borderId="0" xfId="0" applyNumberFormat="1" applyFont="1"/>
    <xf numFmtId="10" fontId="47" fillId="4" borderId="10" xfId="4" applyNumberFormat="1" applyFont="1" applyFill="1" applyBorder="1" applyAlignment="1">
      <alignment horizontal="center" vertical="center" wrapText="1"/>
    </xf>
    <xf numFmtId="5" fontId="9" fillId="4" borderId="0" xfId="4" applyNumberFormat="1" applyFont="1" applyFill="1" applyAlignment="1">
      <alignment horizontal="left" vertical="center" wrapText="1"/>
    </xf>
    <xf numFmtId="0" fontId="10" fillId="4" borderId="0" xfId="4" applyFont="1" applyFill="1"/>
    <xf numFmtId="0" fontId="0" fillId="0" borderId="59" xfId="0" applyBorder="1" applyAlignment="1">
      <alignment horizontal="left"/>
    </xf>
    <xf numFmtId="0" fontId="0" fillId="0" borderId="62" xfId="0" applyBorder="1" applyAlignment="1">
      <alignment horizontal="left"/>
    </xf>
    <xf numFmtId="0" fontId="44" fillId="3" borderId="23" xfId="4" applyFont="1" applyFill="1" applyBorder="1" applyAlignment="1">
      <alignment horizontal="center"/>
    </xf>
    <xf numFmtId="0" fontId="38" fillId="3" borderId="10" xfId="4" applyFont="1" applyFill="1" applyBorder="1" applyAlignment="1">
      <alignment horizontal="center" vertical="center"/>
    </xf>
    <xf numFmtId="0" fontId="47" fillId="3" borderId="15" xfId="4" applyFont="1" applyFill="1" applyBorder="1" applyAlignment="1">
      <alignment horizontal="center" vertical="top" wrapText="1"/>
    </xf>
    <xf numFmtId="0" fontId="10" fillId="3" borderId="28" xfId="4" applyFont="1" applyFill="1" applyBorder="1" applyAlignment="1">
      <alignment horizontal="center" vertical="top" wrapText="1"/>
    </xf>
    <xf numFmtId="0" fontId="10" fillId="4" borderId="0" xfId="4" applyFont="1" applyFill="1"/>
    <xf numFmtId="0" fontId="10" fillId="3" borderId="48" xfId="4" applyFont="1" applyFill="1" applyBorder="1" applyAlignment="1">
      <alignment horizontal="left" vertical="top"/>
    </xf>
    <xf numFmtId="0" fontId="10" fillId="3" borderId="28" xfId="4" applyFont="1" applyFill="1" applyBorder="1" applyAlignment="1">
      <alignment horizontal="left" vertical="top"/>
    </xf>
    <xf numFmtId="0" fontId="2" fillId="0" borderId="10" xfId="0" applyFont="1" applyBorder="1" applyAlignment="1">
      <alignment horizontal="center" vertical="top" wrapText="1"/>
    </xf>
    <xf numFmtId="177" fontId="4" fillId="0" borderId="20" xfId="3" applyNumberFormat="1" applyFont="1" applyBorder="1" applyAlignment="1">
      <alignment horizontal="right" vertical="top" wrapText="1"/>
    </xf>
    <xf numFmtId="177" fontId="4" fillId="0" borderId="21" xfId="3" applyNumberFormat="1" applyFont="1" applyBorder="1" applyAlignment="1">
      <alignment horizontal="right" vertical="top" wrapText="1"/>
    </xf>
    <xf numFmtId="179" fontId="2" fillId="3" borderId="15" xfId="0" applyNumberFormat="1" applyFont="1" applyFill="1" applyBorder="1" applyAlignment="1">
      <alignment horizontal="center"/>
    </xf>
    <xf numFmtId="177" fontId="3" fillId="0" borderId="10" xfId="3" applyNumberFormat="1" applyFont="1" applyBorder="1" applyAlignment="1">
      <alignment vertical="top" wrapText="1"/>
    </xf>
    <xf numFmtId="177" fontId="3" fillId="0" borderId="18" xfId="3" applyNumberFormat="1" applyFont="1" applyBorder="1" applyAlignment="1">
      <alignment vertical="top" wrapText="1"/>
    </xf>
    <xf numFmtId="177" fontId="3" fillId="0" borderId="23" xfId="3" applyNumberFormat="1" applyFont="1" applyBorder="1" applyAlignment="1">
      <alignment vertical="top" wrapText="1"/>
    </xf>
    <xf numFmtId="0" fontId="2" fillId="0" borderId="83" xfId="0" applyFont="1" applyBorder="1"/>
    <xf numFmtId="0" fontId="0" fillId="0" borderId="84" xfId="0" applyBorder="1"/>
    <xf numFmtId="0" fontId="39" fillId="0" borderId="33" xfId="0" applyFont="1" applyBorder="1"/>
    <xf numFmtId="0" fontId="2" fillId="0" borderId="85" xfId="0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10" fontId="2" fillId="0" borderId="61" xfId="0" applyNumberFormat="1" applyFont="1" applyBorder="1"/>
    <xf numFmtId="10" fontId="2" fillId="0" borderId="66" xfId="0" applyNumberFormat="1" applyFont="1" applyBorder="1"/>
    <xf numFmtId="0" fontId="2" fillId="0" borderId="87" xfId="0" applyFont="1" applyBorder="1" applyAlignment="1">
      <alignment horizontal="center"/>
    </xf>
    <xf numFmtId="0" fontId="2" fillId="0" borderId="88" xfId="0" applyFont="1" applyBorder="1" applyAlignment="1">
      <alignment horizontal="center"/>
    </xf>
    <xf numFmtId="10" fontId="0" fillId="0" borderId="89" xfId="0" applyNumberFormat="1" applyBorder="1"/>
    <xf numFmtId="0" fontId="0" fillId="0" borderId="89" xfId="0" applyBorder="1"/>
    <xf numFmtId="0" fontId="0" fillId="0" borderId="90" xfId="0" applyBorder="1"/>
    <xf numFmtId="0" fontId="0" fillId="0" borderId="92" xfId="0" applyBorder="1"/>
    <xf numFmtId="0" fontId="2" fillId="0" borderId="95" xfId="0" applyFont="1" applyBorder="1"/>
    <xf numFmtId="0" fontId="0" fillId="0" borderId="62" xfId="0" applyBorder="1"/>
    <xf numFmtId="0" fontId="10" fillId="4" borderId="0" xfId="4" applyFont="1" applyFill="1" applyBorder="1" applyAlignment="1"/>
    <xf numFmtId="0" fontId="10" fillId="3" borderId="25" xfId="4" applyFont="1" applyFill="1" applyBorder="1" applyAlignment="1">
      <alignment horizontal="center" wrapText="1"/>
    </xf>
    <xf numFmtId="0" fontId="10" fillId="3" borderId="25" xfId="4" applyFont="1" applyFill="1" applyBorder="1" applyAlignment="1">
      <alignment horizontal="center"/>
    </xf>
    <xf numFmtId="0" fontId="10" fillId="3" borderId="28" xfId="4" applyFont="1" applyFill="1" applyBorder="1" applyAlignment="1">
      <alignment horizontal="center" wrapText="1"/>
    </xf>
    <xf numFmtId="0" fontId="10" fillId="3" borderId="28" xfId="4" applyFont="1" applyFill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166" fontId="10" fillId="0" borderId="24" xfId="4" applyNumberFormat="1" applyFont="1" applyBorder="1" applyAlignment="1">
      <alignment vertical="center"/>
    </xf>
    <xf numFmtId="5" fontId="9" fillId="4" borderId="0" xfId="4" applyNumberFormat="1" applyFont="1" applyFill="1"/>
    <xf numFmtId="166" fontId="37" fillId="0" borderId="23" xfId="4" applyNumberFormat="1" applyFont="1" applyBorder="1" applyAlignment="1">
      <alignment vertical="center"/>
    </xf>
    <xf numFmtId="9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2" fillId="0" borderId="27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/>
    </xf>
    <xf numFmtId="0" fontId="2" fillId="0" borderId="54" xfId="0" applyFont="1" applyBorder="1" applyAlignment="1">
      <alignment horizontal="center" vertical="top"/>
    </xf>
    <xf numFmtId="0" fontId="2" fillId="3" borderId="10" xfId="0" applyFont="1" applyFill="1" applyBorder="1" applyAlignment="1">
      <alignment horizontal="center" vertical="top" wrapText="1"/>
    </xf>
    <xf numFmtId="10" fontId="38" fillId="0" borderId="27" xfId="2" applyNumberFormat="1" applyFont="1" applyFill="1" applyBorder="1" applyAlignment="1"/>
    <xf numFmtId="0" fontId="2" fillId="3" borderId="97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14" fontId="2" fillId="0" borderId="0" xfId="0" applyNumberFormat="1" applyFont="1" applyAlignment="1">
      <alignment horizontal="right"/>
    </xf>
    <xf numFmtId="177" fontId="4" fillId="0" borderId="0" xfId="3" applyNumberFormat="1" applyFont="1" applyBorder="1" applyAlignment="1">
      <alignment vertical="top" wrapText="1"/>
    </xf>
    <xf numFmtId="0" fontId="2" fillId="3" borderId="0" xfId="0" applyFont="1" applyFill="1"/>
    <xf numFmtId="0" fontId="4" fillId="3" borderId="0" xfId="0" applyFont="1" applyFill="1"/>
    <xf numFmtId="0" fontId="2" fillId="3" borderId="25" xfId="0" applyFont="1" applyFill="1" applyBorder="1" applyAlignment="1">
      <alignment horizontal="center"/>
    </xf>
    <xf numFmtId="0" fontId="0" fillId="3" borderId="29" xfId="0" applyFill="1" applyBorder="1"/>
    <xf numFmtId="180" fontId="41" fillId="0" borderId="10" xfId="0" applyNumberFormat="1" applyFont="1" applyFill="1" applyBorder="1" applyAlignment="1"/>
    <xf numFmtId="0" fontId="2" fillId="0" borderId="13" xfId="0" quotePrefix="1" applyFont="1" applyBorder="1"/>
    <xf numFmtId="0" fontId="2" fillId="0" borderId="72" xfId="0" applyFont="1" applyBorder="1"/>
    <xf numFmtId="0" fontId="0" fillId="0" borderId="72" xfId="0" applyBorder="1"/>
    <xf numFmtId="0" fontId="0" fillId="0" borderId="73" xfId="0" applyBorder="1"/>
    <xf numFmtId="10" fontId="2" fillId="0" borderId="65" xfId="0" applyNumberFormat="1" applyFont="1" applyBorder="1"/>
    <xf numFmtId="0" fontId="2" fillId="0" borderId="59" xfId="0" applyFont="1" applyBorder="1" applyAlignment="1"/>
    <xf numFmtId="0" fontId="2" fillId="0" borderId="33" xfId="0" applyFont="1" applyBorder="1" applyAlignment="1"/>
    <xf numFmtId="0" fontId="2" fillId="0" borderId="60" xfId="0" applyFont="1" applyBorder="1" applyAlignment="1"/>
    <xf numFmtId="0" fontId="0" fillId="0" borderId="59" xfId="0" applyBorder="1" applyAlignment="1"/>
    <xf numFmtId="0" fontId="0" fillId="0" borderId="33" xfId="0" applyBorder="1" applyAlignment="1"/>
    <xf numFmtId="0" fontId="0" fillId="0" borderId="60" xfId="0" applyBorder="1" applyAlignment="1"/>
    <xf numFmtId="0" fontId="2" fillId="0" borderId="99" xfId="0" applyFont="1" applyBorder="1" applyAlignment="1">
      <alignment horizontal="center"/>
    </xf>
    <xf numFmtId="0" fontId="2" fillId="0" borderId="100" xfId="0" applyFont="1" applyBorder="1" applyAlignment="1"/>
    <xf numFmtId="10" fontId="0" fillId="0" borderId="101" xfId="0" applyNumberFormat="1" applyBorder="1"/>
    <xf numFmtId="0" fontId="0" fillId="0" borderId="100" xfId="0" applyBorder="1" applyAlignment="1"/>
    <xf numFmtId="0" fontId="0" fillId="0" borderId="102" xfId="0" applyBorder="1" applyAlignment="1"/>
    <xf numFmtId="0" fontId="0" fillId="0" borderId="103" xfId="0" applyBorder="1" applyAlignment="1"/>
    <xf numFmtId="0" fontId="0" fillId="0" borderId="104" xfId="0" applyBorder="1" applyAlignment="1"/>
    <xf numFmtId="10" fontId="0" fillId="0" borderId="103" xfId="0" applyNumberFormat="1" applyBorder="1" applyAlignment="1"/>
    <xf numFmtId="0" fontId="0" fillId="0" borderId="106" xfId="0" applyBorder="1" applyAlignment="1"/>
    <xf numFmtId="0" fontId="0" fillId="0" borderId="93" xfId="0" applyBorder="1"/>
    <xf numFmtId="0" fontId="39" fillId="0" borderId="98" xfId="0" applyFont="1" applyBorder="1"/>
    <xf numFmtId="0" fontId="2" fillId="0" borderId="107" xfId="0" applyFont="1" applyBorder="1" applyAlignment="1"/>
    <xf numFmtId="10" fontId="0" fillId="0" borderId="108" xfId="0" applyNumberFormat="1" applyBorder="1" applyAlignment="1"/>
    <xf numFmtId="0" fontId="0" fillId="0" borderId="108" xfId="0" applyBorder="1" applyAlignment="1"/>
    <xf numFmtId="10" fontId="2" fillId="0" borderId="90" xfId="0" applyNumberFormat="1" applyFont="1" applyBorder="1"/>
    <xf numFmtId="178" fontId="2" fillId="0" borderId="27" xfId="0" applyNumberFormat="1" applyFont="1" applyBorder="1" applyAlignment="1">
      <alignment horizontal="center" vertical="top" wrapText="1"/>
    </xf>
    <xf numFmtId="0" fontId="49" fillId="0" borderId="27" xfId="0" applyFont="1" applyBorder="1" applyAlignment="1">
      <alignment horizontal="center" vertical="top" wrapText="1"/>
    </xf>
    <xf numFmtId="0" fontId="2" fillId="0" borderId="29" xfId="0" applyFont="1" applyBorder="1"/>
    <xf numFmtId="0" fontId="2" fillId="0" borderId="29" xfId="0" applyFont="1" applyBorder="1" applyAlignment="1">
      <alignment horizontal="center"/>
    </xf>
    <xf numFmtId="0" fontId="2" fillId="0" borderId="97" xfId="0" applyFont="1" applyBorder="1" applyAlignment="1">
      <alignment horizontal="center" vertical="top"/>
    </xf>
    <xf numFmtId="0" fontId="2" fillId="0" borderId="82" xfId="0" applyFont="1" applyBorder="1" applyAlignment="1">
      <alignment horizontal="center" vertical="top"/>
    </xf>
    <xf numFmtId="0" fontId="49" fillId="0" borderId="28" xfId="0" applyFont="1" applyBorder="1" applyAlignment="1">
      <alignment horizontal="center" vertical="top" wrapText="1"/>
    </xf>
    <xf numFmtId="0" fontId="52" fillId="0" borderId="28" xfId="0" applyFont="1" applyBorder="1"/>
    <xf numFmtId="0" fontId="52" fillId="0" borderId="113" xfId="0" applyFont="1" applyBorder="1" applyAlignment="1">
      <alignment horizontal="center"/>
    </xf>
    <xf numFmtId="2" fontId="52" fillId="0" borderId="113" xfId="0" applyNumberFormat="1" applyFont="1" applyBorder="1" applyAlignment="1">
      <alignment horizontal="center"/>
    </xf>
    <xf numFmtId="10" fontId="52" fillId="0" borderId="113" xfId="0" applyNumberFormat="1" applyFont="1" applyBorder="1" applyAlignment="1">
      <alignment horizontal="center"/>
    </xf>
    <xf numFmtId="0" fontId="53" fillId="0" borderId="28" xfId="0" applyFont="1" applyBorder="1"/>
    <xf numFmtId="0" fontId="53" fillId="0" borderId="113" xfId="0" applyFont="1" applyBorder="1" applyAlignment="1">
      <alignment horizontal="center"/>
    </xf>
    <xf numFmtId="2" fontId="53" fillId="0" borderId="113" xfId="0" applyNumberFormat="1" applyFont="1" applyBorder="1" applyAlignment="1">
      <alignment horizontal="center"/>
    </xf>
    <xf numFmtId="10" fontId="53" fillId="0" borderId="113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 vertical="top" wrapText="1"/>
    </xf>
    <xf numFmtId="2" fontId="2" fillId="0" borderId="0" xfId="0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0" fontId="54" fillId="29" borderId="111" xfId="0" applyFont="1" applyFill="1" applyBorder="1" applyAlignment="1">
      <alignment vertical="top" wrapText="1"/>
    </xf>
    <xf numFmtId="0" fontId="54" fillId="29" borderId="112" xfId="0" applyFont="1" applyFill="1" applyBorder="1" applyAlignment="1">
      <alignment horizontal="center" vertical="top" wrapText="1"/>
    </xf>
    <xf numFmtId="2" fontId="54" fillId="29" borderId="112" xfId="0" applyNumberFormat="1" applyFont="1" applyFill="1" applyBorder="1" applyAlignment="1">
      <alignment horizontal="center" vertical="top" wrapText="1"/>
    </xf>
    <xf numFmtId="0" fontId="0" fillId="0" borderId="56" xfId="0" applyBorder="1" applyAlignment="1">
      <alignment horizontal="left" vertical="top"/>
    </xf>
    <xf numFmtId="181" fontId="53" fillId="29" borderId="0" xfId="0" quotePrefix="1" applyNumberFormat="1" applyFont="1" applyFill="1" applyBorder="1" applyAlignment="1">
      <alignment horizontal="center" vertical="center" wrapText="1"/>
    </xf>
    <xf numFmtId="0" fontId="0" fillId="29" borderId="0" xfId="0" applyFill="1"/>
    <xf numFmtId="10" fontId="2" fillId="3" borderId="0" xfId="2" applyNumberFormat="1" applyFont="1" applyFill="1"/>
    <xf numFmtId="0" fontId="2" fillId="0" borderId="0" xfId="0" applyFont="1" applyAlignment="1">
      <alignment horizontal="center" vertical="top" wrapText="1"/>
    </xf>
    <xf numFmtId="0" fontId="2" fillId="29" borderId="0" xfId="0" applyFont="1" applyFill="1" applyAlignment="1">
      <alignment horizontal="center"/>
    </xf>
    <xf numFmtId="0" fontId="2" fillId="30" borderId="0" xfId="0" applyFont="1" applyFill="1"/>
    <xf numFmtId="0" fontId="0" fillId="0" borderId="81" xfId="0" applyBorder="1" applyAlignment="1">
      <alignment vertical="top"/>
    </xf>
    <xf numFmtId="177" fontId="3" fillId="0" borderId="25" xfId="3" applyNumberFormat="1" applyFont="1" applyBorder="1" applyAlignment="1">
      <alignment vertical="top" wrapText="1"/>
    </xf>
    <xf numFmtId="177" fontId="3" fillId="0" borderId="76" xfId="3" applyNumberFormat="1" applyFont="1" applyBorder="1" applyAlignment="1">
      <alignment vertical="top" wrapText="1"/>
    </xf>
    <xf numFmtId="177" fontId="3" fillId="0" borderId="111" xfId="3" applyNumberFormat="1" applyFont="1" applyBorder="1" applyAlignment="1">
      <alignment vertical="top" wrapText="1"/>
    </xf>
    <xf numFmtId="182" fontId="0" fillId="0" borderId="111" xfId="0" applyNumberFormat="1" applyFont="1" applyBorder="1" applyAlignment="1">
      <alignment horizontal="right"/>
    </xf>
    <xf numFmtId="182" fontId="0" fillId="0" borderId="18" xfId="0" applyNumberFormat="1" applyFont="1" applyBorder="1" applyAlignment="1">
      <alignment horizontal="right"/>
    </xf>
    <xf numFmtId="0" fontId="2" fillId="0" borderId="111" xfId="0" applyFont="1" applyBorder="1" applyAlignment="1">
      <alignment horizontal="center" vertical="top"/>
    </xf>
    <xf numFmtId="0" fontId="2" fillId="0" borderId="111" xfId="0" applyFont="1" applyBorder="1" applyAlignment="1">
      <alignment horizontal="center" vertical="top" wrapText="1"/>
    </xf>
    <xf numFmtId="0" fontId="2" fillId="0" borderId="111" xfId="0" applyFont="1" applyBorder="1" applyAlignment="1">
      <alignment vertical="top" wrapText="1"/>
    </xf>
    <xf numFmtId="180" fontId="38" fillId="0" borderId="111" xfId="0" applyNumberFormat="1" applyFont="1" applyFill="1" applyBorder="1" applyAlignment="1"/>
    <xf numFmtId="0" fontId="4" fillId="0" borderId="111" xfId="0" applyFont="1" applyBorder="1" applyAlignment="1">
      <alignment horizontal="center" vertical="top" wrapText="1"/>
    </xf>
    <xf numFmtId="0" fontId="2" fillId="0" borderId="112" xfId="0" applyFont="1" applyBorder="1" applyAlignment="1">
      <alignment horizontal="center" vertical="top" wrapText="1"/>
    </xf>
    <xf numFmtId="0" fontId="0" fillId="0" borderId="110" xfId="0" applyBorder="1"/>
    <xf numFmtId="0" fontId="2" fillId="0" borderId="54" xfId="0" applyFont="1" applyBorder="1" applyAlignment="1">
      <alignment vertical="top" wrapText="1"/>
    </xf>
    <xf numFmtId="0" fontId="49" fillId="0" borderId="54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4" fillId="0" borderId="51" xfId="0" applyFont="1" applyBorder="1" applyAlignment="1">
      <alignment horizontal="center" vertical="top" wrapText="1"/>
    </xf>
    <xf numFmtId="0" fontId="49" fillId="0" borderId="51" xfId="0" applyFont="1" applyBorder="1" applyAlignment="1">
      <alignment horizontal="center" vertical="top" wrapText="1"/>
    </xf>
    <xf numFmtId="0" fontId="0" fillId="0" borderId="111" xfId="0" applyBorder="1"/>
    <xf numFmtId="179" fontId="0" fillId="0" borderId="111" xfId="0" applyNumberFormat="1" applyBorder="1" applyAlignment="1">
      <alignment horizontal="center"/>
    </xf>
    <xf numFmtId="10" fontId="38" fillId="0" borderId="10" xfId="2" applyNumberFormat="1" applyFont="1" applyFill="1" applyBorder="1" applyAlignment="1"/>
    <xf numFmtId="0" fontId="2" fillId="0" borderId="111" xfId="0" applyFont="1" applyFill="1" applyBorder="1" applyAlignment="1">
      <alignment horizontal="center" vertical="top"/>
    </xf>
    <xf numFmtId="0" fontId="2" fillId="0" borderId="54" xfId="0" applyFont="1" applyBorder="1" applyAlignment="1">
      <alignment horizontal="center" vertical="top" wrapText="1"/>
    </xf>
    <xf numFmtId="0" fontId="2" fillId="0" borderId="112" xfId="0" applyFont="1" applyBorder="1" applyAlignment="1">
      <alignment horizontal="center" vertical="top" wrapText="1"/>
    </xf>
    <xf numFmtId="0" fontId="0" fillId="31" borderId="0" xfId="0" applyFill="1"/>
    <xf numFmtId="0" fontId="2" fillId="0" borderId="10" xfId="0" applyFont="1" applyBorder="1" applyAlignment="1">
      <alignment horizontal="center" vertical="top" wrapText="1"/>
    </xf>
    <xf numFmtId="0" fontId="55" fillId="0" borderId="0" xfId="377"/>
    <xf numFmtId="0" fontId="2" fillId="0" borderId="0" xfId="0" applyFont="1" applyBorder="1" applyAlignment="1">
      <alignment horizontal="center"/>
    </xf>
    <xf numFmtId="177" fontId="3" fillId="31" borderId="18" xfId="3" applyNumberFormat="1" applyFont="1" applyFill="1" applyBorder="1" applyAlignment="1">
      <alignment vertical="top" wrapText="1"/>
    </xf>
    <xf numFmtId="180" fontId="41" fillId="0" borderId="111" xfId="0" applyNumberFormat="1" applyFont="1" applyFill="1" applyBorder="1" applyAlignment="1"/>
    <xf numFmtId="0" fontId="0" fillId="0" borderId="114" xfId="0" applyBorder="1"/>
    <xf numFmtId="0" fontId="0" fillId="0" borderId="115" xfId="0" applyNumberFormat="1" applyBorder="1" applyAlignment="1">
      <alignment horizontal="center"/>
    </xf>
    <xf numFmtId="0" fontId="2" fillId="0" borderId="117" xfId="0" applyFont="1" applyBorder="1" applyAlignment="1">
      <alignment vertical="top"/>
    </xf>
    <xf numFmtId="0" fontId="2" fillId="3" borderId="78" xfId="0" applyFont="1" applyFill="1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82" xfId="0" applyBorder="1" applyAlignment="1">
      <alignment horizontal="left" vertical="top" wrapText="1"/>
    </xf>
    <xf numFmtId="0" fontId="0" fillId="0" borderId="113" xfId="0" applyBorder="1" applyAlignment="1">
      <alignment horizontal="left" vertical="top"/>
    </xf>
    <xf numFmtId="0" fontId="0" fillId="0" borderId="118" xfId="0" applyBorder="1" applyAlignment="1">
      <alignment vertical="top"/>
    </xf>
    <xf numFmtId="0" fontId="2" fillId="3" borderId="119" xfId="0" applyFont="1" applyFill="1" applyBorder="1" applyAlignment="1"/>
    <xf numFmtId="0" fontId="0" fillId="0" borderId="120" xfId="0" applyBorder="1" applyAlignment="1">
      <alignment vertical="top"/>
    </xf>
    <xf numFmtId="181" fontId="53" fillId="30" borderId="116" xfId="0" quotePrefix="1" applyNumberFormat="1" applyFont="1" applyFill="1" applyBorder="1" applyAlignment="1">
      <alignment horizontal="center" vertical="center" wrapText="1"/>
    </xf>
    <xf numFmtId="0" fontId="2" fillId="29" borderId="0" xfId="0" applyFont="1" applyFill="1"/>
    <xf numFmtId="0" fontId="2" fillId="0" borderId="5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0" fontId="2" fillId="0" borderId="0" xfId="0" applyNumberFormat="1" applyFont="1" applyAlignment="1">
      <alignment horizontal="left"/>
    </xf>
    <xf numFmtId="183" fontId="2" fillId="0" borderId="0" xfId="0" applyNumberFormat="1" applyFont="1" applyAlignment="1">
      <alignment horizontal="right"/>
    </xf>
    <xf numFmtId="10" fontId="38" fillId="40" borderId="27" xfId="2" applyNumberFormat="1" applyFont="1" applyFill="1" applyBorder="1" applyAlignment="1"/>
    <xf numFmtId="0" fontId="2" fillId="0" borderId="54" xfId="0" applyFont="1" applyBorder="1" applyAlignment="1">
      <alignment horizontal="center" vertical="top" wrapText="1"/>
    </xf>
    <xf numFmtId="180" fontId="0" fillId="0" borderId="0" xfId="0" applyNumberFormat="1"/>
    <xf numFmtId="0" fontId="2" fillId="0" borderId="116" xfId="0" applyFont="1" applyBorder="1" applyAlignment="1">
      <alignment horizontal="center" vertical="top" wrapText="1"/>
    </xf>
    <xf numFmtId="180" fontId="38" fillId="30" borderId="10" xfId="0" applyNumberFormat="1" applyFont="1" applyFill="1" applyBorder="1" applyAlignment="1"/>
    <xf numFmtId="0" fontId="2" fillId="0" borderId="54" xfId="0" applyFont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top" wrapText="1"/>
    </xf>
    <xf numFmtId="0" fontId="49" fillId="0" borderId="116" xfId="0" applyFont="1" applyBorder="1" applyAlignment="1">
      <alignment horizontal="center" vertical="top" wrapText="1"/>
    </xf>
    <xf numFmtId="180" fontId="41" fillId="0" borderId="116" xfId="0" applyNumberFormat="1" applyFont="1" applyFill="1" applyBorder="1" applyAlignment="1"/>
    <xf numFmtId="0" fontId="4" fillId="0" borderId="0" xfId="0" applyFont="1" applyAlignment="1">
      <alignment horizontal="center" wrapText="1"/>
    </xf>
    <xf numFmtId="0" fontId="2" fillId="0" borderId="54" xfId="0" applyFont="1" applyBorder="1" applyAlignment="1">
      <alignment horizontal="center"/>
    </xf>
    <xf numFmtId="14" fontId="0" fillId="0" borderId="0" xfId="0" quotePrefix="1" applyNumberFormat="1"/>
    <xf numFmtId="180" fontId="38" fillId="0" borderId="116" xfId="0" applyNumberFormat="1" applyFont="1" applyFill="1" applyBorder="1" applyAlignment="1"/>
    <xf numFmtId="0" fontId="0" fillId="3" borderId="0" xfId="0" applyFill="1"/>
    <xf numFmtId="0" fontId="2" fillId="0" borderId="54" xfId="0" applyFont="1" applyBorder="1" applyAlignment="1">
      <alignment horizontal="center" vertical="top" wrapText="1"/>
    </xf>
    <xf numFmtId="0" fontId="2" fillId="0" borderId="112" xfId="0" applyFont="1" applyBorder="1" applyAlignment="1">
      <alignment horizontal="center" vertical="top" wrapText="1"/>
    </xf>
    <xf numFmtId="0" fontId="2" fillId="0" borderId="116" xfId="0" applyFont="1" applyBorder="1" applyAlignment="1">
      <alignment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11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80" fontId="41" fillId="0" borderId="0" xfId="0" applyNumberFormat="1" applyFont="1" applyFill="1" applyBorder="1" applyAlignment="1"/>
    <xf numFmtId="0" fontId="2" fillId="0" borderId="25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2" fillId="0" borderId="115" xfId="0" applyFont="1" applyBorder="1" applyAlignment="1">
      <alignment horizontal="center" vertical="top" wrapText="1"/>
    </xf>
    <xf numFmtId="8" fontId="0" fillId="0" borderId="0" xfId="0" applyNumberFormat="1"/>
    <xf numFmtId="43" fontId="0" fillId="0" borderId="0" xfId="0" applyNumberFormat="1"/>
    <xf numFmtId="180" fontId="38" fillId="3" borderId="10" xfId="0" applyNumberFormat="1" applyFont="1" applyFill="1" applyBorder="1" applyAlignment="1"/>
    <xf numFmtId="180" fontId="38" fillId="3" borderId="116" xfId="0" applyNumberFormat="1" applyFont="1" applyFill="1" applyBorder="1" applyAlignment="1"/>
    <xf numFmtId="180" fontId="38" fillId="42" borderId="10" xfId="0" applyNumberFormat="1" applyFont="1" applyFill="1" applyBorder="1" applyAlignment="1"/>
    <xf numFmtId="0" fontId="4" fillId="0" borderId="11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54" xfId="0" applyFont="1" applyBorder="1" applyAlignment="1">
      <alignment horizontal="center" vertical="top" wrapText="1"/>
    </xf>
    <xf numFmtId="0" fontId="2" fillId="0" borderId="116" xfId="0" applyFont="1" applyBorder="1" applyAlignment="1">
      <alignment horizontal="center"/>
    </xf>
    <xf numFmtId="10" fontId="38" fillId="0" borderId="115" xfId="2" applyNumberFormat="1" applyFont="1" applyFill="1" applyBorder="1" applyAlignment="1"/>
    <xf numFmtId="0" fontId="2" fillId="0" borderId="5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16" xfId="0" applyFont="1" applyBorder="1" applyAlignment="1">
      <alignment horizontal="center"/>
    </xf>
    <xf numFmtId="0" fontId="2" fillId="0" borderId="116" xfId="0" applyFont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49" fillId="0" borderId="23" xfId="0" applyFont="1" applyBorder="1" applyAlignment="1">
      <alignment horizontal="center" vertical="top" wrapText="1"/>
    </xf>
    <xf numFmtId="0" fontId="49" fillId="0" borderId="28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9" fontId="2" fillId="0" borderId="111" xfId="0" applyNumberFormat="1" applyFont="1" applyBorder="1" applyAlignment="1">
      <alignment horizontal="center"/>
    </xf>
    <xf numFmtId="14" fontId="2" fillId="0" borderId="0" xfId="0" applyNumberFormat="1" applyFont="1"/>
    <xf numFmtId="0" fontId="2" fillId="0" borderId="0" xfId="0" applyNumberFormat="1" applyFont="1" applyAlignment="1">
      <alignment horizontal="center"/>
    </xf>
    <xf numFmtId="180" fontId="41" fillId="3" borderId="10" xfId="0" applyNumberFormat="1" applyFont="1" applyFill="1" applyBorder="1" applyAlignment="1"/>
    <xf numFmtId="0" fontId="0" fillId="0" borderId="25" xfId="0" applyFont="1" applyBorder="1" applyAlignment="1">
      <alignment horizontal="left" vertical="top"/>
    </xf>
    <xf numFmtId="0" fontId="0" fillId="0" borderId="116" xfId="0" applyFont="1" applyBorder="1" applyAlignment="1">
      <alignment horizontal="left" vertical="top"/>
    </xf>
    <xf numFmtId="0" fontId="0" fillId="0" borderId="23" xfId="0" applyFont="1" applyBorder="1" applyAlignment="1">
      <alignment horizontal="left" vertical="top"/>
    </xf>
    <xf numFmtId="0" fontId="2" fillId="3" borderId="25" xfId="0" applyFont="1" applyFill="1" applyBorder="1" applyAlignment="1">
      <alignment horizontal="left" vertical="top"/>
    </xf>
    <xf numFmtId="179" fontId="2" fillId="0" borderId="116" xfId="0" applyNumberFormat="1" applyFont="1" applyBorder="1" applyAlignment="1">
      <alignment horizontal="center"/>
    </xf>
    <xf numFmtId="180" fontId="41" fillId="3" borderId="116" xfId="0" applyNumberFormat="1" applyFont="1" applyFill="1" applyBorder="1" applyAlignment="1"/>
    <xf numFmtId="0" fontId="2" fillId="3" borderId="116" xfId="0" applyFont="1" applyFill="1" applyBorder="1" applyAlignment="1">
      <alignment horizontal="left" vertical="top"/>
    </xf>
    <xf numFmtId="0" fontId="0" fillId="0" borderId="23" xfId="0" applyFont="1" applyFill="1" applyBorder="1" applyAlignment="1">
      <alignment horizontal="left" vertical="top"/>
    </xf>
    <xf numFmtId="0" fontId="0" fillId="0" borderId="115" xfId="0" applyFont="1" applyFill="1" applyBorder="1" applyAlignment="1">
      <alignment horizontal="left" vertical="top"/>
    </xf>
    <xf numFmtId="0" fontId="58" fillId="3" borderId="0" xfId="0" applyFont="1" applyFill="1" applyAlignment="1">
      <alignment horizontal="center" vertical="center"/>
    </xf>
    <xf numFmtId="0" fontId="0" fillId="30" borderId="0" xfId="0" applyFill="1" applyAlignment="1">
      <alignment horizontal="center" vertical="center"/>
    </xf>
    <xf numFmtId="6" fontId="0" fillId="0" borderId="0" xfId="2" applyNumberFormat="1" applyFont="1"/>
    <xf numFmtId="181" fontId="53" fillId="30" borderId="0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0" fillId="0" borderId="0" xfId="378"/>
    <xf numFmtId="0" fontId="41" fillId="0" borderId="1" xfId="378" applyFont="1" applyBorder="1" applyAlignment="1">
      <alignment horizontal="center"/>
    </xf>
    <xf numFmtId="0" fontId="41" fillId="0" borderId="73" xfId="378" applyFont="1" applyBorder="1" applyAlignment="1">
      <alignment horizontal="center" wrapText="1"/>
    </xf>
    <xf numFmtId="0" fontId="41" fillId="0" borderId="124" xfId="378" applyFont="1" applyBorder="1" applyAlignment="1">
      <alignment horizontal="center"/>
    </xf>
    <xf numFmtId="0" fontId="41" fillId="0" borderId="125" xfId="378" applyFont="1" applyBorder="1" applyAlignment="1">
      <alignment horizontal="center"/>
    </xf>
    <xf numFmtId="0" fontId="41" fillId="0" borderId="125" xfId="378" applyFont="1" applyBorder="1" applyAlignment="1">
      <alignment horizontal="center" wrapText="1"/>
    </xf>
    <xf numFmtId="0" fontId="61" fillId="0" borderId="125" xfId="378" applyFont="1" applyBorder="1" applyAlignment="1">
      <alignment horizontal="right" wrapText="1"/>
    </xf>
    <xf numFmtId="0" fontId="62" fillId="0" borderId="124" xfId="378" applyFont="1" applyBorder="1" applyAlignment="1">
      <alignment horizontal="left"/>
    </xf>
    <xf numFmtId="0" fontId="62" fillId="0" borderId="125" xfId="378" applyFont="1" applyBorder="1" applyAlignment="1">
      <alignment horizontal="left"/>
    </xf>
    <xf numFmtId="0" fontId="62" fillId="0" borderId="125" xfId="378" applyFont="1" applyBorder="1" applyAlignment="1">
      <alignment horizontal="left" vertical="top" wrapText="1"/>
    </xf>
    <xf numFmtId="17" fontId="62" fillId="0" borderId="125" xfId="378" applyNumberFormat="1" applyFont="1" applyBorder="1" applyAlignment="1">
      <alignment horizontal="right" wrapText="1"/>
    </xf>
    <xf numFmtId="10" fontId="62" fillId="0" borderId="125" xfId="380" applyNumberFormat="1" applyFont="1" applyBorder="1" applyAlignment="1">
      <alignment horizontal="right" wrapText="1"/>
    </xf>
    <xf numFmtId="0" fontId="62" fillId="0" borderId="124" xfId="378" applyFont="1" applyBorder="1" applyAlignment="1">
      <alignment horizontal="right"/>
    </xf>
    <xf numFmtId="10" fontId="62" fillId="0" borderId="125" xfId="378" applyNumberFormat="1" applyFont="1" applyBorder="1" applyAlignment="1">
      <alignment horizontal="right"/>
    </xf>
    <xf numFmtId="10" fontId="62" fillId="0" borderId="125" xfId="378" applyNumberFormat="1" applyFont="1" applyBorder="1" applyAlignment="1">
      <alignment horizontal="right" vertical="top"/>
    </xf>
    <xf numFmtId="184" fontId="62" fillId="0" borderId="125" xfId="380" applyNumberFormat="1" applyFont="1" applyBorder="1" applyAlignment="1">
      <alignment horizontal="right" wrapText="1"/>
    </xf>
    <xf numFmtId="10" fontId="60" fillId="0" borderId="0" xfId="378" applyNumberFormat="1"/>
    <xf numFmtId="0" fontId="62" fillId="0" borderId="125" xfId="378" applyFont="1" applyBorder="1" applyAlignment="1">
      <alignment horizontal="right" vertical="top" wrapText="1"/>
    </xf>
    <xf numFmtId="0" fontId="62" fillId="0" borderId="125" xfId="378" applyFont="1" applyBorder="1" applyAlignment="1">
      <alignment horizontal="right" vertical="top"/>
    </xf>
    <xf numFmtId="0" fontId="62" fillId="0" borderId="125" xfId="378" applyFont="1" applyBorder="1" applyAlignment="1">
      <alignment horizontal="right" wrapText="1"/>
    </xf>
    <xf numFmtId="0" fontId="10" fillId="0" borderId="0" xfId="378" applyFont="1"/>
    <xf numFmtId="10" fontId="60" fillId="0" borderId="0" xfId="380" applyNumberFormat="1"/>
    <xf numFmtId="0" fontId="41" fillId="0" borderId="0" xfId="378" applyFont="1"/>
    <xf numFmtId="0" fontId="10" fillId="0" borderId="0" xfId="378" applyFont="1" applyFill="1" applyBorder="1"/>
    <xf numFmtId="0" fontId="63" fillId="0" borderId="0" xfId="378" applyFont="1"/>
    <xf numFmtId="185" fontId="60" fillId="0" borderId="0" xfId="378" applyNumberFormat="1"/>
    <xf numFmtId="0" fontId="10" fillId="0" borderId="0" xfId="378" applyFont="1" applyAlignment="1">
      <alignment horizontal="center"/>
    </xf>
    <xf numFmtId="0" fontId="64" fillId="0" borderId="0" xfId="378" applyFont="1"/>
    <xf numFmtId="186" fontId="66" fillId="0" borderId="0" xfId="381" applyFont="1"/>
    <xf numFmtId="0" fontId="67" fillId="0" borderId="0" xfId="0" applyFont="1"/>
    <xf numFmtId="0" fontId="68" fillId="46" borderId="126" xfId="0" applyFont="1" applyFill="1" applyBorder="1" applyAlignment="1">
      <alignment vertical="center" wrapText="1"/>
    </xf>
    <xf numFmtId="0" fontId="68" fillId="46" borderId="126" xfId="0" applyFont="1" applyFill="1" applyBorder="1" applyAlignment="1">
      <alignment horizontal="center" vertical="center" wrapText="1"/>
    </xf>
    <xf numFmtId="0" fontId="55" fillId="46" borderId="126" xfId="377" applyFill="1" applyBorder="1" applyAlignment="1">
      <alignment vertical="center" wrapText="1"/>
    </xf>
    <xf numFmtId="0" fontId="69" fillId="46" borderId="126" xfId="0" applyFont="1" applyFill="1" applyBorder="1" applyAlignment="1">
      <alignment horizontal="center" vertical="center" wrapText="1"/>
    </xf>
    <xf numFmtId="10" fontId="70" fillId="46" borderId="126" xfId="0" applyNumberFormat="1" applyFont="1" applyFill="1" applyBorder="1" applyAlignment="1">
      <alignment horizontal="center" vertical="center" wrapText="1"/>
    </xf>
    <xf numFmtId="10" fontId="71" fillId="46" borderId="126" xfId="0" applyNumberFormat="1" applyFont="1" applyFill="1" applyBorder="1" applyAlignment="1">
      <alignment horizontal="center" vertical="center" wrapText="1"/>
    </xf>
    <xf numFmtId="10" fontId="69" fillId="46" borderId="126" xfId="0" applyNumberFormat="1" applyFont="1" applyFill="1" applyBorder="1" applyAlignment="1">
      <alignment horizontal="center" vertical="center" wrapText="1"/>
    </xf>
    <xf numFmtId="37" fontId="72" fillId="0" borderId="0" xfId="382"/>
    <xf numFmtId="187" fontId="73" fillId="0" borderId="0" xfId="382" applyNumberFormat="1" applyFont="1" applyBorder="1" applyAlignment="1" applyProtection="1">
      <alignment horizontal="left"/>
      <protection locked="0"/>
    </xf>
    <xf numFmtId="189" fontId="74" fillId="0" borderId="0" xfId="383" applyNumberFormat="1" applyFont="1" applyAlignment="1">
      <alignment horizontal="center"/>
    </xf>
    <xf numFmtId="0" fontId="75" fillId="0" borderId="0" xfId="382" applyNumberFormat="1" applyFont="1" applyAlignment="1">
      <alignment horizontal="center"/>
    </xf>
    <xf numFmtId="190" fontId="0" fillId="0" borderId="0" xfId="383" applyNumberFormat="1" applyFont="1"/>
    <xf numFmtId="187" fontId="76" fillId="0" borderId="0" xfId="382" applyNumberFormat="1" applyFont="1" applyFill="1" applyBorder="1" applyAlignment="1" applyProtection="1">
      <alignment horizontal="left"/>
      <protection locked="0"/>
    </xf>
    <xf numFmtId="10" fontId="0" fillId="0" borderId="0" xfId="384" applyNumberFormat="1" applyFont="1"/>
    <xf numFmtId="10" fontId="75" fillId="0" borderId="0" xfId="384" applyNumberFormat="1" applyFont="1"/>
    <xf numFmtId="37" fontId="75" fillId="0" borderId="0" xfId="382" applyFont="1"/>
    <xf numFmtId="37" fontId="72" fillId="0" borderId="0" xfId="382" applyAlignment="1">
      <alignment horizontal="center"/>
    </xf>
    <xf numFmtId="189" fontId="74" fillId="0" borderId="0" xfId="383" applyNumberFormat="1" applyFont="1" applyAlignment="1">
      <alignment horizontal="left"/>
    </xf>
    <xf numFmtId="10" fontId="77" fillId="0" borderId="0" xfId="384" applyNumberFormat="1" applyFont="1" applyAlignment="1">
      <alignment horizontal="right"/>
    </xf>
    <xf numFmtId="37" fontId="55" fillId="0" borderId="0" xfId="377" applyNumberFormat="1"/>
    <xf numFmtId="14" fontId="32" fillId="47" borderId="128" xfId="0" applyNumberFormat="1" applyFont="1" applyFill="1" applyBorder="1" applyAlignment="1">
      <alignment horizontal="center"/>
    </xf>
    <xf numFmtId="0" fontId="32" fillId="47" borderId="129" xfId="385" applyFont="1" applyFill="1" applyBorder="1" applyAlignment="1">
      <alignment horizontal="center"/>
    </xf>
    <xf numFmtId="0" fontId="32" fillId="47" borderId="130" xfId="385" applyFont="1" applyFill="1" applyBorder="1" applyAlignment="1">
      <alignment horizontal="center"/>
    </xf>
    <xf numFmtId="14" fontId="0" fillId="0" borderId="70" xfId="0" applyNumberFormat="1" applyBorder="1"/>
    <xf numFmtId="10" fontId="1" fillId="0" borderId="29" xfId="2" applyNumberFormat="1" applyFont="1" applyBorder="1"/>
    <xf numFmtId="10" fontId="1" fillId="0" borderId="80" xfId="2" applyNumberFormat="1" applyFont="1" applyBorder="1"/>
    <xf numFmtId="170" fontId="1" fillId="0" borderId="0" xfId="245" applyFont="1"/>
    <xf numFmtId="170" fontId="0" fillId="0" borderId="0" xfId="0" applyNumberFormat="1"/>
    <xf numFmtId="14" fontId="0" fillId="29" borderId="70" xfId="0" applyNumberFormat="1" applyFill="1" applyBorder="1"/>
    <xf numFmtId="10" fontId="1" fillId="29" borderId="29" xfId="2" applyNumberFormat="1" applyFont="1" applyFill="1" applyBorder="1"/>
    <xf numFmtId="10" fontId="1" fillId="29" borderId="80" xfId="2" applyNumberFormat="1" applyFont="1" applyFill="1" applyBorder="1"/>
    <xf numFmtId="180" fontId="1" fillId="0" borderId="0" xfId="245" applyNumberFormat="1" applyFont="1"/>
    <xf numFmtId="14" fontId="0" fillId="0" borderId="131" xfId="0" applyNumberFormat="1" applyBorder="1"/>
    <xf numFmtId="10" fontId="1" fillId="0" borderId="132" xfId="2" applyNumberFormat="1" applyFont="1" applyBorder="1"/>
    <xf numFmtId="10" fontId="1" fillId="0" borderId="133" xfId="2" applyNumberFormat="1" applyFont="1" applyBorder="1"/>
    <xf numFmtId="0" fontId="78" fillId="0" borderId="0" xfId="0" applyFont="1"/>
    <xf numFmtId="0" fontId="3" fillId="0" borderId="0" xfId="0" applyFont="1"/>
    <xf numFmtId="10" fontId="2" fillId="0" borderId="132" xfId="2" applyNumberFormat="1" applyFont="1" applyBorder="1"/>
    <xf numFmtId="187" fontId="80" fillId="0" borderId="127" xfId="382" applyNumberFormat="1" applyFont="1" applyBorder="1" applyAlignment="1" applyProtection="1">
      <alignment horizontal="left"/>
      <protection locked="0"/>
    </xf>
    <xf numFmtId="187" fontId="66" fillId="0" borderId="29" xfId="382" applyNumberFormat="1" applyFont="1" applyFill="1" applyBorder="1" applyAlignment="1" applyProtection="1">
      <alignment horizontal="left"/>
      <protection locked="0"/>
    </xf>
    <xf numFmtId="37" fontId="75" fillId="0" borderId="0" xfId="382" applyFont="1" applyAlignment="1"/>
    <xf numFmtId="37" fontId="75" fillId="3" borderId="0" xfId="382" applyFont="1" applyFill="1" applyAlignment="1">
      <alignment horizontal="center"/>
    </xf>
    <xf numFmtId="37" fontId="75" fillId="3" borderId="0" xfId="382" applyFont="1" applyFill="1"/>
    <xf numFmtId="10" fontId="74" fillId="0" borderId="0" xfId="384" applyNumberFormat="1" applyFont="1" applyFill="1" applyAlignment="1">
      <alignment horizontal="right"/>
    </xf>
    <xf numFmtId="191" fontId="60" fillId="0" borderId="0" xfId="378" applyNumberFormat="1"/>
    <xf numFmtId="0" fontId="81" fillId="0" borderId="0" xfId="378" applyFont="1"/>
    <xf numFmtId="0" fontId="0" fillId="29" borderId="116" xfId="0" applyFill="1" applyBorder="1"/>
    <xf numFmtId="0" fontId="0" fillId="0" borderId="116" xfId="0" applyBorder="1"/>
    <xf numFmtId="0" fontId="55" fillId="0" borderId="116" xfId="377" applyBorder="1"/>
    <xf numFmtId="0" fontId="55" fillId="0" borderId="116" xfId="377" quotePrefix="1" applyBorder="1"/>
    <xf numFmtId="0" fontId="0" fillId="48" borderId="116" xfId="0" applyFill="1" applyBorder="1"/>
    <xf numFmtId="0" fontId="0" fillId="33" borderId="116" xfId="0" applyFill="1" applyBorder="1"/>
    <xf numFmtId="0" fontId="0" fillId="35" borderId="116" xfId="0" applyFill="1" applyBorder="1"/>
    <xf numFmtId="0" fontId="0" fillId="38" borderId="116" xfId="0" applyFill="1" applyBorder="1"/>
    <xf numFmtId="0" fontId="0" fillId="39" borderId="116" xfId="0" applyFill="1" applyBorder="1"/>
    <xf numFmtId="0" fontId="0" fillId="32" borderId="116" xfId="0" applyFill="1" applyBorder="1"/>
    <xf numFmtId="0" fontId="0" fillId="40" borderId="116" xfId="0" applyFill="1" applyBorder="1"/>
    <xf numFmtId="0" fontId="0" fillId="31" borderId="116" xfId="0" applyFill="1" applyBorder="1"/>
    <xf numFmtId="0" fontId="0" fillId="34" borderId="116" xfId="0" applyFill="1" applyBorder="1"/>
    <xf numFmtId="0" fontId="0" fillId="41" borderId="116" xfId="0" applyFill="1" applyBorder="1"/>
    <xf numFmtId="0" fontId="0" fillId="37" borderId="116" xfId="0" applyFill="1" applyBorder="1"/>
    <xf numFmtId="0" fontId="0" fillId="36" borderId="116" xfId="0" applyFill="1" applyBorder="1"/>
    <xf numFmtId="0" fontId="10" fillId="30" borderId="13" xfId="378" applyFont="1" applyFill="1" applyBorder="1"/>
    <xf numFmtId="0" fontId="10" fillId="30" borderId="72" xfId="378" applyFont="1" applyFill="1" applyBorder="1" applyAlignment="1">
      <alignment horizontal="center"/>
    </xf>
    <xf numFmtId="10" fontId="10" fillId="30" borderId="73" xfId="380" applyNumberFormat="1" applyFont="1" applyFill="1" applyBorder="1" applyAlignment="1">
      <alignment horizontal="left"/>
    </xf>
    <xf numFmtId="6" fontId="2" fillId="0" borderId="0" xfId="2" applyNumberFormat="1" applyFont="1"/>
    <xf numFmtId="0" fontId="2" fillId="0" borderId="0" xfId="0" applyFont="1" applyBorder="1" applyAlignment="1">
      <alignment vertical="top" wrapText="1"/>
    </xf>
    <xf numFmtId="180" fontId="38" fillId="0" borderId="0" xfId="0" applyNumberFormat="1" applyFont="1" applyFill="1" applyBorder="1" applyAlignment="1"/>
    <xf numFmtId="0" fontId="2" fillId="0" borderId="0" xfId="0" applyFont="1" applyBorder="1" applyAlignment="1">
      <alignment horizontal="center" vertical="top" wrapText="1"/>
    </xf>
    <xf numFmtId="180" fontId="38" fillId="0" borderId="29" xfId="0" applyNumberFormat="1" applyFont="1" applyFill="1" applyBorder="1" applyAlignment="1"/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181" fontId="53" fillId="30" borderId="14" xfId="0" quotePrefix="1" applyNumberFormat="1" applyFont="1" applyFill="1" applyBorder="1" applyAlignment="1" applyProtection="1">
      <alignment horizontal="center" vertical="center" wrapText="1"/>
      <protection locked="0"/>
    </xf>
    <xf numFmtId="181" fontId="53" fillId="30" borderId="17" xfId="0" quotePrefix="1" applyNumberFormat="1" applyFont="1" applyFill="1" applyBorder="1" applyAlignment="1" applyProtection="1">
      <alignment horizontal="center" vertical="center" wrapText="1"/>
      <protection locked="0"/>
    </xf>
    <xf numFmtId="181" fontId="53" fillId="30" borderId="123" xfId="0" quotePrefix="1" applyNumberFormat="1" applyFont="1" applyFill="1" applyBorder="1" applyAlignment="1" applyProtection="1">
      <alignment horizontal="center" vertical="center" wrapText="1"/>
      <protection locked="0"/>
    </xf>
    <xf numFmtId="0" fontId="56" fillId="30" borderId="14" xfId="1" quotePrefix="1" applyNumberFormat="1" applyFont="1" applyFill="1" applyBorder="1" applyAlignment="1" applyProtection="1">
      <alignment horizontal="center" vertical="center" wrapText="1"/>
      <protection locked="0"/>
    </xf>
    <xf numFmtId="0" fontId="56" fillId="30" borderId="123" xfId="1" quotePrefix="1" applyNumberFormat="1" applyFont="1" applyFill="1" applyBorder="1" applyAlignment="1" applyProtection="1">
      <alignment horizontal="center" vertical="center" wrapText="1"/>
      <protection locked="0"/>
    </xf>
    <xf numFmtId="10" fontId="2" fillId="3" borderId="0" xfId="2" applyNumberFormat="1" applyFont="1" applyFill="1" applyProtection="1">
      <protection locked="0"/>
    </xf>
    <xf numFmtId="183" fontId="2" fillId="3" borderId="0" xfId="0" applyNumberFormat="1" applyFont="1" applyFill="1" applyAlignment="1" applyProtection="1">
      <alignment horizontal="center"/>
      <protection locked="0"/>
    </xf>
    <xf numFmtId="0" fontId="2" fillId="3" borderId="0" xfId="1" applyNumberFormat="1" applyFont="1" applyFill="1" applyAlignment="1" applyProtection="1">
      <alignment horizontal="center"/>
      <protection locked="0"/>
    </xf>
    <xf numFmtId="181" fontId="53" fillId="3" borderId="14" xfId="0" quotePrefix="1" applyNumberFormat="1" applyFont="1" applyFill="1" applyBorder="1" applyAlignment="1" applyProtection="1">
      <alignment horizontal="center" vertical="center" wrapText="1"/>
      <protection locked="0"/>
    </xf>
    <xf numFmtId="180" fontId="41" fillId="3" borderId="123" xfId="0" applyNumberFormat="1" applyFont="1" applyFill="1" applyBorder="1" applyAlignment="1" applyProtection="1">
      <protection locked="0"/>
    </xf>
    <xf numFmtId="181" fontId="53" fillId="30" borderId="19" xfId="0" quotePrefix="1" applyNumberFormat="1" applyFont="1" applyFill="1" applyBorder="1" applyAlignment="1" applyProtection="1">
      <alignment horizontal="center" vertical="center" wrapText="1"/>
    </xf>
    <xf numFmtId="181" fontId="53" fillId="30" borderId="123" xfId="0" quotePrefix="1" applyNumberFormat="1" applyFont="1" applyFill="1" applyBorder="1" applyAlignment="1" applyProtection="1">
      <alignment horizontal="center" vertical="center" wrapText="1"/>
    </xf>
    <xf numFmtId="9" fontId="4" fillId="3" borderId="23" xfId="0" applyNumberFormat="1" applyFont="1" applyFill="1" applyBorder="1" applyAlignment="1" applyProtection="1">
      <alignment horizontal="left"/>
    </xf>
    <xf numFmtId="9" fontId="4" fillId="3" borderId="68" xfId="0" applyNumberFormat="1" applyFont="1" applyFill="1" applyBorder="1" applyAlignment="1" applyProtection="1">
      <alignment horizontal="left"/>
    </xf>
    <xf numFmtId="10" fontId="2" fillId="3" borderId="15" xfId="0" applyNumberFormat="1" applyFont="1" applyFill="1" applyBorder="1" applyProtection="1"/>
    <xf numFmtId="10" fontId="2" fillId="3" borderId="116" xfId="0" applyNumberFormat="1" applyFont="1" applyFill="1" applyBorder="1" applyProtection="1"/>
    <xf numFmtId="10" fontId="2" fillId="3" borderId="121" xfId="0" applyNumberFormat="1" applyFont="1" applyFill="1" applyBorder="1" applyProtection="1"/>
    <xf numFmtId="0" fontId="2" fillId="0" borderId="0" xfId="0" applyFont="1" applyAlignment="1" applyProtection="1">
      <alignment horizontal="center" vertical="top" wrapText="1"/>
    </xf>
    <xf numFmtId="0" fontId="2" fillId="30" borderId="14" xfId="0" applyFont="1" applyFill="1" applyBorder="1" applyProtection="1"/>
    <xf numFmtId="10" fontId="59" fillId="49" borderId="15" xfId="0" applyNumberFormat="1" applyFont="1" applyFill="1" applyBorder="1" applyProtection="1"/>
    <xf numFmtId="0" fontId="2" fillId="30" borderId="15" xfId="0" applyFont="1" applyFill="1" applyBorder="1" applyProtection="1"/>
    <xf numFmtId="10" fontId="59" fillId="49" borderId="15" xfId="2" applyNumberFormat="1" applyFont="1" applyFill="1" applyBorder="1" applyProtection="1"/>
    <xf numFmtId="0" fontId="2" fillId="30" borderId="16" xfId="0" applyFont="1" applyFill="1" applyBorder="1" applyProtection="1"/>
    <xf numFmtId="9" fontId="2" fillId="3" borderId="15" xfId="0" applyNumberFormat="1" applyFont="1" applyFill="1" applyBorder="1" applyProtection="1"/>
    <xf numFmtId="0" fontId="2" fillId="3" borderId="16" xfId="0" applyFont="1" applyFill="1" applyBorder="1" applyProtection="1"/>
    <xf numFmtId="9" fontId="2" fillId="3" borderId="16" xfId="0" applyNumberFormat="1" applyFont="1" applyFill="1" applyBorder="1" applyProtection="1"/>
    <xf numFmtId="9" fontId="2" fillId="3" borderId="21" xfId="0" applyNumberFormat="1" applyFont="1" applyFill="1" applyBorder="1" applyProtection="1"/>
    <xf numFmtId="0" fontId="2" fillId="30" borderId="0" xfId="0" applyFont="1" applyFill="1" applyAlignment="1" applyProtection="1">
      <alignment horizontal="center"/>
    </xf>
    <xf numFmtId="10" fontId="2" fillId="3" borderId="0" xfId="2" applyNumberFormat="1" applyFont="1" applyFill="1" applyProtection="1"/>
    <xf numFmtId="0" fontId="2" fillId="0" borderId="0" xfId="0" applyFont="1" applyAlignment="1" applyProtection="1">
      <alignment horizontal="left" vertical="top" wrapText="1"/>
    </xf>
    <xf numFmtId="0" fontId="2" fillId="30" borderId="0" xfId="0" applyFont="1" applyFill="1" applyAlignment="1" applyProtection="1">
      <alignment horizontal="left"/>
    </xf>
    <xf numFmtId="0" fontId="2" fillId="3" borderId="0" xfId="1" applyNumberFormat="1" applyFont="1" applyFill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0" fillId="0" borderId="0" xfId="0" applyProtection="1"/>
    <xf numFmtId="10" fontId="2" fillId="3" borderId="16" xfId="0" applyNumberFormat="1" applyFont="1" applyFill="1" applyBorder="1" applyProtection="1"/>
    <xf numFmtId="10" fontId="2" fillId="3" borderId="122" xfId="0" applyNumberFormat="1" applyFont="1" applyFill="1" applyBorder="1" applyProtection="1"/>
    <xf numFmtId="10" fontId="2" fillId="30" borderId="116" xfId="0" applyNumberFormat="1" applyFont="1" applyFill="1" applyBorder="1" applyProtection="1">
      <protection locked="0"/>
    </xf>
    <xf numFmtId="0" fontId="2" fillId="3" borderId="0" xfId="0" applyFont="1" applyFill="1" applyAlignment="1" applyProtection="1">
      <alignment horizontal="left"/>
    </xf>
    <xf numFmtId="10" fontId="2" fillId="30" borderId="0" xfId="2" applyNumberFormat="1" applyFont="1" applyFill="1" applyProtection="1">
      <protection locked="0"/>
    </xf>
    <xf numFmtId="10" fontId="2" fillId="30" borderId="0" xfId="2" applyNumberFormat="1" applyFont="1" applyFill="1" applyProtection="1"/>
    <xf numFmtId="0" fontId="2" fillId="0" borderId="10" xfId="0" applyFont="1" applyBorder="1" applyAlignment="1">
      <alignment horizontal="center" vertical="top" wrapText="1"/>
    </xf>
    <xf numFmtId="3" fontId="0" fillId="0" borderId="0" xfId="0" applyNumberFormat="1" applyProtection="1">
      <protection locked="0"/>
    </xf>
    <xf numFmtId="9" fontId="2" fillId="3" borderId="121" xfId="0" applyNumberFormat="1" applyFont="1" applyFill="1" applyBorder="1" applyProtection="1">
      <protection locked="0"/>
    </xf>
    <xf numFmtId="0" fontId="2" fillId="3" borderId="122" xfId="0" applyFont="1" applyFill="1" applyBorder="1" applyProtection="1">
      <protection locked="0"/>
    </xf>
    <xf numFmtId="0" fontId="56" fillId="30" borderId="17" xfId="1" quotePrefix="1" applyNumberFormat="1" applyFont="1" applyFill="1" applyBorder="1" applyAlignment="1" applyProtection="1">
      <alignment horizontal="center" vertical="center" wrapText="1"/>
      <protection locked="0"/>
    </xf>
    <xf numFmtId="9" fontId="2" fillId="3" borderId="116" xfId="0" applyNumberFormat="1" applyFont="1" applyFill="1" applyBorder="1" applyProtection="1"/>
    <xf numFmtId="0" fontId="2" fillId="3" borderId="18" xfId="0" applyFont="1" applyFill="1" applyBorder="1" applyProtection="1"/>
    <xf numFmtId="10" fontId="2" fillId="30" borderId="14" xfId="0" applyNumberFormat="1" applyFont="1" applyFill="1" applyBorder="1" applyProtection="1"/>
    <xf numFmtId="10" fontId="2" fillId="30" borderId="17" xfId="0" applyNumberFormat="1" applyFont="1" applyFill="1" applyBorder="1" applyProtection="1"/>
    <xf numFmtId="10" fontId="2" fillId="30" borderId="123" xfId="0" applyNumberFormat="1" applyFont="1" applyFill="1" applyBorder="1" applyProtection="1"/>
    <xf numFmtId="0" fontId="0" fillId="0" borderId="0" xfId="0" applyAlignment="1">
      <alignment horizontal="center"/>
    </xf>
    <xf numFmtId="10" fontId="3" fillId="3" borderId="15" xfId="0" applyNumberFormat="1" applyFont="1" applyFill="1" applyBorder="1" applyAlignment="1" applyProtection="1"/>
    <xf numFmtId="10" fontId="3" fillId="3" borderId="116" xfId="0" applyNumberFormat="1" applyFont="1" applyFill="1" applyBorder="1" applyAlignment="1" applyProtection="1"/>
    <xf numFmtId="6" fontId="84" fillId="3" borderId="116" xfId="0" applyNumberFormat="1" applyFont="1" applyFill="1" applyBorder="1" applyAlignment="1" applyProtection="1"/>
    <xf numFmtId="6" fontId="84" fillId="3" borderId="18" xfId="0" applyNumberFormat="1" applyFont="1" applyFill="1" applyBorder="1" applyAlignment="1" applyProtection="1"/>
    <xf numFmtId="10" fontId="3" fillId="3" borderId="121" xfId="0" applyNumberFormat="1" applyFont="1" applyFill="1" applyBorder="1" applyAlignment="1" applyProtection="1"/>
    <xf numFmtId="6" fontId="85" fillId="3" borderId="116" xfId="0" applyNumberFormat="1" applyFont="1" applyFill="1" applyBorder="1" applyAlignment="1" applyProtection="1"/>
    <xf numFmtId="6" fontId="85" fillId="3" borderId="18" xfId="0" applyNumberFormat="1" applyFont="1" applyFill="1" applyBorder="1" applyAlignment="1" applyProtection="1"/>
    <xf numFmtId="0" fontId="0" fillId="3" borderId="116" xfId="0" applyFill="1" applyBorder="1"/>
    <xf numFmtId="0" fontId="0" fillId="3" borderId="15" xfId="0" applyFill="1" applyBorder="1"/>
    <xf numFmtId="9" fontId="0" fillId="3" borderId="16" xfId="0" applyNumberFormat="1" applyFont="1" applyFill="1" applyBorder="1" applyProtection="1"/>
    <xf numFmtId="9" fontId="0" fillId="3" borderId="18" xfId="0" applyNumberFormat="1" applyFont="1" applyFill="1" applyBorder="1" applyProtection="1"/>
    <xf numFmtId="9" fontId="0" fillId="3" borderId="18" xfId="0" applyNumberFormat="1" applyFont="1" applyFill="1" applyBorder="1" applyProtection="1">
      <protection locked="0"/>
    </xf>
    <xf numFmtId="10" fontId="0" fillId="3" borderId="15" xfId="0" applyNumberFormat="1" applyFont="1" applyFill="1" applyBorder="1" applyAlignment="1" applyProtection="1"/>
    <xf numFmtId="10" fontId="0" fillId="3" borderId="116" xfId="0" applyNumberFormat="1" applyFont="1" applyFill="1" applyBorder="1" applyAlignment="1" applyProtection="1"/>
    <xf numFmtId="10" fontId="0" fillId="3" borderId="121" xfId="0" applyNumberFormat="1" applyFont="1" applyFill="1" applyBorder="1" applyAlignment="1" applyProtection="1"/>
    <xf numFmtId="192" fontId="0" fillId="0" borderId="0" xfId="0" applyNumberFormat="1" applyAlignment="1">
      <alignment horizontal="center"/>
    </xf>
    <xf numFmtId="6" fontId="85" fillId="3" borderId="15" xfId="0" applyNumberFormat="1" applyFont="1" applyFill="1" applyBorder="1" applyAlignment="1" applyProtection="1"/>
    <xf numFmtId="6" fontId="85" fillId="3" borderId="16" xfId="0" applyNumberFormat="1" applyFont="1" applyFill="1" applyBorder="1" applyAlignment="1" applyProtection="1"/>
    <xf numFmtId="6" fontId="85" fillId="3" borderId="121" xfId="0" applyNumberFormat="1" applyFont="1" applyFill="1" applyBorder="1" applyAlignment="1" applyProtection="1"/>
    <xf numFmtId="6" fontId="85" fillId="3" borderId="122" xfId="0" applyNumberFormat="1" applyFont="1" applyFill="1" applyBorder="1" applyAlignment="1" applyProtection="1"/>
    <xf numFmtId="181" fontId="53" fillId="3" borderId="116" xfId="0" quotePrefix="1" applyNumberFormat="1" applyFont="1" applyFill="1" applyBorder="1" applyAlignment="1" applyProtection="1">
      <alignment horizontal="center" vertical="center" wrapText="1"/>
      <protection locked="0"/>
    </xf>
    <xf numFmtId="181" fontId="53" fillId="3" borderId="121" xfId="0" quotePrefix="1" applyNumberFormat="1" applyFont="1" applyFill="1" applyBorder="1" applyAlignment="1" applyProtection="1">
      <alignment horizontal="center" vertical="center" wrapText="1"/>
      <protection locked="0"/>
    </xf>
    <xf numFmtId="181" fontId="53" fillId="3" borderId="15" xfId="0" quotePrefix="1" applyNumberFormat="1" applyFont="1" applyFill="1" applyBorder="1" applyAlignment="1" applyProtection="1">
      <alignment horizontal="center" vertical="center" wrapText="1"/>
      <protection locked="0"/>
    </xf>
    <xf numFmtId="181" fontId="53" fillId="3" borderId="75" xfId="0" quotePrefix="1" applyNumberFormat="1" applyFont="1" applyFill="1" applyBorder="1" applyAlignment="1" applyProtection="1">
      <alignment horizontal="center" vertical="center" wrapText="1"/>
      <protection locked="0"/>
    </xf>
    <xf numFmtId="181" fontId="53" fillId="3" borderId="115" xfId="0" quotePrefix="1" applyNumberFormat="1" applyFont="1" applyFill="1" applyBorder="1" applyAlignment="1" applyProtection="1">
      <alignment horizontal="center" vertical="center" wrapText="1"/>
      <protection locked="0"/>
    </xf>
    <xf numFmtId="181" fontId="53" fillId="3" borderId="118" xfId="0" quotePrefix="1" applyNumberFormat="1" applyFont="1" applyFill="1" applyBorder="1" applyAlignment="1" applyProtection="1">
      <alignment horizontal="center" vertical="center" wrapText="1"/>
      <protection locked="0"/>
    </xf>
    <xf numFmtId="9" fontId="0" fillId="3" borderId="14" xfId="0" applyNumberFormat="1" applyFill="1" applyBorder="1" applyAlignment="1">
      <alignment horizontal="center"/>
    </xf>
    <xf numFmtId="9" fontId="0" fillId="3" borderId="17" xfId="0" applyNumberFormat="1" applyFill="1" applyBorder="1" applyAlignment="1">
      <alignment horizontal="center"/>
    </xf>
    <xf numFmtId="9" fontId="0" fillId="3" borderId="123" xfId="0" applyNumberFormat="1" applyFill="1" applyBorder="1" applyAlignment="1">
      <alignment horizontal="center"/>
    </xf>
    <xf numFmtId="10" fontId="86" fillId="3" borderId="116" xfId="0" applyNumberFormat="1" applyFont="1" applyFill="1" applyBorder="1" applyAlignment="1" applyProtection="1"/>
    <xf numFmtId="6" fontId="87" fillId="3" borderId="116" xfId="0" applyNumberFormat="1" applyFont="1" applyFill="1" applyBorder="1" applyAlignment="1" applyProtection="1"/>
    <xf numFmtId="6" fontId="87" fillId="3" borderId="18" xfId="0" applyNumberFormat="1" applyFont="1" applyFill="1" applyBorder="1" applyAlignment="1" applyProtection="1"/>
    <xf numFmtId="0" fontId="49" fillId="0" borderId="0" xfId="0" applyFont="1" applyAlignment="1" applyProtection="1">
      <alignment horizontal="center" vertical="top" wrapText="1"/>
    </xf>
    <xf numFmtId="0" fontId="10" fillId="4" borderId="0" xfId="4" applyFont="1" applyFill="1"/>
    <xf numFmtId="10" fontId="3" fillId="3" borderId="116" xfId="0" applyNumberFormat="1" applyFont="1" applyFill="1" applyBorder="1" applyAlignment="1" applyProtection="1">
      <alignment horizontal="center"/>
    </xf>
    <xf numFmtId="10" fontId="0" fillId="0" borderId="0" xfId="2" applyNumberFormat="1" applyFont="1" applyAlignment="1">
      <alignment horizontal="center"/>
    </xf>
    <xf numFmtId="0" fontId="0" fillId="0" borderId="0" xfId="2" applyNumberFormat="1" applyFont="1" applyAlignment="1">
      <alignment horizontal="center"/>
    </xf>
    <xf numFmtId="0" fontId="44" fillId="4" borderId="76" xfId="4" applyFont="1" applyFill="1" applyBorder="1" applyAlignment="1">
      <alignment horizontal="center"/>
    </xf>
    <xf numFmtId="177" fontId="9" fillId="4" borderId="0" xfId="4" applyNumberFormat="1" applyFont="1" applyFill="1"/>
    <xf numFmtId="0" fontId="10" fillId="4" borderId="0" xfId="4" applyFont="1" applyFill="1"/>
    <xf numFmtId="177" fontId="88" fillId="4" borderId="18" xfId="4" applyNumberFormat="1" applyFont="1" applyFill="1" applyBorder="1" applyAlignment="1">
      <alignment vertical="center" wrapText="1"/>
    </xf>
    <xf numFmtId="0" fontId="41" fillId="0" borderId="18" xfId="4" applyFont="1" applyFill="1" applyBorder="1" applyAlignment="1">
      <alignment horizontal="center" vertical="center"/>
    </xf>
    <xf numFmtId="0" fontId="38" fillId="0" borderId="10" xfId="4" applyFont="1" applyFill="1" applyBorder="1" applyAlignment="1">
      <alignment horizontal="center" vertical="center"/>
    </xf>
    <xf numFmtId="0" fontId="47" fillId="0" borderId="10" xfId="4" applyFont="1" applyFill="1" applyBorder="1" applyAlignment="1">
      <alignment vertical="top" wrapText="1"/>
    </xf>
    <xf numFmtId="0" fontId="47" fillId="0" borderId="10" xfId="4" applyFont="1" applyFill="1" applyBorder="1" applyAlignment="1">
      <alignment horizontal="center" vertical="top" wrapText="1"/>
    </xf>
    <xf numFmtId="177" fontId="88" fillId="4" borderId="10" xfId="4" applyNumberFormat="1" applyFont="1" applyFill="1" applyBorder="1" applyAlignment="1">
      <alignment vertical="center" wrapText="1"/>
    </xf>
    <xf numFmtId="5" fontId="88" fillId="4" borderId="10" xfId="4" applyNumberFormat="1" applyFont="1" applyFill="1" applyBorder="1" applyAlignment="1">
      <alignment horizontal="right" vertical="center" wrapText="1"/>
    </xf>
    <xf numFmtId="0" fontId="2" fillId="0" borderId="96" xfId="0" applyFont="1" applyBorder="1"/>
    <xf numFmtId="0" fontId="0" fillId="0" borderId="23" xfId="0" applyBorder="1"/>
    <xf numFmtId="180" fontId="38" fillId="0" borderId="18" xfId="0" applyNumberFormat="1" applyFont="1" applyFill="1" applyBorder="1" applyAlignment="1"/>
    <xf numFmtId="14" fontId="0" fillId="0" borderId="0" xfId="0" applyNumberFormat="1" applyBorder="1"/>
    <xf numFmtId="180" fontId="41" fillId="3" borderId="18" xfId="0" applyNumberFormat="1" applyFont="1" applyFill="1" applyBorder="1" applyAlignment="1"/>
    <xf numFmtId="0" fontId="0" fillId="0" borderId="120" xfId="0" applyFont="1" applyBorder="1" applyAlignment="1">
      <alignment horizontal="left" vertical="top"/>
    </xf>
    <xf numFmtId="180" fontId="41" fillId="3" borderId="121" xfId="0" applyNumberFormat="1" applyFont="1" applyFill="1" applyBorder="1" applyAlignment="1"/>
    <xf numFmtId="180" fontId="41" fillId="3" borderId="122" xfId="0" applyNumberFormat="1" applyFont="1" applyFill="1" applyBorder="1" applyAlignment="1"/>
    <xf numFmtId="0" fontId="2" fillId="29" borderId="15" xfId="0" applyNumberFormat="1" applyFont="1" applyFill="1" applyBorder="1" applyAlignment="1">
      <alignment horizontal="center"/>
    </xf>
    <xf numFmtId="0" fontId="2" fillId="29" borderId="16" xfId="0" applyNumberFormat="1" applyFont="1" applyFill="1" applyBorder="1" applyAlignment="1">
      <alignment horizontal="center"/>
    </xf>
    <xf numFmtId="0" fontId="0" fillId="0" borderId="54" xfId="0" applyFont="1" applyBorder="1" applyAlignment="1">
      <alignment horizontal="left" vertical="top"/>
    </xf>
    <xf numFmtId="0" fontId="0" fillId="0" borderId="115" xfId="0" applyFont="1" applyBorder="1" applyAlignment="1">
      <alignment horizontal="left" vertical="top"/>
    </xf>
    <xf numFmtId="0" fontId="2" fillId="3" borderId="120" xfId="0" applyFont="1" applyFill="1" applyBorder="1" applyAlignment="1">
      <alignment horizontal="left" vertical="top"/>
    </xf>
    <xf numFmtId="0" fontId="2" fillId="3" borderId="54" xfId="0" applyFont="1" applyFill="1" applyBorder="1" applyAlignment="1">
      <alignment horizontal="left" vertical="top"/>
    </xf>
    <xf numFmtId="0" fontId="2" fillId="3" borderId="115" xfId="0" applyFont="1" applyFill="1" applyBorder="1" applyAlignment="1">
      <alignment horizontal="left" vertical="top"/>
    </xf>
    <xf numFmtId="0" fontId="0" fillId="0" borderId="120" xfId="0" applyFont="1" applyFill="1" applyBorder="1" applyAlignment="1">
      <alignment horizontal="left" vertical="top"/>
    </xf>
    <xf numFmtId="0" fontId="0" fillId="0" borderId="54" xfId="0" applyFont="1" applyFill="1" applyBorder="1" applyAlignment="1">
      <alignment horizontal="left" vertical="top"/>
    </xf>
    <xf numFmtId="0" fontId="2" fillId="3" borderId="136" xfId="0" applyFont="1" applyFill="1" applyBorder="1" applyAlignment="1">
      <alignment horizontal="left" vertical="top"/>
    </xf>
    <xf numFmtId="0" fontId="2" fillId="3" borderId="117" xfId="0" applyFont="1" applyFill="1" applyBorder="1" applyAlignment="1">
      <alignment horizontal="left" vertical="top"/>
    </xf>
    <xf numFmtId="0" fontId="2" fillId="3" borderId="118" xfId="0" applyFont="1" applyFill="1" applyBorder="1" applyAlignment="1">
      <alignment horizontal="left" vertical="top"/>
    </xf>
    <xf numFmtId="14" fontId="2" fillId="29" borderId="74" xfId="0" applyNumberFormat="1" applyFont="1" applyFill="1" applyBorder="1"/>
    <xf numFmtId="14" fontId="2" fillId="29" borderId="78" xfId="0" applyNumberFormat="1" applyFont="1" applyFill="1" applyBorder="1"/>
    <xf numFmtId="14" fontId="2" fillId="29" borderId="75" xfId="0" applyNumberFormat="1" applyFont="1" applyFill="1" applyBorder="1"/>
    <xf numFmtId="0" fontId="0" fillId="49" borderId="116" xfId="0" applyFill="1" applyBorder="1"/>
    <xf numFmtId="0" fontId="89" fillId="0" borderId="0" xfId="0" applyFont="1" applyAlignment="1">
      <alignment horizontal="justify" vertical="center"/>
    </xf>
    <xf numFmtId="0" fontId="90" fillId="0" borderId="0" xfId="0" applyFont="1" applyAlignment="1">
      <alignment horizontal="justify" vertical="center"/>
    </xf>
    <xf numFmtId="193" fontId="0" fillId="0" borderId="0" xfId="0" applyNumberFormat="1" applyBorder="1" applyAlignment="1">
      <alignment horizontal="center"/>
    </xf>
    <xf numFmtId="193" fontId="0" fillId="0" borderId="137" xfId="0" applyNumberFormat="1" applyBorder="1" applyAlignment="1">
      <alignment horizontal="center"/>
    </xf>
    <xf numFmtId="180" fontId="38" fillId="0" borderId="137" xfId="0" applyNumberFormat="1" applyFont="1" applyFill="1" applyBorder="1" applyAlignment="1"/>
    <xf numFmtId="14" fontId="2" fillId="3" borderId="9" xfId="0" applyNumberFormat="1" applyFont="1" applyFill="1" applyBorder="1"/>
    <xf numFmtId="179" fontId="2" fillId="3" borderId="9" xfId="0" applyNumberFormat="1" applyFont="1" applyFill="1" applyBorder="1" applyAlignment="1">
      <alignment horizontal="center"/>
    </xf>
    <xf numFmtId="0" fontId="0" fillId="0" borderId="0" xfId="0" applyFont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180" fontId="41" fillId="3" borderId="0" xfId="0" applyNumberFormat="1" applyFont="1" applyFill="1" applyBorder="1" applyAlignment="1"/>
    <xf numFmtId="0" fontId="39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180" fontId="57" fillId="0" borderId="0" xfId="0" applyNumberFormat="1" applyFont="1" applyFill="1" applyBorder="1" applyAlignment="1"/>
    <xf numFmtId="0" fontId="2" fillId="3" borderId="0" xfId="0" applyFont="1" applyFill="1" applyBorder="1" applyAlignment="1">
      <alignment vertical="top"/>
    </xf>
    <xf numFmtId="0" fontId="2" fillId="42" borderId="0" xfId="0" applyFont="1" applyFill="1" applyBorder="1" applyAlignment="1">
      <alignment vertical="top"/>
    </xf>
    <xf numFmtId="180" fontId="41" fillId="42" borderId="0" xfId="0" applyNumberFormat="1" applyFont="1" applyFill="1" applyBorder="1" applyAlignment="1"/>
    <xf numFmtId="0" fontId="39" fillId="0" borderId="0" xfId="0" applyFont="1" applyBorder="1" applyAlignment="1">
      <alignment vertical="top"/>
    </xf>
    <xf numFmtId="0" fontId="39" fillId="0" borderId="0" xfId="0" applyFont="1" applyBorder="1" applyAlignment="1">
      <alignment horizontal="left" vertical="top"/>
    </xf>
    <xf numFmtId="0" fontId="39" fillId="0" borderId="0" xfId="0" applyFont="1" applyBorder="1"/>
    <xf numFmtId="0" fontId="2" fillId="31" borderId="137" xfId="0" applyFont="1" applyFill="1" applyBorder="1" applyAlignment="1">
      <alignment vertical="top"/>
    </xf>
    <xf numFmtId="0" fontId="2" fillId="42" borderId="137" xfId="0" applyFont="1" applyFill="1" applyBorder="1" applyAlignment="1">
      <alignment vertical="top"/>
    </xf>
    <xf numFmtId="180" fontId="41" fillId="42" borderId="137" xfId="0" applyNumberFormat="1" applyFont="1" applyFill="1" applyBorder="1" applyAlignment="1"/>
    <xf numFmtId="0" fontId="2" fillId="3" borderId="9" xfId="0" applyFont="1" applyFill="1" applyBorder="1" applyAlignment="1">
      <alignment horizontal="center" vertical="top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67" fontId="0" fillId="0" borderId="0" xfId="3" applyNumberFormat="1" applyFont="1" applyBorder="1" applyAlignment="1">
      <alignment horizontal="left" vertical="top"/>
    </xf>
    <xf numFmtId="167" fontId="4" fillId="0" borderId="0" xfId="3" applyNumberFormat="1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167" fontId="0" fillId="0" borderId="0" xfId="3" applyNumberFormat="1" applyFont="1" applyBorder="1" applyAlignment="1">
      <alignment vertical="top"/>
    </xf>
    <xf numFmtId="0" fontId="2" fillId="0" borderId="137" xfId="0" applyFont="1" applyBorder="1" applyAlignment="1">
      <alignment vertical="top"/>
    </xf>
    <xf numFmtId="0" fontId="0" fillId="0" borderId="137" xfId="0" applyBorder="1" applyAlignment="1">
      <alignment horizontal="center" vertical="top"/>
    </xf>
    <xf numFmtId="167" fontId="0" fillId="0" borderId="137" xfId="3" applyNumberFormat="1" applyFont="1" applyBorder="1" applyAlignment="1">
      <alignment vertical="top"/>
    </xf>
    <xf numFmtId="167" fontId="4" fillId="0" borderId="137" xfId="3" applyNumberFormat="1" applyFont="1" applyBorder="1" applyAlignment="1">
      <alignment horizontal="center" vertical="top" wrapText="1"/>
    </xf>
    <xf numFmtId="0" fontId="0" fillId="0" borderId="0" xfId="0" applyBorder="1" applyAlignment="1">
      <alignment horizontal="left" vertical="top"/>
    </xf>
    <xf numFmtId="167" fontId="0" fillId="0" borderId="0" xfId="3" applyNumberFormat="1" applyFont="1" applyBorder="1" applyAlignment="1">
      <alignment horizontal="center" vertical="top"/>
    </xf>
    <xf numFmtId="182" fontId="0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left" vertical="top"/>
    </xf>
    <xf numFmtId="0" fontId="2" fillId="3" borderId="9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vertical="top"/>
    </xf>
    <xf numFmtId="0" fontId="2" fillId="3" borderId="9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166" fontId="4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137" xfId="0" applyBorder="1" applyAlignment="1">
      <alignment vertical="top"/>
    </xf>
    <xf numFmtId="0" fontId="0" fillId="0" borderId="137" xfId="0" applyBorder="1" applyAlignment="1">
      <alignment vertical="top" wrapText="1"/>
    </xf>
    <xf numFmtId="166" fontId="4" fillId="0" borderId="137" xfId="0" applyNumberFormat="1" applyFont="1" applyBorder="1" applyAlignment="1">
      <alignment horizontal="center" vertical="top" wrapText="1"/>
    </xf>
    <xf numFmtId="1" fontId="4" fillId="0" borderId="0" xfId="0" applyNumberFormat="1" applyFont="1" applyBorder="1" applyAlignment="1">
      <alignment horizontal="center" vertical="top" wrapText="1"/>
    </xf>
    <xf numFmtId="175" fontId="4" fillId="0" borderId="137" xfId="0" applyNumberFormat="1" applyFont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/>
    </xf>
    <xf numFmtId="0" fontId="4" fillId="0" borderId="0" xfId="0" applyFont="1" applyFill="1" applyBorder="1"/>
    <xf numFmtId="1" fontId="2" fillId="0" borderId="0" xfId="0" applyNumberFormat="1" applyFont="1" applyBorder="1"/>
    <xf numFmtId="167" fontId="0" fillId="0" borderId="0" xfId="0" applyNumberFormat="1" applyBorder="1"/>
    <xf numFmtId="0" fontId="2" fillId="0" borderId="0" xfId="0" applyFont="1" applyBorder="1"/>
    <xf numFmtId="0" fontId="4" fillId="0" borderId="137" xfId="0" applyFont="1" applyFill="1" applyBorder="1"/>
    <xf numFmtId="164" fontId="2" fillId="0" borderId="137" xfId="1" applyNumberFormat="1" applyFont="1" applyBorder="1"/>
    <xf numFmtId="167" fontId="0" fillId="0" borderId="137" xfId="0" applyNumberFormat="1" applyBorder="1"/>
    <xf numFmtId="0" fontId="4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4" fillId="3" borderId="0" xfId="0" applyFont="1" applyFill="1" applyBorder="1"/>
    <xf numFmtId="166" fontId="4" fillId="3" borderId="0" xfId="0" applyNumberFormat="1" applyFont="1" applyFill="1" applyBorder="1" applyAlignment="1">
      <alignment horizontal="center" vertical="top" wrapText="1"/>
    </xf>
    <xf numFmtId="0" fontId="0" fillId="3" borderId="0" xfId="0" applyFill="1" applyBorder="1"/>
    <xf numFmtId="0" fontId="0" fillId="0" borderId="0" xfId="1" applyNumberFormat="1" applyFont="1" applyFill="1" applyBorder="1" applyAlignment="1">
      <alignment horizontal="center"/>
    </xf>
    <xf numFmtId="164" fontId="2" fillId="0" borderId="0" xfId="1" applyNumberFormat="1" applyFont="1" applyBorder="1"/>
    <xf numFmtId="1" fontId="2" fillId="0" borderId="137" xfId="0" applyNumberFormat="1" applyFont="1" applyBorder="1"/>
    <xf numFmtId="5" fontId="0" fillId="0" borderId="0" xfId="3" applyNumberFormat="1" applyFont="1" applyBorder="1"/>
    <xf numFmtId="0" fontId="7" fillId="0" borderId="0" xfId="0" applyFont="1" applyBorder="1"/>
    <xf numFmtId="9" fontId="5" fillId="0" borderId="0" xfId="0" applyNumberFormat="1" applyFont="1" applyBorder="1"/>
    <xf numFmtId="9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5" fontId="0" fillId="0" borderId="0" xfId="0" applyNumberFormat="1" applyBorder="1"/>
    <xf numFmtId="0" fontId="7" fillId="0" borderId="137" xfId="0" applyFont="1" applyBorder="1"/>
    <xf numFmtId="0" fontId="0" fillId="0" borderId="137" xfId="0" applyBorder="1" applyAlignment="1">
      <alignment horizontal="center"/>
    </xf>
    <xf numFmtId="0" fontId="0" fillId="0" borderId="137" xfId="0" applyBorder="1"/>
    <xf numFmtId="10" fontId="0" fillId="0" borderId="137" xfId="2" applyNumberFormat="1" applyFont="1" applyBorder="1"/>
    <xf numFmtId="0" fontId="10" fillId="3" borderId="0" xfId="4" applyFont="1" applyFill="1" applyBorder="1" applyAlignment="1">
      <alignment horizontal="left" vertical="top"/>
    </xf>
    <xf numFmtId="0" fontId="10" fillId="3" borderId="0" xfId="4" applyFont="1" applyFill="1" applyBorder="1" applyAlignment="1">
      <alignment horizontal="center" vertical="top"/>
    </xf>
    <xf numFmtId="1" fontId="9" fillId="0" borderId="0" xfId="4" applyNumberFormat="1" applyFont="1" applyBorder="1" applyAlignment="1">
      <alignment vertical="center"/>
    </xf>
    <xf numFmtId="0" fontId="10" fillId="0" borderId="0" xfId="4" applyFont="1" applyBorder="1" applyAlignment="1">
      <alignment vertical="center"/>
    </xf>
    <xf numFmtId="0" fontId="37" fillId="0" borderId="0" xfId="4" applyFont="1" applyBorder="1" applyAlignment="1">
      <alignment vertical="center"/>
    </xf>
    <xf numFmtId="0" fontId="9" fillId="0" borderId="0" xfId="4" applyFont="1" applyBorder="1" applyAlignment="1">
      <alignment horizontal="center" vertical="center"/>
    </xf>
    <xf numFmtId="0" fontId="9" fillId="4" borderId="0" xfId="4" applyFont="1" applyFill="1" applyBorder="1" applyAlignment="1">
      <alignment horizontal="left"/>
    </xf>
    <xf numFmtId="0" fontId="10" fillId="4" borderId="137" xfId="4" applyFont="1" applyFill="1" applyBorder="1" applyAlignment="1">
      <alignment horizontal="left"/>
    </xf>
    <xf numFmtId="0" fontId="10" fillId="0" borderId="137" xfId="4" applyFont="1" applyBorder="1" applyAlignment="1">
      <alignment vertical="center"/>
    </xf>
    <xf numFmtId="9" fontId="9" fillId="4" borderId="0" xfId="2" applyFont="1" applyFill="1" applyBorder="1" applyAlignment="1">
      <alignment horizontal="right" vertical="center" wrapText="1"/>
    </xf>
    <xf numFmtId="0" fontId="9" fillId="4" borderId="0" xfId="4" applyFont="1" applyFill="1" applyBorder="1" applyAlignment="1">
      <alignment horizontal="right" vertical="center" wrapText="1"/>
    </xf>
    <xf numFmtId="0" fontId="9" fillId="4" borderId="0" xfId="4" applyFont="1" applyFill="1" applyBorder="1"/>
    <xf numFmtId="0" fontId="9" fillId="4" borderId="137" xfId="4" applyFont="1" applyFill="1" applyBorder="1"/>
    <xf numFmtId="175" fontId="4" fillId="0" borderId="0" xfId="0" applyNumberFormat="1" applyFont="1" applyBorder="1" applyAlignment="1">
      <alignment horizontal="center" vertical="top" wrapText="1"/>
    </xf>
    <xf numFmtId="2" fontId="4" fillId="0" borderId="0" xfId="0" applyNumberFormat="1" applyFont="1" applyBorder="1" applyAlignment="1">
      <alignment horizontal="center" vertical="top" wrapText="1"/>
    </xf>
    <xf numFmtId="0" fontId="2" fillId="0" borderId="137" xfId="0" applyFont="1" applyFill="1" applyBorder="1" applyAlignment="1">
      <alignment vertical="top" wrapText="1"/>
    </xf>
    <xf numFmtId="1" fontId="4" fillId="0" borderId="137" xfId="0" applyNumberFormat="1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5" fillId="0" borderId="0" xfId="0" applyFont="1" applyBorder="1"/>
    <xf numFmtId="0" fontId="0" fillId="0" borderId="0" xfId="0" applyFont="1" applyFill="1" applyBorder="1" applyAlignment="1">
      <alignment horizontal="center" wrapText="1"/>
    </xf>
    <xf numFmtId="9" fontId="0" fillId="0" borderId="0" xfId="0" applyNumberFormat="1" applyFont="1" applyFill="1" applyBorder="1" applyAlignment="1">
      <alignment horizontal="center" wrapText="1"/>
    </xf>
    <xf numFmtId="167" fontId="3" fillId="0" borderId="0" xfId="3" applyNumberFormat="1" applyFont="1" applyBorder="1" applyAlignment="1">
      <alignment horizontal="center" vertical="top" wrapText="1"/>
    </xf>
    <xf numFmtId="0" fontId="10" fillId="3" borderId="0" xfId="4" applyFont="1" applyFill="1" applyBorder="1" applyAlignment="1">
      <alignment horizontal="center" wrapText="1"/>
    </xf>
    <xf numFmtId="0" fontId="10" fillId="3" borderId="0" xfId="4" applyFont="1" applyFill="1" applyBorder="1" applyAlignment="1">
      <alignment horizontal="center"/>
    </xf>
    <xf numFmtId="0" fontId="10" fillId="3" borderId="0" xfId="4" applyFont="1" applyFill="1" applyBorder="1" applyAlignment="1">
      <alignment horizontal="center" vertical="top" wrapText="1"/>
    </xf>
    <xf numFmtId="0" fontId="44" fillId="3" borderId="0" xfId="4" applyFont="1" applyFill="1" applyBorder="1" applyAlignment="1">
      <alignment horizontal="center"/>
    </xf>
    <xf numFmtId="166" fontId="9" fillId="4" borderId="0" xfId="4" applyNumberFormat="1" applyFont="1" applyFill="1" applyBorder="1" applyAlignment="1">
      <alignment horizontal="center" vertical="center" wrapText="1"/>
    </xf>
    <xf numFmtId="166" fontId="9" fillId="4" borderId="0" xfId="1" applyNumberFormat="1" applyFont="1" applyFill="1" applyBorder="1" applyAlignment="1">
      <alignment horizontal="center" vertical="center" wrapText="1"/>
    </xf>
    <xf numFmtId="10" fontId="9" fillId="4" borderId="0" xfId="2" applyNumberFormat="1" applyFont="1" applyFill="1" applyBorder="1" applyAlignment="1">
      <alignment vertical="center" wrapText="1"/>
    </xf>
    <xf numFmtId="2" fontId="9" fillId="4" borderId="0" xfId="4" applyNumberFormat="1" applyFont="1" applyFill="1" applyBorder="1" applyAlignment="1">
      <alignment vertical="center" wrapText="1"/>
    </xf>
    <xf numFmtId="10" fontId="38" fillId="4" borderId="0" xfId="2" applyNumberFormat="1" applyFont="1" applyFill="1" applyBorder="1" applyAlignment="1">
      <alignment vertical="center" wrapText="1"/>
    </xf>
    <xf numFmtId="166" fontId="9" fillId="4" borderId="0" xfId="4" applyNumberFormat="1" applyFont="1" applyFill="1" applyBorder="1" applyAlignment="1">
      <alignment vertical="center" wrapText="1"/>
    </xf>
    <xf numFmtId="5" fontId="9" fillId="4" borderId="0" xfId="4" applyNumberFormat="1" applyFont="1" applyFill="1" applyBorder="1" applyAlignment="1">
      <alignment horizontal="right"/>
    </xf>
    <xf numFmtId="166" fontId="9" fillId="4" borderId="0" xfId="4" applyNumberFormat="1" applyFont="1" applyFill="1" applyBorder="1" applyAlignment="1">
      <alignment horizontal="right" vertical="center" wrapText="1"/>
    </xf>
    <xf numFmtId="166" fontId="37" fillId="4" borderId="0" xfId="4" applyNumberFormat="1" applyFont="1" applyFill="1" applyBorder="1" applyAlignment="1">
      <alignment horizontal="center" vertical="center" wrapText="1"/>
    </xf>
    <xf numFmtId="166" fontId="37" fillId="4" borderId="0" xfId="1" applyNumberFormat="1" applyFont="1" applyFill="1" applyBorder="1" applyAlignment="1">
      <alignment horizontal="center" vertical="center" wrapText="1"/>
    </xf>
    <xf numFmtId="10" fontId="37" fillId="4" borderId="0" xfId="2" applyNumberFormat="1" applyFont="1" applyFill="1" applyBorder="1" applyAlignment="1">
      <alignment vertical="center" wrapText="1"/>
    </xf>
    <xf numFmtId="5" fontId="37" fillId="4" borderId="0" xfId="4" applyNumberFormat="1" applyFont="1" applyFill="1" applyBorder="1" applyAlignment="1">
      <alignment horizontal="right"/>
    </xf>
    <xf numFmtId="0" fontId="9" fillId="4" borderId="0" xfId="4" applyFont="1" applyFill="1" applyBorder="1" applyAlignment="1">
      <alignment horizontal="right"/>
    </xf>
    <xf numFmtId="0" fontId="10" fillId="4" borderId="137" xfId="4" applyFont="1" applyFill="1" applyBorder="1"/>
    <xf numFmtId="5" fontId="10" fillId="4" borderId="137" xfId="4" applyNumberFormat="1" applyFont="1" applyFill="1" applyBorder="1" applyAlignment="1">
      <alignment horizontal="right"/>
    </xf>
    <xf numFmtId="2" fontId="37" fillId="0" borderId="0" xfId="4" applyNumberFormat="1" applyFont="1" applyBorder="1" applyAlignment="1">
      <alignment vertical="center"/>
    </xf>
    <xf numFmtId="2" fontId="9" fillId="4" borderId="0" xfId="4" applyNumberFormat="1" applyFont="1" applyFill="1" applyBorder="1"/>
    <xf numFmtId="2" fontId="10" fillId="0" borderId="137" xfId="4" applyNumberFormat="1" applyFont="1" applyBorder="1" applyAlignment="1">
      <alignment vertical="center"/>
    </xf>
    <xf numFmtId="176" fontId="0" fillId="0" borderId="0" xfId="3" applyNumberFormat="1" applyFont="1" applyBorder="1" applyAlignment="1">
      <alignment horizontal="center"/>
    </xf>
    <xf numFmtId="9" fontId="5" fillId="0" borderId="137" xfId="0" applyNumberFormat="1" applyFont="1" applyBorder="1" applyAlignment="1">
      <alignment horizontal="center"/>
    </xf>
    <xf numFmtId="0" fontId="38" fillId="3" borderId="9" xfId="4" applyFont="1" applyFill="1" applyBorder="1" applyAlignment="1">
      <alignment horizontal="center" vertical="top" wrapText="1"/>
    </xf>
    <xf numFmtId="0" fontId="47" fillId="3" borderId="9" xfId="4" applyFont="1" applyFill="1" applyBorder="1" applyAlignment="1">
      <alignment horizontal="center" vertical="top" wrapText="1"/>
    </xf>
    <xf numFmtId="0" fontId="10" fillId="3" borderId="9" xfId="4" applyFont="1" applyFill="1" applyBorder="1" applyAlignment="1">
      <alignment horizontal="center" vertical="top"/>
    </xf>
    <xf numFmtId="0" fontId="38" fillId="0" borderId="0" xfId="4" applyFont="1" applyFill="1" applyBorder="1" applyAlignment="1">
      <alignment horizontal="center" vertical="center"/>
    </xf>
    <xf numFmtId="0" fontId="41" fillId="0" borderId="0" xfId="4" applyFont="1" applyFill="1" applyBorder="1" applyAlignment="1">
      <alignment horizontal="center" vertical="center"/>
    </xf>
    <xf numFmtId="166" fontId="47" fillId="4" borderId="0" xfId="4" applyNumberFormat="1" applyFont="1" applyFill="1" applyBorder="1" applyAlignment="1">
      <alignment horizontal="center" vertical="center" wrapText="1"/>
    </xf>
    <xf numFmtId="0" fontId="44" fillId="4" borderId="0" xfId="4" applyFont="1" applyFill="1" applyBorder="1" applyAlignment="1">
      <alignment horizontal="center"/>
    </xf>
    <xf numFmtId="10" fontId="47" fillId="4" borderId="0" xfId="2" applyNumberFormat="1" applyFont="1" applyFill="1" applyBorder="1" applyAlignment="1">
      <alignment horizontal="center" vertical="center" wrapText="1"/>
    </xf>
    <xf numFmtId="10" fontId="48" fillId="4" borderId="0" xfId="2" applyNumberFormat="1" applyFont="1" applyFill="1" applyBorder="1" applyAlignment="1">
      <alignment vertical="center" wrapText="1"/>
    </xf>
    <xf numFmtId="177" fontId="47" fillId="4" borderId="0" xfId="4" applyNumberFormat="1" applyFont="1" applyFill="1" applyBorder="1" applyAlignment="1">
      <alignment vertical="center" wrapText="1"/>
    </xf>
    <xf numFmtId="177" fontId="48" fillId="4" borderId="0" xfId="4" applyNumberFormat="1" applyFont="1" applyFill="1" applyBorder="1" applyAlignment="1">
      <alignment vertical="center" wrapText="1"/>
    </xf>
    <xf numFmtId="0" fontId="47" fillId="0" borderId="0" xfId="4" applyFont="1" applyFill="1" applyBorder="1" applyAlignment="1">
      <alignment vertical="top" wrapText="1"/>
    </xf>
    <xf numFmtId="9" fontId="47" fillId="4" borderId="0" xfId="2" applyFont="1" applyFill="1" applyBorder="1" applyAlignment="1">
      <alignment horizontal="center" vertical="center" wrapText="1"/>
    </xf>
    <xf numFmtId="0" fontId="47" fillId="0" borderId="0" xfId="4" applyFont="1" applyFill="1" applyBorder="1" applyAlignment="1">
      <alignment horizontal="center" vertical="top" wrapText="1"/>
    </xf>
    <xf numFmtId="164" fontId="47" fillId="4" borderId="0" xfId="1" applyNumberFormat="1" applyFont="1" applyFill="1" applyBorder="1" applyAlignment="1">
      <alignment vertical="center" wrapText="1"/>
    </xf>
    <xf numFmtId="177" fontId="88" fillId="4" borderId="0" xfId="4" applyNumberFormat="1" applyFont="1" applyFill="1" applyBorder="1" applyAlignment="1">
      <alignment vertical="center" wrapText="1"/>
    </xf>
    <xf numFmtId="0" fontId="47" fillId="4" borderId="0" xfId="4" applyFont="1" applyFill="1" applyBorder="1"/>
    <xf numFmtId="9" fontId="47" fillId="4" borderId="0" xfId="2" applyNumberFormat="1" applyFont="1" applyFill="1" applyBorder="1" applyAlignment="1">
      <alignment vertical="center" wrapText="1"/>
    </xf>
    <xf numFmtId="0" fontId="47" fillId="4" borderId="0" xfId="4" applyFont="1" applyFill="1" applyBorder="1" applyAlignment="1">
      <alignment horizontal="center"/>
    </xf>
    <xf numFmtId="178" fontId="47" fillId="4" borderId="0" xfId="4" applyNumberFormat="1" applyFont="1" applyFill="1" applyBorder="1" applyAlignment="1">
      <alignment horizontal="center" vertical="center" wrapText="1"/>
    </xf>
    <xf numFmtId="10" fontId="47" fillId="4" borderId="0" xfId="4" applyNumberFormat="1" applyFont="1" applyFill="1" applyBorder="1" applyAlignment="1">
      <alignment horizontal="center" vertical="center" wrapText="1"/>
    </xf>
    <xf numFmtId="5" fontId="47" fillId="4" borderId="0" xfId="4" applyNumberFormat="1" applyFont="1" applyFill="1" applyBorder="1" applyAlignment="1">
      <alignment horizontal="right" vertical="center" wrapText="1"/>
    </xf>
    <xf numFmtId="5" fontId="88" fillId="4" borderId="0" xfId="4" applyNumberFormat="1" applyFont="1" applyFill="1" applyBorder="1" applyAlignment="1">
      <alignment horizontal="right" vertical="center" wrapText="1"/>
    </xf>
    <xf numFmtId="10" fontId="47" fillId="4" borderId="0" xfId="2" applyNumberFormat="1" applyFont="1" applyFill="1" applyBorder="1" applyAlignment="1">
      <alignment vertical="center" wrapText="1"/>
    </xf>
    <xf numFmtId="177" fontId="48" fillId="4" borderId="137" xfId="4" applyNumberFormat="1" applyFont="1" applyFill="1" applyBorder="1" applyAlignment="1">
      <alignment vertical="center" wrapText="1"/>
    </xf>
    <xf numFmtId="0" fontId="41" fillId="3" borderId="9" xfId="4" applyFont="1" applyFill="1" applyBorder="1" applyAlignment="1">
      <alignment horizontal="left" vertical="center"/>
    </xf>
    <xf numFmtId="0" fontId="10" fillId="3" borderId="9" xfId="4" applyFont="1" applyFill="1" applyBorder="1" applyAlignment="1">
      <alignment horizontal="center" vertical="center"/>
    </xf>
    <xf numFmtId="0" fontId="38" fillId="0" borderId="0" xfId="4" applyFont="1" applyFill="1" applyBorder="1" applyAlignment="1">
      <alignment horizontal="left" vertical="center"/>
    </xf>
    <xf numFmtId="0" fontId="38" fillId="4" borderId="0" xfId="4" applyFont="1" applyFill="1" applyBorder="1" applyAlignment="1">
      <alignment horizontal="center" vertical="center"/>
    </xf>
    <xf numFmtId="0" fontId="38" fillId="0" borderId="0" xfId="4" applyFont="1" applyFill="1" applyBorder="1" applyAlignment="1">
      <alignment vertical="center" wrapText="1"/>
    </xf>
    <xf numFmtId="177" fontId="38" fillId="4" borderId="0" xfId="4" applyNumberFormat="1" applyFont="1" applyFill="1" applyBorder="1" applyAlignment="1">
      <alignment vertical="center" wrapText="1"/>
    </xf>
    <xf numFmtId="0" fontId="41" fillId="0" borderId="0" xfId="4" applyFont="1" applyFill="1" applyBorder="1" applyAlignment="1">
      <alignment horizontal="left" vertical="center" wrapText="1"/>
    </xf>
    <xf numFmtId="177" fontId="41" fillId="4" borderId="0" xfId="4" applyNumberFormat="1" applyFont="1" applyFill="1" applyBorder="1" applyAlignment="1">
      <alignment vertical="center" wrapText="1"/>
    </xf>
    <xf numFmtId="0" fontId="41" fillId="0" borderId="0" xfId="4" applyFont="1" applyFill="1" applyBorder="1" applyAlignment="1">
      <alignment horizontal="left" vertical="center"/>
    </xf>
    <xf numFmtId="0" fontId="38" fillId="0" borderId="0" xfId="4" applyFont="1" applyFill="1" applyBorder="1" applyAlignment="1">
      <alignment vertical="center"/>
    </xf>
    <xf numFmtId="0" fontId="41" fillId="0" borderId="137" xfId="4" applyFont="1" applyFill="1" applyBorder="1" applyAlignment="1">
      <alignment horizontal="left" vertical="center"/>
    </xf>
    <xf numFmtId="177" fontId="41" fillId="4" borderId="137" xfId="4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9" fontId="58" fillId="30" borderId="15" xfId="0" applyNumberFormat="1" applyFont="1" applyFill="1" applyBorder="1" applyAlignment="1" applyProtection="1">
      <alignment horizontal="center"/>
    </xf>
    <xf numFmtId="9" fontId="58" fillId="30" borderId="16" xfId="0" applyNumberFormat="1" applyFont="1" applyFill="1" applyBorder="1" applyAlignment="1" applyProtection="1">
      <alignment horizontal="center"/>
    </xf>
    <xf numFmtId="9" fontId="58" fillId="30" borderId="25" xfId="0" applyNumberFormat="1" applyFont="1" applyFill="1" applyBorder="1" applyAlignment="1" applyProtection="1">
      <alignment horizontal="center" vertical="top"/>
    </xf>
    <xf numFmtId="9" fontId="58" fillId="30" borderId="132" xfId="0" applyNumberFormat="1" applyFont="1" applyFill="1" applyBorder="1" applyAlignment="1" applyProtection="1">
      <alignment horizontal="center" vertical="top"/>
    </xf>
    <xf numFmtId="0" fontId="4" fillId="30" borderId="25" xfId="0" applyFont="1" applyFill="1" applyBorder="1" applyAlignment="1">
      <alignment horizontal="center" vertical="top" wrapText="1"/>
    </xf>
    <xf numFmtId="0" fontId="4" fillId="30" borderId="132" xfId="0" applyFont="1" applyFill="1" applyBorder="1" applyAlignment="1">
      <alignment horizontal="center" vertical="top" wrapText="1"/>
    </xf>
    <xf numFmtId="0" fontId="4" fillId="30" borderId="76" xfId="0" applyFont="1" applyFill="1" applyBorder="1" applyAlignment="1">
      <alignment horizontal="center" vertical="top" wrapText="1"/>
    </xf>
    <xf numFmtId="0" fontId="4" fillId="30" borderId="133" xfId="0" applyFont="1" applyFill="1" applyBorder="1" applyAlignment="1">
      <alignment horizontal="center" vertical="top" wrapText="1"/>
    </xf>
    <xf numFmtId="0" fontId="2" fillId="30" borderId="17" xfId="0" applyFont="1" applyFill="1" applyBorder="1" applyAlignment="1">
      <alignment horizontal="left"/>
    </xf>
    <xf numFmtId="0" fontId="2" fillId="30" borderId="116" xfId="0" applyFont="1" applyFill="1" applyBorder="1" applyAlignment="1">
      <alignment horizontal="left"/>
    </xf>
    <xf numFmtId="181" fontId="53" fillId="3" borderId="116" xfId="0" quotePrefix="1" applyNumberFormat="1" applyFont="1" applyFill="1" applyBorder="1" applyAlignment="1" applyProtection="1">
      <alignment horizontal="center" vertical="center" wrapText="1"/>
      <protection locked="0"/>
    </xf>
    <xf numFmtId="181" fontId="53" fillId="3" borderId="18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30" borderId="123" xfId="0" applyFont="1" applyFill="1" applyBorder="1" applyAlignment="1">
      <alignment horizontal="left"/>
    </xf>
    <xf numFmtId="0" fontId="2" fillId="30" borderId="121" xfId="0" applyFont="1" applyFill="1" applyBorder="1" applyAlignment="1">
      <alignment horizontal="left"/>
    </xf>
    <xf numFmtId="181" fontId="53" fillId="3" borderId="121" xfId="0" quotePrefix="1" applyNumberFormat="1" applyFont="1" applyFill="1" applyBorder="1" applyAlignment="1" applyProtection="1">
      <alignment horizontal="center" vertical="center" wrapText="1"/>
      <protection locked="0"/>
    </xf>
    <xf numFmtId="181" fontId="53" fillId="3" borderId="122" xfId="0" quotePrefix="1" applyNumberFormat="1" applyFont="1" applyFill="1" applyBorder="1" applyAlignment="1" applyProtection="1">
      <alignment horizontal="center" vertical="center" wrapText="1"/>
      <protection locked="0"/>
    </xf>
    <xf numFmtId="10" fontId="58" fillId="30" borderId="53" xfId="0" applyNumberFormat="1" applyFont="1" applyFill="1" applyBorder="1" applyAlignment="1" applyProtection="1">
      <alignment horizontal="left" vertical="top"/>
    </xf>
    <xf numFmtId="10" fontId="58" fillId="30" borderId="70" xfId="0" applyNumberFormat="1" applyFont="1" applyFill="1" applyBorder="1" applyAlignment="1" applyProtection="1">
      <alignment horizontal="left" vertical="top"/>
    </xf>
    <xf numFmtId="10" fontId="58" fillId="30" borderId="131" xfId="0" applyNumberFormat="1" applyFont="1" applyFill="1" applyBorder="1" applyAlignment="1" applyProtection="1">
      <alignment horizontal="left" vertical="top"/>
    </xf>
    <xf numFmtId="10" fontId="58" fillId="30" borderId="52" xfId="0" applyNumberFormat="1" applyFont="1" applyFill="1" applyBorder="1" applyAlignment="1" applyProtection="1">
      <alignment horizontal="center" vertical="top"/>
    </xf>
    <xf numFmtId="10" fontId="58" fillId="30" borderId="29" xfId="0" applyNumberFormat="1" applyFont="1" applyFill="1" applyBorder="1" applyAlignment="1" applyProtection="1">
      <alignment horizontal="center" vertical="top"/>
    </xf>
    <xf numFmtId="10" fontId="58" fillId="30" borderId="132" xfId="0" applyNumberFormat="1" applyFont="1" applyFill="1" applyBorder="1" applyAlignment="1" applyProtection="1">
      <alignment horizontal="center" vertical="top"/>
    </xf>
    <xf numFmtId="0" fontId="43" fillId="30" borderId="13" xfId="0" applyFont="1" applyFill="1" applyBorder="1" applyAlignment="1" applyProtection="1">
      <alignment horizontal="center"/>
    </xf>
    <xf numFmtId="0" fontId="43" fillId="30" borderId="72" xfId="0" applyFont="1" applyFill="1" applyBorder="1" applyAlignment="1" applyProtection="1">
      <alignment horizontal="center"/>
    </xf>
    <xf numFmtId="0" fontId="43" fillId="30" borderId="73" xfId="0" applyFont="1" applyFill="1" applyBorder="1" applyAlignment="1" applyProtection="1">
      <alignment horizontal="center"/>
    </xf>
    <xf numFmtId="0" fontId="2" fillId="30" borderId="14" xfId="0" applyFont="1" applyFill="1" applyBorder="1" applyAlignment="1">
      <alignment horizontal="left"/>
    </xf>
    <xf numFmtId="0" fontId="2" fillId="30" borderId="15" xfId="0" applyFont="1" applyFill="1" applyBorder="1" applyAlignment="1">
      <alignment horizontal="left"/>
    </xf>
    <xf numFmtId="9" fontId="0" fillId="3" borderId="116" xfId="0" applyNumberFormat="1" applyFill="1" applyBorder="1" applyAlignment="1">
      <alignment horizontal="center"/>
    </xf>
    <xf numFmtId="9" fontId="0" fillId="3" borderId="18" xfId="0" applyNumberFormat="1" applyFill="1" applyBorder="1" applyAlignment="1">
      <alignment horizontal="center"/>
    </xf>
    <xf numFmtId="10" fontId="58" fillId="30" borderId="53" xfId="0" applyNumberFormat="1" applyFont="1" applyFill="1" applyBorder="1" applyAlignment="1" applyProtection="1">
      <alignment horizontal="center" vertical="top" wrapText="1"/>
    </xf>
    <xf numFmtId="10" fontId="58" fillId="30" borderId="70" xfId="0" applyNumberFormat="1" applyFont="1" applyFill="1" applyBorder="1" applyAlignment="1" applyProtection="1">
      <alignment horizontal="center" vertical="top" wrapText="1"/>
    </xf>
    <xf numFmtId="10" fontId="58" fillId="30" borderId="131" xfId="0" applyNumberFormat="1" applyFont="1" applyFill="1" applyBorder="1" applyAlignment="1" applyProtection="1">
      <alignment horizontal="center" vertical="top" wrapText="1"/>
    </xf>
    <xf numFmtId="10" fontId="58" fillId="30" borderId="52" xfId="0" applyNumberFormat="1" applyFont="1" applyFill="1" applyBorder="1" applyAlignment="1" applyProtection="1">
      <alignment horizontal="center" vertical="top" wrapText="1"/>
    </xf>
    <xf numFmtId="10" fontId="58" fillId="30" borderId="29" xfId="0" applyNumberFormat="1" applyFont="1" applyFill="1" applyBorder="1" applyAlignment="1" applyProtection="1">
      <alignment horizontal="center" vertical="top" wrapText="1"/>
    </xf>
    <xf numFmtId="10" fontId="58" fillId="30" borderId="132" xfId="0" applyNumberFormat="1" applyFont="1" applyFill="1" applyBorder="1" applyAlignment="1" applyProtection="1">
      <alignment horizontal="center" vertical="top" wrapText="1"/>
    </xf>
    <xf numFmtId="9" fontId="58" fillId="30" borderId="15" xfId="0" applyNumberFormat="1" applyFont="1" applyFill="1" applyBorder="1" applyAlignment="1" applyProtection="1">
      <alignment horizontal="center" vertical="top"/>
    </xf>
    <xf numFmtId="9" fontId="58" fillId="30" borderId="16" xfId="0" applyNumberFormat="1" applyFont="1" applyFill="1" applyBorder="1" applyAlignment="1" applyProtection="1">
      <alignment horizontal="center" vertical="top"/>
    </xf>
    <xf numFmtId="0" fontId="8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15" xfId="0" applyFont="1" applyFill="1" applyBorder="1" applyAlignment="1" applyProtection="1">
      <alignment horizontal="left"/>
    </xf>
    <xf numFmtId="0" fontId="2" fillId="3" borderId="121" xfId="0" applyFont="1" applyFill="1" applyBorder="1" applyAlignment="1" applyProtection="1">
      <alignment horizontal="left"/>
    </xf>
    <xf numFmtId="0" fontId="2" fillId="30" borderId="0" xfId="0" applyFont="1" applyFill="1" applyAlignment="1" applyProtection="1">
      <alignment horizontal="center"/>
    </xf>
    <xf numFmtId="0" fontId="43" fillId="30" borderId="23" xfId="0" applyFont="1" applyFill="1" applyBorder="1" applyAlignment="1" applyProtection="1">
      <alignment horizontal="center"/>
    </xf>
    <xf numFmtId="0" fontId="43" fillId="30" borderId="54" xfId="0" applyFont="1" applyFill="1" applyBorder="1" applyAlignment="1" applyProtection="1">
      <alignment horizontal="center"/>
    </xf>
    <xf numFmtId="0" fontId="43" fillId="30" borderId="115" xfId="0" applyFont="1" applyFill="1" applyBorder="1" applyAlignment="1" applyProtection="1">
      <alignment horizontal="center"/>
    </xf>
    <xf numFmtId="0" fontId="2" fillId="3" borderId="134" xfId="0" applyFont="1" applyFill="1" applyBorder="1" applyAlignment="1" applyProtection="1">
      <alignment horizontal="left"/>
    </xf>
    <xf numFmtId="0" fontId="2" fillId="3" borderId="117" xfId="0" applyFont="1" applyFill="1" applyBorder="1" applyAlignment="1" applyProtection="1">
      <alignment horizontal="left"/>
    </xf>
    <xf numFmtId="0" fontId="2" fillId="3" borderId="135" xfId="0" applyFont="1" applyFill="1" applyBorder="1" applyAlignment="1" applyProtection="1">
      <alignment horizontal="left"/>
    </xf>
    <xf numFmtId="0" fontId="2" fillId="3" borderId="22" xfId="0" applyFont="1" applyFill="1" applyBorder="1" applyAlignment="1" applyProtection="1">
      <alignment horizontal="left"/>
    </xf>
    <xf numFmtId="0" fontId="2" fillId="3" borderId="78" xfId="0" applyFont="1" applyFill="1" applyBorder="1" applyAlignment="1" applyProtection="1">
      <alignment horizontal="left"/>
    </xf>
    <xf numFmtId="0" fontId="2" fillId="3" borderId="105" xfId="0" applyFont="1" applyFill="1" applyBorder="1" applyAlignment="1" applyProtection="1">
      <alignment horizontal="left"/>
    </xf>
    <xf numFmtId="0" fontId="0" fillId="50" borderId="47" xfId="0" applyFill="1" applyBorder="1" applyAlignment="1" applyProtection="1">
      <alignment horizontal="left"/>
    </xf>
    <xf numFmtId="0" fontId="0" fillId="50" borderId="0" xfId="0" applyFill="1" applyAlignment="1" applyProtection="1">
      <alignment horizontal="left"/>
    </xf>
    <xf numFmtId="0" fontId="43" fillId="49" borderId="23" xfId="0" applyFont="1" applyFill="1" applyBorder="1" applyAlignment="1" applyProtection="1">
      <alignment horizontal="center"/>
    </xf>
    <xf numFmtId="0" fontId="43" fillId="49" borderId="54" xfId="0" applyFont="1" applyFill="1" applyBorder="1" applyAlignment="1" applyProtection="1">
      <alignment horizontal="center"/>
    </xf>
    <xf numFmtId="0" fontId="43" fillId="49" borderId="115" xfId="0" applyFont="1" applyFill="1" applyBorder="1" applyAlignment="1" applyProtection="1">
      <alignment horizontal="center"/>
    </xf>
    <xf numFmtId="6" fontId="59" fillId="49" borderId="116" xfId="0" applyNumberFormat="1" applyFont="1" applyFill="1" applyBorder="1" applyAlignment="1" applyProtection="1">
      <alignment horizontal="center"/>
    </xf>
    <xf numFmtId="0" fontId="59" fillId="49" borderId="18" xfId="0" applyFont="1" applyFill="1" applyBorder="1" applyAlignment="1" applyProtection="1">
      <alignment horizontal="center"/>
    </xf>
    <xf numFmtId="6" fontId="59" fillId="49" borderId="121" xfId="0" applyNumberFormat="1" applyFont="1" applyFill="1" applyBorder="1" applyAlignment="1" applyProtection="1">
      <alignment horizontal="center"/>
    </xf>
    <xf numFmtId="0" fontId="59" fillId="49" borderId="122" xfId="0" applyFont="1" applyFill="1" applyBorder="1" applyAlignment="1" applyProtection="1">
      <alignment horizontal="center"/>
    </xf>
    <xf numFmtId="0" fontId="2" fillId="30" borderId="120" xfId="0" applyFont="1" applyFill="1" applyBorder="1" applyAlignment="1" applyProtection="1">
      <alignment horizontal="left"/>
    </xf>
    <xf numFmtId="0" fontId="2" fillId="30" borderId="54" xfId="0" applyFont="1" applyFill="1" applyBorder="1" applyAlignment="1" applyProtection="1">
      <alignment horizontal="left"/>
    </xf>
    <xf numFmtId="0" fontId="2" fillId="30" borderId="115" xfId="0" applyFont="1" applyFill="1" applyBorder="1" applyAlignment="1" applyProtection="1">
      <alignment horizontal="left"/>
    </xf>
    <xf numFmtId="0" fontId="2" fillId="30" borderId="136" xfId="0" applyFont="1" applyFill="1" applyBorder="1" applyAlignment="1" applyProtection="1">
      <alignment horizontal="left"/>
    </xf>
    <xf numFmtId="0" fontId="2" fillId="30" borderId="117" xfId="0" applyFont="1" applyFill="1" applyBorder="1" applyAlignment="1" applyProtection="1">
      <alignment horizontal="left"/>
    </xf>
    <xf numFmtId="0" fontId="2" fillId="30" borderId="118" xfId="0" applyFont="1" applyFill="1" applyBorder="1" applyAlignment="1" applyProtection="1">
      <alignment horizontal="left"/>
    </xf>
    <xf numFmtId="0" fontId="2" fillId="30" borderId="15" xfId="0" applyFont="1" applyFill="1" applyBorder="1" applyAlignment="1" applyProtection="1">
      <alignment horizontal="left"/>
    </xf>
    <xf numFmtId="0" fontId="2" fillId="30" borderId="16" xfId="0" applyFont="1" applyFill="1" applyBorder="1" applyAlignment="1" applyProtection="1">
      <alignment horizontal="left"/>
    </xf>
    <xf numFmtId="0" fontId="2" fillId="30" borderId="121" xfId="0" applyFont="1" applyFill="1" applyBorder="1" applyAlignment="1" applyProtection="1">
      <alignment horizontal="left"/>
    </xf>
    <xf numFmtId="0" fontId="2" fillId="30" borderId="122" xfId="0" applyFont="1" applyFill="1" applyBorder="1" applyAlignment="1" applyProtection="1">
      <alignment horizontal="left"/>
    </xf>
    <xf numFmtId="9" fontId="4" fillId="3" borderId="23" xfId="0" applyNumberFormat="1" applyFont="1" applyFill="1" applyBorder="1" applyAlignment="1" applyProtection="1">
      <alignment horizontal="left"/>
    </xf>
    <xf numFmtId="9" fontId="4" fillId="3" borderId="68" xfId="0" applyNumberFormat="1" applyFont="1" applyFill="1" applyBorder="1" applyAlignment="1" applyProtection="1">
      <alignment horizontal="left"/>
    </xf>
    <xf numFmtId="9" fontId="4" fillId="3" borderId="134" xfId="0" applyNumberFormat="1" applyFont="1" applyFill="1" applyBorder="1" applyAlignment="1" applyProtection="1">
      <alignment horizontal="left"/>
    </xf>
    <xf numFmtId="9" fontId="4" fillId="3" borderId="135" xfId="0" applyNumberFormat="1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9" fontId="4" fillId="3" borderId="22" xfId="0" applyNumberFormat="1" applyFont="1" applyFill="1" applyBorder="1" applyAlignment="1" applyProtection="1">
      <alignment horizontal="left"/>
    </xf>
    <xf numFmtId="9" fontId="4" fillId="3" borderId="105" xfId="0" applyNumberFormat="1" applyFont="1" applyFill="1" applyBorder="1" applyAlignment="1" applyProtection="1">
      <alignment horizontal="left"/>
    </xf>
    <xf numFmtId="0" fontId="4" fillId="0" borderId="25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" fillId="0" borderId="111" xfId="0" applyFont="1" applyBorder="1" applyAlignment="1">
      <alignment horizontal="center"/>
    </xf>
    <xf numFmtId="0" fontId="2" fillId="0" borderId="23" xfId="0" applyFont="1" applyBorder="1" applyAlignment="1">
      <alignment horizontal="center" vertical="top"/>
    </xf>
    <xf numFmtId="0" fontId="2" fillId="0" borderId="54" xfId="0" applyFont="1" applyBorder="1" applyAlignment="1">
      <alignment horizontal="center" vertical="top"/>
    </xf>
    <xf numFmtId="0" fontId="2" fillId="0" borderId="11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6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16" xfId="0" applyFont="1" applyBorder="1" applyAlignment="1">
      <alignment horizontal="center"/>
    </xf>
    <xf numFmtId="0" fontId="4" fillId="0" borderId="23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2" fillId="0" borderId="96" xfId="0" applyFont="1" applyBorder="1" applyAlignment="1">
      <alignment horizontal="center" vertical="top" wrapText="1"/>
    </xf>
    <xf numFmtId="0" fontId="2" fillId="0" borderId="97" xfId="0" applyFont="1" applyBorder="1" applyAlignment="1">
      <alignment horizontal="center" vertical="top" wrapText="1"/>
    </xf>
    <xf numFmtId="0" fontId="2" fillId="0" borderId="82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49" fillId="0" borderId="25" xfId="0" applyFont="1" applyBorder="1" applyAlignment="1">
      <alignment horizontal="center" vertical="top" wrapText="1"/>
    </xf>
    <xf numFmtId="0" fontId="49" fillId="0" borderId="28" xfId="0" applyFont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0" fontId="4" fillId="0" borderId="96" xfId="0" applyFont="1" applyBorder="1" applyAlignment="1">
      <alignment horizontal="center" vertical="top" wrapText="1"/>
    </xf>
    <xf numFmtId="0" fontId="4" fillId="0" borderId="49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49" fillId="3" borderId="25" xfId="0" applyFont="1" applyFill="1" applyBorder="1" applyAlignment="1">
      <alignment horizontal="center" vertical="top" wrapText="1"/>
    </xf>
    <xf numFmtId="0" fontId="49" fillId="3" borderId="28" xfId="0" applyFont="1" applyFill="1" applyBorder="1" applyAlignment="1">
      <alignment horizontal="center" vertical="top" wrapText="1"/>
    </xf>
    <xf numFmtId="14" fontId="43" fillId="3" borderId="13" xfId="0" applyNumberFormat="1" applyFont="1" applyFill="1" applyBorder="1" applyAlignment="1">
      <alignment horizontal="center"/>
    </xf>
    <xf numFmtId="14" fontId="43" fillId="3" borderId="72" xfId="0" applyNumberFormat="1" applyFont="1" applyFill="1" applyBorder="1" applyAlignment="1">
      <alignment horizontal="center"/>
    </xf>
    <xf numFmtId="14" fontId="43" fillId="3" borderId="73" xfId="0" applyNumberFormat="1" applyFont="1" applyFill="1" applyBorder="1" applyAlignment="1">
      <alignment horizontal="center"/>
    </xf>
    <xf numFmtId="0" fontId="4" fillId="0" borderId="29" xfId="0" applyFont="1" applyBorder="1" applyAlignment="1">
      <alignment horizontal="center" vertical="top" wrapText="1"/>
    </xf>
    <xf numFmtId="0" fontId="2" fillId="44" borderId="116" xfId="0" applyFont="1" applyFill="1" applyBorder="1" applyAlignment="1">
      <alignment horizontal="center" vertical="top"/>
    </xf>
    <xf numFmtId="0" fontId="2" fillId="45" borderId="25" xfId="0" applyFont="1" applyFill="1" applyBorder="1" applyAlignment="1">
      <alignment horizontal="center" vertical="top" wrapText="1"/>
    </xf>
    <xf numFmtId="0" fontId="2" fillId="45" borderId="29" xfId="0" applyFont="1" applyFill="1" applyBorder="1" applyAlignment="1">
      <alignment horizontal="center" vertical="top" wrapText="1"/>
    </xf>
    <xf numFmtId="0" fontId="2" fillId="45" borderId="28" xfId="0" applyFont="1" applyFill="1" applyBorder="1" applyAlignment="1">
      <alignment horizontal="center" vertical="top" wrapText="1"/>
    </xf>
    <xf numFmtId="0" fontId="2" fillId="31" borderId="25" xfId="0" applyFont="1" applyFill="1" applyBorder="1" applyAlignment="1">
      <alignment horizontal="center" vertical="top"/>
    </xf>
    <xf numFmtId="0" fontId="2" fillId="31" borderId="29" xfId="0" applyFont="1" applyFill="1" applyBorder="1" applyAlignment="1">
      <alignment horizontal="center" vertical="top"/>
    </xf>
    <xf numFmtId="0" fontId="2" fillId="31" borderId="28" xfId="0" applyFont="1" applyFill="1" applyBorder="1" applyAlignment="1">
      <alignment horizontal="center" vertical="top"/>
    </xf>
    <xf numFmtId="0" fontId="2" fillId="43" borderId="10" xfId="0" applyFont="1" applyFill="1" applyBorder="1" applyAlignment="1">
      <alignment horizontal="center" vertical="top"/>
    </xf>
    <xf numFmtId="0" fontId="2" fillId="43" borderId="116" xfId="0" applyFont="1" applyFill="1" applyBorder="1" applyAlignment="1">
      <alignment horizontal="center" vertical="top"/>
    </xf>
    <xf numFmtId="0" fontId="2" fillId="0" borderId="115" xfId="0" applyFont="1" applyBorder="1" applyAlignment="1">
      <alignment horizontal="center" vertical="top"/>
    </xf>
    <xf numFmtId="0" fontId="2" fillId="3" borderId="116" xfId="0" applyFont="1" applyFill="1" applyBorder="1" applyAlignment="1">
      <alignment horizontal="center" vertical="top" wrapText="1"/>
    </xf>
    <xf numFmtId="0" fontId="2" fillId="42" borderId="25" xfId="0" applyFont="1" applyFill="1" applyBorder="1" applyAlignment="1">
      <alignment horizontal="center" vertical="top" wrapText="1"/>
    </xf>
    <xf numFmtId="0" fontId="2" fillId="42" borderId="28" xfId="0" applyFont="1" applyFill="1" applyBorder="1" applyAlignment="1">
      <alignment horizontal="center" vertical="top" wrapText="1"/>
    </xf>
    <xf numFmtId="0" fontId="2" fillId="0" borderId="116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115" xfId="0" applyFont="1" applyBorder="1" applyAlignment="1">
      <alignment horizontal="center" vertical="top" wrapText="1"/>
    </xf>
    <xf numFmtId="0" fontId="2" fillId="38" borderId="23" xfId="0" applyFont="1" applyFill="1" applyBorder="1" applyAlignment="1">
      <alignment horizontal="center"/>
    </xf>
    <xf numFmtId="0" fontId="2" fillId="38" borderId="54" xfId="0" applyFont="1" applyFill="1" applyBorder="1" applyAlignment="1">
      <alignment horizontal="center"/>
    </xf>
    <xf numFmtId="0" fontId="2" fillId="38" borderId="115" xfId="0" applyFont="1" applyFill="1" applyBorder="1" applyAlignment="1">
      <alignment horizontal="center"/>
    </xf>
    <xf numFmtId="0" fontId="2" fillId="3" borderId="96" xfId="0" applyFont="1" applyFill="1" applyBorder="1" applyAlignment="1">
      <alignment horizontal="center" vertical="top" wrapText="1"/>
    </xf>
    <xf numFmtId="0" fontId="2" fillId="3" borderId="49" xfId="0" applyFont="1" applyFill="1" applyBorder="1" applyAlignment="1">
      <alignment horizontal="center" vertical="top" wrapText="1"/>
    </xf>
    <xf numFmtId="14" fontId="43" fillId="29" borderId="13" xfId="0" applyNumberFormat="1" applyFont="1" applyFill="1" applyBorder="1" applyAlignment="1">
      <alignment horizontal="center"/>
    </xf>
    <xf numFmtId="14" fontId="43" fillId="29" borderId="72" xfId="0" applyNumberFormat="1" applyFont="1" applyFill="1" applyBorder="1" applyAlignment="1">
      <alignment horizontal="center"/>
    </xf>
    <xf numFmtId="14" fontId="43" fillId="29" borderId="73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37" fontId="75" fillId="3" borderId="0" xfId="382" applyFont="1" applyFill="1" applyAlignment="1">
      <alignment horizontal="center"/>
    </xf>
    <xf numFmtId="0" fontId="68" fillId="46" borderId="126" xfId="0" applyFont="1" applyFill="1" applyBorder="1" applyAlignment="1">
      <alignment vertical="center" wrapText="1"/>
    </xf>
    <xf numFmtId="0" fontId="41" fillId="0" borderId="13" xfId="378" applyFont="1" applyBorder="1" applyAlignment="1">
      <alignment horizontal="center"/>
    </xf>
    <xf numFmtId="0" fontId="41" fillId="0" borderId="73" xfId="378" applyFont="1" applyBorder="1" applyAlignment="1">
      <alignment horizontal="center"/>
    </xf>
    <xf numFmtId="0" fontId="61" fillId="0" borderId="13" xfId="378" applyFont="1" applyBorder="1" applyAlignment="1">
      <alignment horizontal="right" wrapText="1"/>
    </xf>
    <xf numFmtId="0" fontId="61" fillId="0" borderId="73" xfId="378" applyFont="1" applyBorder="1" applyAlignment="1">
      <alignment horizontal="right" wrapText="1"/>
    </xf>
    <xf numFmtId="17" fontId="62" fillId="0" borderId="13" xfId="378" applyNumberFormat="1" applyFont="1" applyBorder="1" applyAlignment="1">
      <alignment horizontal="left" wrapText="1"/>
    </xf>
    <xf numFmtId="17" fontId="62" fillId="0" borderId="73" xfId="378" applyNumberFormat="1" applyFont="1" applyBorder="1" applyAlignment="1">
      <alignment horizontal="left" wrapText="1"/>
    </xf>
    <xf numFmtId="0" fontId="43" fillId="3" borderId="13" xfId="0" applyFont="1" applyFill="1" applyBorder="1" applyAlignment="1">
      <alignment horizontal="center"/>
    </xf>
    <xf numFmtId="0" fontId="43" fillId="3" borderId="72" xfId="0" applyFont="1" applyFill="1" applyBorder="1" applyAlignment="1">
      <alignment horizontal="center"/>
    </xf>
    <xf numFmtId="0" fontId="43" fillId="3" borderId="73" xfId="0" applyFont="1" applyFill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2" fillId="3" borderId="9" xfId="0" applyFont="1" applyFill="1" applyBorder="1" applyAlignment="1">
      <alignment horizontal="left"/>
    </xf>
    <xf numFmtId="0" fontId="2" fillId="0" borderId="112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79" xfId="0" applyBorder="1" applyAlignment="1">
      <alignment horizontal="left" vertical="top" wrapText="1"/>
    </xf>
    <xf numFmtId="0" fontId="0" fillId="0" borderId="48" xfId="0" applyBorder="1" applyAlignment="1">
      <alignment horizontal="left" vertical="top"/>
    </xf>
    <xf numFmtId="0" fontId="2" fillId="3" borderId="11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4" fillId="3" borderId="25" xfId="0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96" xfId="0" applyFont="1" applyFill="1" applyBorder="1" applyAlignment="1">
      <alignment horizontal="center" vertical="top" wrapText="1"/>
    </xf>
    <xf numFmtId="0" fontId="4" fillId="3" borderId="49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/>
    </xf>
    <xf numFmtId="0" fontId="2" fillId="3" borderId="115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 vertical="top"/>
    </xf>
    <xf numFmtId="0" fontId="2" fillId="3" borderId="54" xfId="0" applyFont="1" applyFill="1" applyBorder="1" applyAlignment="1">
      <alignment horizontal="center" vertical="top"/>
    </xf>
    <xf numFmtId="0" fontId="2" fillId="3" borderId="27" xfId="0" applyFont="1" applyFill="1" applyBorder="1" applyAlignment="1">
      <alignment horizontal="center" vertical="top"/>
    </xf>
    <xf numFmtId="0" fontId="49" fillId="3" borderId="96" xfId="0" applyFont="1" applyFill="1" applyBorder="1" applyAlignment="1">
      <alignment horizontal="center" vertical="top" wrapText="1"/>
    </xf>
    <xf numFmtId="0" fontId="49" fillId="3" borderId="97" xfId="0" applyFont="1" applyFill="1" applyBorder="1" applyAlignment="1">
      <alignment horizontal="center" vertical="top" wrapText="1"/>
    </xf>
    <xf numFmtId="0" fontId="49" fillId="3" borderId="82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54" xfId="0" applyFont="1" applyFill="1" applyBorder="1" applyAlignment="1">
      <alignment horizontal="center" vertical="top" wrapText="1"/>
    </xf>
    <xf numFmtId="0" fontId="2" fillId="3" borderId="27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0" fontId="42" fillId="3" borderId="13" xfId="4" applyFont="1" applyFill="1" applyBorder="1" applyAlignment="1">
      <alignment horizontal="center"/>
    </xf>
    <xf numFmtId="0" fontId="42" fillId="3" borderId="72" xfId="4" applyFont="1" applyFill="1" applyBorder="1" applyAlignment="1">
      <alignment horizontal="center"/>
    </xf>
    <xf numFmtId="0" fontId="42" fillId="3" borderId="73" xfId="4" applyFont="1" applyFill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60" xfId="0" applyBorder="1" applyAlignment="1">
      <alignment horizontal="center"/>
    </xf>
    <xf numFmtId="0" fontId="2" fillId="0" borderId="93" xfId="0" applyFont="1" applyBorder="1" applyAlignment="1">
      <alignment horizontal="center"/>
    </xf>
    <xf numFmtId="0" fontId="2" fillId="0" borderId="75" xfId="0" applyFont="1" applyBorder="1" applyAlignment="1">
      <alignment horizontal="center"/>
    </xf>
    <xf numFmtId="0" fontId="2" fillId="0" borderId="94" xfId="0" applyFont="1" applyBorder="1" applyAlignment="1">
      <alignment horizontal="center"/>
    </xf>
    <xf numFmtId="0" fontId="2" fillId="0" borderId="91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0" fillId="0" borderId="59" xfId="0" applyBorder="1" applyAlignment="1">
      <alignment horizontal="left"/>
    </xf>
    <xf numFmtId="0" fontId="0" fillId="0" borderId="62" xfId="0" applyBorder="1" applyAlignment="1">
      <alignment horizontal="left"/>
    </xf>
    <xf numFmtId="0" fontId="2" fillId="0" borderId="10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0" fillId="3" borderId="9" xfId="4" applyFont="1" applyFill="1" applyBorder="1" applyAlignment="1">
      <alignment horizontal="center" vertical="top" wrapText="1"/>
    </xf>
    <xf numFmtId="0" fontId="10" fillId="3" borderId="0" xfId="4" applyFont="1" applyFill="1" applyBorder="1" applyAlignment="1">
      <alignment horizontal="center" vertical="top" wrapText="1"/>
    </xf>
    <xf numFmtId="0" fontId="10" fillId="4" borderId="0" xfId="4" applyFont="1" applyFill="1"/>
    <xf numFmtId="0" fontId="10" fillId="3" borderId="9" xfId="4" applyFont="1" applyFill="1" applyBorder="1" applyAlignment="1">
      <alignment horizontal="left" vertical="top"/>
    </xf>
    <xf numFmtId="0" fontId="10" fillId="3" borderId="0" xfId="4" applyFont="1" applyFill="1" applyBorder="1" applyAlignment="1">
      <alignment horizontal="left" vertical="top"/>
    </xf>
    <xf numFmtId="0" fontId="10" fillId="3" borderId="0" xfId="4" applyFont="1" applyFill="1" applyBorder="1" applyAlignment="1">
      <alignment horizontal="center"/>
    </xf>
    <xf numFmtId="0" fontId="44" fillId="3" borderId="0" xfId="4" applyFont="1" applyFill="1" applyBorder="1" applyAlignment="1">
      <alignment horizontal="center" vertical="top" wrapText="1"/>
    </xf>
    <xf numFmtId="0" fontId="44" fillId="3" borderId="56" xfId="4" applyFont="1" applyFill="1" applyBorder="1" applyAlignment="1">
      <alignment horizontal="left" vertical="top"/>
    </xf>
    <xf numFmtId="0" fontId="45" fillId="0" borderId="54" xfId="0" applyFont="1" applyBorder="1" applyAlignment="1">
      <alignment horizontal="left" vertical="top"/>
    </xf>
    <xf numFmtId="0" fontId="45" fillId="0" borderId="27" xfId="0" applyFont="1" applyBorder="1" applyAlignment="1">
      <alignment horizontal="left" vertical="top"/>
    </xf>
    <xf numFmtId="0" fontId="44" fillId="28" borderId="56" xfId="4" applyFont="1" applyFill="1" applyBorder="1" applyAlignment="1">
      <alignment horizontal="left" vertical="top" wrapText="1"/>
    </xf>
    <xf numFmtId="0" fontId="44" fillId="28" borderId="54" xfId="4" applyFont="1" applyFill="1" applyBorder="1" applyAlignment="1">
      <alignment horizontal="left" vertical="top" wrapText="1"/>
    </xf>
    <xf numFmtId="0" fontId="44" fillId="28" borderId="27" xfId="4" applyFont="1" applyFill="1" applyBorder="1" applyAlignment="1">
      <alignment horizontal="left" vertical="top" wrapText="1"/>
    </xf>
    <xf numFmtId="0" fontId="44" fillId="3" borderId="23" xfId="4" applyFont="1" applyFill="1" applyBorder="1" applyAlignment="1">
      <alignment horizontal="left" vertical="top" wrapText="1"/>
    </xf>
    <xf numFmtId="0" fontId="44" fillId="3" borderId="27" xfId="4" applyFont="1" applyFill="1" applyBorder="1" applyAlignment="1">
      <alignment horizontal="left" vertical="top" wrapText="1"/>
    </xf>
    <xf numFmtId="0" fontId="45" fillId="0" borderId="27" xfId="0" applyFont="1" applyBorder="1" applyAlignment="1">
      <alignment horizontal="left" vertical="top" wrapText="1"/>
    </xf>
    <xf numFmtId="0" fontId="44" fillId="3" borderId="81" xfId="4" applyFont="1" applyFill="1" applyBorder="1" applyAlignment="1">
      <alignment horizontal="left" vertical="center"/>
    </xf>
    <xf numFmtId="0" fontId="44" fillId="3" borderId="47" xfId="4" applyFont="1" applyFill="1" applyBorder="1" applyAlignment="1">
      <alignment horizontal="left" vertical="center"/>
    </xf>
    <xf numFmtId="0" fontId="44" fillId="3" borderId="109" xfId="4" applyFont="1" applyFill="1" applyBorder="1" applyAlignment="1">
      <alignment horizontal="left" vertical="center"/>
    </xf>
    <xf numFmtId="0" fontId="44" fillId="3" borderId="79" xfId="4" applyFont="1" applyFill="1" applyBorder="1" applyAlignment="1">
      <alignment horizontal="left" vertical="center" wrapText="1"/>
    </xf>
    <xf numFmtId="0" fontId="44" fillId="3" borderId="48" xfId="4" applyFont="1" applyFill="1" applyBorder="1" applyAlignment="1">
      <alignment horizontal="left" vertical="center" wrapText="1"/>
    </xf>
    <xf numFmtId="0" fontId="44" fillId="3" borderId="70" xfId="4" applyFont="1" applyFill="1" applyBorder="1" applyAlignment="1">
      <alignment horizontal="left" vertical="center" wrapText="1"/>
    </xf>
    <xf numFmtId="0" fontId="44" fillId="3" borderId="79" xfId="4" applyFont="1" applyFill="1" applyBorder="1" applyAlignment="1">
      <alignment vertical="center" wrapText="1"/>
    </xf>
    <xf numFmtId="0" fontId="44" fillId="3" borderId="70" xfId="4" applyFont="1" applyFill="1" applyBorder="1" applyAlignment="1">
      <alignment vertical="center" wrapText="1"/>
    </xf>
    <xf numFmtId="0" fontId="44" fillId="3" borderId="48" xfId="4" applyFont="1" applyFill="1" applyBorder="1" applyAlignment="1">
      <alignment vertical="center" wrapText="1"/>
    </xf>
    <xf numFmtId="0" fontId="44" fillId="28" borderId="79" xfId="4" applyFont="1" applyFill="1" applyBorder="1" applyAlignment="1">
      <alignment horizontal="left" vertical="center" wrapText="1"/>
    </xf>
    <xf numFmtId="0" fontId="44" fillId="28" borderId="70" xfId="4" applyFont="1" applyFill="1" applyBorder="1" applyAlignment="1">
      <alignment horizontal="left" vertical="center" wrapText="1"/>
    </xf>
    <xf numFmtId="0" fontId="44" fillId="28" borderId="48" xfId="4" applyFont="1" applyFill="1" applyBorder="1" applyAlignment="1">
      <alignment horizontal="left" vertical="center" wrapText="1"/>
    </xf>
    <xf numFmtId="0" fontId="44" fillId="3" borderId="10" xfId="4" applyFont="1" applyFill="1" applyBorder="1" applyAlignment="1">
      <alignment horizontal="center" vertical="top" wrapText="1"/>
    </xf>
    <xf numFmtId="0" fontId="44" fillId="3" borderId="74" xfId="4" applyFont="1" applyFill="1" applyBorder="1" applyAlignment="1">
      <alignment horizontal="left" vertical="top"/>
    </xf>
    <xf numFmtId="0" fontId="44" fillId="3" borderId="78" xfId="4" applyFont="1" applyFill="1" applyBorder="1" applyAlignment="1">
      <alignment horizontal="left" vertical="top"/>
    </xf>
    <xf numFmtId="0" fontId="44" fillId="3" borderId="75" xfId="4" applyFont="1" applyFill="1" applyBorder="1" applyAlignment="1">
      <alignment horizontal="left" vertical="top"/>
    </xf>
    <xf numFmtId="0" fontId="44" fillId="28" borderId="6" xfId="4" applyFont="1" applyFill="1" applyBorder="1" applyAlignment="1">
      <alignment horizontal="left" vertical="top"/>
    </xf>
    <xf numFmtId="0" fontId="46" fillId="28" borderId="7" xfId="0" applyFont="1" applyFill="1" applyBorder="1" applyAlignment="1">
      <alignment horizontal="left" vertical="top"/>
    </xf>
    <xf numFmtId="0" fontId="46" fillId="28" borderId="26" xfId="0" applyFont="1" applyFill="1" applyBorder="1" applyAlignment="1">
      <alignment horizontal="left" vertical="top"/>
    </xf>
    <xf numFmtId="0" fontId="47" fillId="4" borderId="76" xfId="4" applyFont="1" applyFill="1" applyBorder="1" applyAlignment="1">
      <alignment horizontal="center"/>
    </xf>
    <xf numFmtId="0" fontId="47" fillId="4" borderId="80" xfId="4" applyFont="1" applyFill="1" applyBorder="1" applyAlignment="1">
      <alignment horizontal="center"/>
    </xf>
    <xf numFmtId="0" fontId="47" fillId="4" borderId="77" xfId="4" applyFont="1" applyFill="1" applyBorder="1" applyAlignment="1">
      <alignment horizontal="center"/>
    </xf>
    <xf numFmtId="0" fontId="44" fillId="3" borderId="23" xfId="4" applyFont="1" applyFill="1" applyBorder="1" applyAlignment="1">
      <alignment horizontal="left" vertical="top"/>
    </xf>
    <xf numFmtId="0" fontId="44" fillId="3" borderId="27" xfId="4" applyFont="1" applyFill="1" applyBorder="1" applyAlignment="1">
      <alignment horizontal="left" vertical="top"/>
    </xf>
    <xf numFmtId="0" fontId="44" fillId="28" borderId="56" xfId="4" applyFont="1" applyFill="1" applyBorder="1" applyAlignment="1">
      <alignment horizontal="left" vertical="top"/>
    </xf>
    <xf numFmtId="0" fontId="46" fillId="28" borderId="54" xfId="0" applyFont="1" applyFill="1" applyBorder="1" applyAlignment="1">
      <alignment horizontal="left" vertical="top"/>
    </xf>
    <xf numFmtId="0" fontId="46" fillId="28" borderId="27" xfId="0" applyFont="1" applyFill="1" applyBorder="1" applyAlignment="1">
      <alignment horizontal="left" vertical="top"/>
    </xf>
    <xf numFmtId="0" fontId="44" fillId="0" borderId="0" xfId="4" applyFont="1" applyFill="1" applyBorder="1" applyAlignment="1">
      <alignment horizontal="left" vertical="top"/>
    </xf>
    <xf numFmtId="0" fontId="45" fillId="0" borderId="0" xfId="0" applyFont="1" applyFill="1" applyBorder="1" applyAlignment="1">
      <alignment horizontal="left" vertical="top"/>
    </xf>
    <xf numFmtId="0" fontId="44" fillId="3" borderId="9" xfId="4" applyFont="1" applyFill="1" applyBorder="1" applyAlignment="1">
      <alignment horizontal="left" vertical="top"/>
    </xf>
    <xf numFmtId="0" fontId="47" fillId="0" borderId="0" xfId="4" applyFont="1" applyFill="1" applyBorder="1" applyAlignment="1">
      <alignment horizontal="left" vertical="top"/>
    </xf>
    <xf numFmtId="0" fontId="47" fillId="0" borderId="0" xfId="4" applyFont="1" applyFill="1" applyBorder="1" applyAlignment="1">
      <alignment horizontal="left" vertical="center" wrapText="1"/>
    </xf>
    <xf numFmtId="0" fontId="47" fillId="4" borderId="0" xfId="4" applyFont="1" applyFill="1" applyBorder="1" applyAlignment="1">
      <alignment horizontal="center"/>
    </xf>
    <xf numFmtId="0" fontId="47" fillId="0" borderId="0" xfId="4" applyFont="1" applyFill="1" applyBorder="1" applyAlignment="1">
      <alignment horizontal="center" vertical="top" wrapText="1"/>
    </xf>
    <xf numFmtId="0" fontId="47" fillId="0" borderId="0" xfId="4" applyFont="1" applyFill="1" applyBorder="1" applyAlignment="1">
      <alignment horizontal="left" vertical="top" wrapText="1"/>
    </xf>
    <xf numFmtId="0" fontId="45" fillId="0" borderId="0" xfId="0" applyFont="1" applyFill="1" applyBorder="1" applyAlignment="1">
      <alignment horizontal="left" vertical="top" wrapText="1"/>
    </xf>
    <xf numFmtId="0" fontId="44" fillId="0" borderId="0" xfId="4" applyFont="1" applyFill="1" applyBorder="1" applyAlignment="1">
      <alignment horizontal="left" vertical="top" wrapText="1"/>
    </xf>
    <xf numFmtId="0" fontId="47" fillId="0" borderId="0" xfId="4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top"/>
    </xf>
    <xf numFmtId="0" fontId="47" fillId="0" borderId="0" xfId="4" applyFont="1" applyFill="1" applyBorder="1" applyAlignment="1">
      <alignment horizontal="left" vertical="center"/>
    </xf>
    <xf numFmtId="0" fontId="44" fillId="0" borderId="137" xfId="4" applyFont="1" applyFill="1" applyBorder="1" applyAlignment="1">
      <alignment horizontal="left" vertical="top"/>
    </xf>
    <xf numFmtId="0" fontId="46" fillId="0" borderId="137" xfId="0" applyFont="1" applyFill="1" applyBorder="1" applyAlignment="1">
      <alignment horizontal="left" vertical="top"/>
    </xf>
    <xf numFmtId="0" fontId="10" fillId="3" borderId="53" xfId="4" applyFont="1" applyFill="1" applyBorder="1" applyAlignment="1">
      <alignment horizontal="left" vertical="top"/>
    </xf>
    <xf numFmtId="0" fontId="10" fillId="3" borderId="70" xfId="4" applyFont="1" applyFill="1" applyBorder="1" applyAlignment="1">
      <alignment horizontal="left" vertical="top"/>
    </xf>
    <xf numFmtId="0" fontId="10" fillId="3" borderId="52" xfId="4" applyFont="1" applyFill="1" applyBorder="1" applyAlignment="1">
      <alignment horizontal="center" vertical="top" wrapText="1"/>
    </xf>
    <xf numFmtId="0" fontId="10" fillId="3" borderId="29" xfId="4" applyFont="1" applyFill="1" applyBorder="1" applyAlignment="1">
      <alignment horizontal="center" vertical="top" wrapText="1"/>
    </xf>
    <xf numFmtId="0" fontId="10" fillId="3" borderId="28" xfId="4" applyFont="1" applyFill="1" applyBorder="1" applyAlignment="1">
      <alignment horizontal="center" vertical="top" wrapText="1"/>
    </xf>
    <xf numFmtId="0" fontId="10" fillId="3" borderId="52" xfId="4" applyFont="1" applyFill="1" applyBorder="1" applyAlignment="1">
      <alignment horizontal="left" vertical="top"/>
    </xf>
    <xf numFmtId="0" fontId="10" fillId="3" borderId="29" xfId="4" applyFont="1" applyFill="1" applyBorder="1" applyAlignment="1">
      <alignment horizontal="left" vertical="top"/>
    </xf>
    <xf numFmtId="0" fontId="10" fillId="3" borderId="50" xfId="4" applyFont="1" applyFill="1" applyBorder="1" applyAlignment="1">
      <alignment horizontal="center" vertical="top" wrapText="1"/>
    </xf>
    <xf numFmtId="0" fontId="10" fillId="3" borderId="69" xfId="4" applyFont="1" applyFill="1" applyBorder="1" applyAlignment="1">
      <alignment horizontal="center" vertical="top" wrapText="1"/>
    </xf>
    <xf numFmtId="0" fontId="10" fillId="3" borderId="49" xfId="4" applyFont="1" applyFill="1" applyBorder="1" applyAlignment="1">
      <alignment horizontal="center" vertical="top" wrapText="1"/>
    </xf>
    <xf numFmtId="0" fontId="10" fillId="3" borderId="51" xfId="4" applyFont="1" applyFill="1" applyBorder="1" applyAlignment="1">
      <alignment horizontal="center" vertical="top" wrapText="1"/>
    </xf>
    <xf numFmtId="0" fontId="10" fillId="3" borderId="55" xfId="4" applyFont="1" applyFill="1" applyBorder="1" applyAlignment="1">
      <alignment horizontal="center" vertical="top" wrapText="1"/>
    </xf>
    <xf numFmtId="0" fontId="10" fillId="3" borderId="23" xfId="4" applyFont="1" applyFill="1" applyBorder="1" applyAlignment="1">
      <alignment horizontal="center" vertical="top" wrapText="1"/>
    </xf>
    <xf numFmtId="0" fontId="10" fillId="3" borderId="54" xfId="4" applyFont="1" applyFill="1" applyBorder="1" applyAlignment="1">
      <alignment horizontal="center" vertical="top" wrapText="1"/>
    </xf>
    <xf numFmtId="0" fontId="10" fillId="3" borderId="27" xfId="4" applyFont="1" applyFill="1" applyBorder="1" applyAlignment="1">
      <alignment horizontal="center" vertical="top" wrapText="1"/>
    </xf>
    <xf numFmtId="0" fontId="10" fillId="3" borderId="15" xfId="4" applyFont="1" applyFill="1" applyBorder="1" applyAlignment="1">
      <alignment horizontal="center" vertical="top" wrapText="1"/>
    </xf>
    <xf numFmtId="0" fontId="10" fillId="3" borderId="22" xfId="4" applyFont="1" applyFill="1" applyBorder="1" applyAlignment="1">
      <alignment horizontal="center" vertical="top" wrapText="1"/>
    </xf>
    <xf numFmtId="0" fontId="10" fillId="3" borderId="16" xfId="4" applyFont="1" applyFill="1" applyBorder="1" applyAlignment="1">
      <alignment horizontal="center" vertical="top" wrapText="1"/>
    </xf>
    <xf numFmtId="0" fontId="10" fillId="3" borderId="23" xfId="4" applyFont="1" applyFill="1" applyBorder="1" applyAlignment="1">
      <alignment horizontal="center"/>
    </xf>
    <xf numFmtId="0" fontId="10" fillId="3" borderId="54" xfId="4" applyFont="1" applyFill="1" applyBorder="1" applyAlignment="1">
      <alignment horizontal="center"/>
    </xf>
    <xf numFmtId="0" fontId="44" fillId="3" borderId="25" xfId="4" applyFont="1" applyFill="1" applyBorder="1" applyAlignment="1">
      <alignment horizontal="center" vertical="top" wrapText="1"/>
    </xf>
    <xf numFmtId="0" fontId="44" fillId="3" borderId="28" xfId="4" applyFont="1" applyFill="1" applyBorder="1" applyAlignment="1">
      <alignment horizontal="center" vertical="top" wrapText="1"/>
    </xf>
    <xf numFmtId="0" fontId="44" fillId="3" borderId="76" xfId="4" applyFont="1" applyFill="1" applyBorder="1" applyAlignment="1">
      <alignment horizontal="center" vertical="top" wrapText="1"/>
    </xf>
    <xf numFmtId="0" fontId="44" fillId="3" borderId="80" xfId="4" applyFont="1" applyFill="1" applyBorder="1" applyAlignment="1">
      <alignment horizontal="center" vertical="top" wrapText="1"/>
    </xf>
    <xf numFmtId="0" fontId="44" fillId="3" borderId="77" xfId="4" applyFont="1" applyFill="1" applyBorder="1" applyAlignment="1">
      <alignment horizontal="center" vertical="top" wrapText="1"/>
    </xf>
    <xf numFmtId="0" fontId="44" fillId="0" borderId="56" xfId="4" applyFont="1" applyFill="1" applyBorder="1" applyAlignment="1">
      <alignment horizontal="left" vertical="top"/>
    </xf>
    <xf numFmtId="0" fontId="45" fillId="0" borderId="54" xfId="0" applyFont="1" applyFill="1" applyBorder="1" applyAlignment="1">
      <alignment horizontal="left" vertical="top"/>
    </xf>
    <xf numFmtId="0" fontId="45" fillId="0" borderId="27" xfId="0" applyFont="1" applyFill="1" applyBorder="1" applyAlignment="1">
      <alignment horizontal="left" vertical="top"/>
    </xf>
    <xf numFmtId="0" fontId="47" fillId="0" borderId="56" xfId="4" applyFont="1" applyFill="1" applyBorder="1" applyAlignment="1">
      <alignment horizontal="left" vertical="top"/>
    </xf>
    <xf numFmtId="0" fontId="47" fillId="0" borderId="79" xfId="4" applyFont="1" applyFill="1" applyBorder="1" applyAlignment="1">
      <alignment horizontal="left" vertical="center" wrapText="1"/>
    </xf>
    <xf numFmtId="0" fontId="47" fillId="0" borderId="70" xfId="4" applyFont="1" applyFill="1" applyBorder="1" applyAlignment="1">
      <alignment horizontal="left" vertical="center" wrapText="1"/>
    </xf>
    <xf numFmtId="0" fontId="47" fillId="0" borderId="48" xfId="4" applyFont="1" applyFill="1" applyBorder="1" applyAlignment="1">
      <alignment horizontal="left" vertical="center" wrapText="1"/>
    </xf>
    <xf numFmtId="0" fontId="47" fillId="0" borderId="10" xfId="4" applyFont="1" applyFill="1" applyBorder="1" applyAlignment="1">
      <alignment horizontal="center" vertical="top" wrapText="1"/>
    </xf>
    <xf numFmtId="0" fontId="47" fillId="0" borderId="23" xfId="4" applyFont="1" applyFill="1" applyBorder="1" applyAlignment="1">
      <alignment horizontal="left" vertical="top" wrapText="1"/>
    </xf>
    <xf numFmtId="0" fontId="45" fillId="0" borderId="27" xfId="0" applyFont="1" applyFill="1" applyBorder="1" applyAlignment="1">
      <alignment horizontal="left" vertical="top" wrapText="1"/>
    </xf>
    <xf numFmtId="0" fontId="47" fillId="0" borderId="27" xfId="4" applyFont="1" applyFill="1" applyBorder="1" applyAlignment="1">
      <alignment horizontal="left" vertical="top" wrapText="1"/>
    </xf>
    <xf numFmtId="0" fontId="44" fillId="0" borderId="56" xfId="4" applyFont="1" applyFill="1" applyBorder="1" applyAlignment="1">
      <alignment horizontal="left" vertical="top" wrapText="1"/>
    </xf>
    <xf numFmtId="0" fontId="44" fillId="0" borderId="54" xfId="4" applyFont="1" applyFill="1" applyBorder="1" applyAlignment="1">
      <alignment horizontal="left" vertical="top" wrapText="1"/>
    </xf>
    <xf numFmtId="0" fontId="44" fillId="0" borderId="27" xfId="4" applyFont="1" applyFill="1" applyBorder="1" applyAlignment="1">
      <alignment horizontal="left" vertical="top" wrapText="1"/>
    </xf>
    <xf numFmtId="0" fontId="47" fillId="0" borderId="23" xfId="4" applyFont="1" applyFill="1" applyBorder="1" applyAlignment="1">
      <alignment horizontal="left" vertical="top"/>
    </xf>
    <xf numFmtId="0" fontId="47" fillId="0" borderId="27" xfId="4" applyFont="1" applyFill="1" applyBorder="1" applyAlignment="1">
      <alignment horizontal="left" vertical="top"/>
    </xf>
    <xf numFmtId="0" fontId="47" fillId="0" borderId="79" xfId="4" applyFont="1" applyFill="1" applyBorder="1" applyAlignment="1">
      <alignment vertical="center" wrapText="1"/>
    </xf>
    <xf numFmtId="0" fontId="47" fillId="0" borderId="70" xfId="4" applyFont="1" applyFill="1" applyBorder="1" applyAlignment="1">
      <alignment vertical="center" wrapText="1"/>
    </xf>
    <xf numFmtId="0" fontId="47" fillId="0" borderId="48" xfId="4" applyFont="1" applyFill="1" applyBorder="1" applyAlignment="1">
      <alignment vertical="center" wrapText="1"/>
    </xf>
    <xf numFmtId="0" fontId="46" fillId="0" borderId="54" xfId="0" applyFont="1" applyFill="1" applyBorder="1" applyAlignment="1">
      <alignment horizontal="left" vertical="top"/>
    </xf>
    <xf numFmtId="0" fontId="46" fillId="0" borderId="27" xfId="0" applyFont="1" applyFill="1" applyBorder="1" applyAlignment="1">
      <alignment horizontal="left" vertical="top"/>
    </xf>
    <xf numFmtId="0" fontId="47" fillId="0" borderId="81" xfId="4" applyFont="1" applyFill="1" applyBorder="1" applyAlignment="1">
      <alignment horizontal="left" vertical="center"/>
    </xf>
    <xf numFmtId="0" fontId="47" fillId="0" borderId="47" xfId="4" applyFont="1" applyFill="1" applyBorder="1" applyAlignment="1">
      <alignment horizontal="left" vertical="center"/>
    </xf>
    <xf numFmtId="0" fontId="47" fillId="0" borderId="109" xfId="4" applyFont="1" applyFill="1" applyBorder="1" applyAlignment="1">
      <alignment horizontal="left" vertical="center"/>
    </xf>
    <xf numFmtId="0" fontId="44" fillId="0" borderId="6" xfId="4" applyFont="1" applyFill="1" applyBorder="1" applyAlignment="1">
      <alignment horizontal="left" vertical="top"/>
    </xf>
    <xf numFmtId="0" fontId="46" fillId="0" borderId="7" xfId="0" applyFont="1" applyFill="1" applyBorder="1" applyAlignment="1">
      <alignment horizontal="left" vertical="top"/>
    </xf>
    <xf numFmtId="0" fontId="46" fillId="0" borderId="26" xfId="0" applyFont="1" applyFill="1" applyBorder="1" applyAlignment="1">
      <alignment horizontal="left" vertical="top"/>
    </xf>
    <xf numFmtId="0" fontId="44" fillId="3" borderId="56" xfId="4" applyFont="1" applyFill="1" applyBorder="1" applyAlignment="1">
      <alignment horizontal="left" vertical="top" wrapText="1"/>
    </xf>
    <xf numFmtId="0" fontId="44" fillId="3" borderId="54" xfId="4" applyFont="1" applyFill="1" applyBorder="1" applyAlignment="1">
      <alignment horizontal="left" vertical="top" wrapText="1"/>
    </xf>
    <xf numFmtId="0" fontId="44" fillId="3" borderId="79" xfId="4" applyFont="1" applyFill="1" applyBorder="1" applyAlignment="1">
      <alignment horizontal="left" vertical="center"/>
    </xf>
    <xf numFmtId="0" fontId="44" fillId="3" borderId="70" xfId="4" applyFont="1" applyFill="1" applyBorder="1" applyAlignment="1">
      <alignment horizontal="left" vertical="center"/>
    </xf>
    <xf numFmtId="0" fontId="44" fillId="3" borderId="48" xfId="4" applyFont="1" applyFill="1" applyBorder="1" applyAlignment="1">
      <alignment horizontal="left" vertical="center"/>
    </xf>
    <xf numFmtId="0" fontId="2" fillId="0" borderId="27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top" wrapText="1"/>
    </xf>
    <xf numFmtId="0" fontId="2" fillId="0" borderId="11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top"/>
    </xf>
    <xf numFmtId="0" fontId="2" fillId="3" borderId="137" xfId="0" applyFont="1" applyFill="1" applyBorder="1" applyAlignment="1">
      <alignment horizontal="left" vertical="top"/>
    </xf>
    <xf numFmtId="180" fontId="41" fillId="3" borderId="137" xfId="0" applyNumberFormat="1" applyFont="1" applyFill="1" applyBorder="1" applyAlignment="1"/>
    <xf numFmtId="14" fontId="2" fillId="29" borderId="9" xfId="0" applyNumberFormat="1" applyFont="1" applyFill="1" applyBorder="1"/>
    <xf numFmtId="0" fontId="2" fillId="29" borderId="9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top"/>
    </xf>
    <xf numFmtId="0" fontId="0" fillId="0" borderId="109" xfId="0" applyFont="1" applyBorder="1" applyAlignment="1">
      <alignment horizontal="left" vertical="top"/>
    </xf>
    <xf numFmtId="0" fontId="0" fillId="0" borderId="51" xfId="0" applyFont="1" applyBorder="1" applyAlignment="1">
      <alignment horizontal="left" vertical="top"/>
    </xf>
    <xf numFmtId="0" fontId="0" fillId="0" borderId="113" xfId="0" applyFont="1" applyBorder="1" applyAlignment="1">
      <alignment horizontal="left" vertical="top"/>
    </xf>
    <xf numFmtId="180" fontId="38" fillId="0" borderId="28" xfId="0" applyNumberFormat="1" applyFont="1" applyFill="1" applyBorder="1" applyAlignment="1"/>
    <xf numFmtId="180" fontId="38" fillId="0" borderId="77" xfId="0" applyNumberFormat="1" applyFont="1" applyFill="1" applyBorder="1" applyAlignment="1"/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0" borderId="17" xfId="0" applyFont="1" applyBorder="1" applyAlignment="1">
      <alignment horizontal="left"/>
    </xf>
    <xf numFmtId="0" fontId="0" fillId="0" borderId="116" xfId="0" applyFont="1" applyBorder="1" applyAlignment="1">
      <alignment horizontal="left"/>
    </xf>
    <xf numFmtId="10" fontId="0" fillId="0" borderId="116" xfId="0" applyNumberFormat="1" applyFont="1" applyBorder="1"/>
    <xf numFmtId="0" fontId="0" fillId="0" borderId="116" xfId="0" applyFont="1" applyBorder="1"/>
    <xf numFmtId="6" fontId="1" fillId="0" borderId="18" xfId="2" applyNumberFormat="1" applyFont="1" applyBorder="1"/>
    <xf numFmtId="0" fontId="0" fillId="0" borderId="123" xfId="0" applyFont="1" applyBorder="1" applyAlignment="1">
      <alignment horizontal="left"/>
    </xf>
    <xf numFmtId="0" fontId="0" fillId="0" borderId="121" xfId="0" applyFont="1" applyBorder="1" applyAlignment="1">
      <alignment horizontal="left"/>
    </xf>
    <xf numFmtId="10" fontId="0" fillId="0" borderId="121" xfId="0" applyNumberFormat="1" applyFont="1" applyBorder="1"/>
    <xf numFmtId="0" fontId="0" fillId="0" borderId="121" xfId="0" applyFont="1" applyBorder="1"/>
    <xf numFmtId="6" fontId="1" fillId="0" borderId="122" xfId="2" applyNumberFormat="1" applyFont="1" applyBorder="1"/>
    <xf numFmtId="0" fontId="0" fillId="0" borderId="29" xfId="0" applyFill="1" applyBorder="1"/>
  </cellXfs>
  <cellStyles count="386">
    <cellStyle name="20% - Énfasis1 2" xfId="5"/>
    <cellStyle name="20% - Énfasis1 2 2" xfId="6"/>
    <cellStyle name="20% - Énfasis1 2 3" xfId="7"/>
    <cellStyle name="20% - Énfasis1 2 4" xfId="8"/>
    <cellStyle name="20% - Énfasis1 2_Auditoría Dción IVA Jen Colombia-Bim 03 2010" xfId="9"/>
    <cellStyle name="20% - Énfasis1 3" xfId="10"/>
    <cellStyle name="20% - Énfasis1 4" xfId="11"/>
    <cellStyle name="20% - Énfasis2 2" xfId="12"/>
    <cellStyle name="20% - Énfasis2 2 2" xfId="13"/>
    <cellStyle name="20% - Énfasis2 2 3" xfId="14"/>
    <cellStyle name="20% - Énfasis2 2 4" xfId="15"/>
    <cellStyle name="20% - Énfasis2 2_Auditoría Dción IVA Jen Colombia-Bim 03 2010" xfId="16"/>
    <cellStyle name="20% - Énfasis2 3" xfId="17"/>
    <cellStyle name="20% - Énfasis2 4" xfId="18"/>
    <cellStyle name="20% - Énfasis3 2" xfId="19"/>
    <cellStyle name="20% - Énfasis3 2 2" xfId="20"/>
    <cellStyle name="20% - Énfasis3 2 3" xfId="21"/>
    <cellStyle name="20% - Énfasis3 2 4" xfId="22"/>
    <cellStyle name="20% - Énfasis3 2_Auditoría Dción IVA Jen Colombia-Bim 03 2010" xfId="23"/>
    <cellStyle name="20% - Énfasis3 3" xfId="24"/>
    <cellStyle name="20% - Énfasis3 4" xfId="25"/>
    <cellStyle name="20% - Énfasis4 2" xfId="26"/>
    <cellStyle name="20% - Énfasis4 2 2" xfId="27"/>
    <cellStyle name="20% - Énfasis4 2 3" xfId="28"/>
    <cellStyle name="20% - Énfasis4 2 4" xfId="29"/>
    <cellStyle name="20% - Énfasis4 2_Auditoría Dción IVA Jen Colombia-Bim 03 2010" xfId="30"/>
    <cellStyle name="20% - Énfasis4 3" xfId="31"/>
    <cellStyle name="20% - Énfasis4 4" xfId="32"/>
    <cellStyle name="20% - Énfasis5 2" xfId="33"/>
    <cellStyle name="20% - Énfasis5 2 2" xfId="34"/>
    <cellStyle name="20% - Énfasis5 2 3" xfId="35"/>
    <cellStyle name="20% - Énfasis5 2 4" xfId="36"/>
    <cellStyle name="20% - Énfasis5 2_Auditoría Dción IVA Jen Colombia-Bim 03 2010" xfId="37"/>
    <cellStyle name="20% - Énfasis5 3" xfId="38"/>
    <cellStyle name="20% - Énfasis5 4" xfId="39"/>
    <cellStyle name="20% - Énfasis6 2" xfId="40"/>
    <cellStyle name="20% - Énfasis6 2 2" xfId="41"/>
    <cellStyle name="20% - Énfasis6 2 3" xfId="42"/>
    <cellStyle name="20% - Énfasis6 2 4" xfId="43"/>
    <cellStyle name="20% - Énfasis6 2_Auditoría Dción IVA Jen Colombia-Bim 03 2010" xfId="44"/>
    <cellStyle name="20% - Énfasis6 3" xfId="45"/>
    <cellStyle name="20% - Énfasis6 4" xfId="46"/>
    <cellStyle name="40% - Énfasis1 2" xfId="47"/>
    <cellStyle name="40% - Énfasis1 2 2" xfId="48"/>
    <cellStyle name="40% - Énfasis1 2 3" xfId="49"/>
    <cellStyle name="40% - Énfasis1 2 4" xfId="50"/>
    <cellStyle name="40% - Énfasis1 2_Auditoría Dción IVA Jen Colombia-Bim 03 2010" xfId="51"/>
    <cellStyle name="40% - Énfasis1 3" xfId="52"/>
    <cellStyle name="40% - Énfasis1 4" xfId="53"/>
    <cellStyle name="40% - Énfasis2 2" xfId="54"/>
    <cellStyle name="40% - Énfasis2 2 2" xfId="55"/>
    <cellStyle name="40% - Énfasis2 2 3" xfId="56"/>
    <cellStyle name="40% - Énfasis2 2 4" xfId="57"/>
    <cellStyle name="40% - Énfasis2 2_Auditoría Dción IVA Jen Colombia-Bim 03 2010" xfId="58"/>
    <cellStyle name="40% - Énfasis2 3" xfId="59"/>
    <cellStyle name="40% - Énfasis2 4" xfId="60"/>
    <cellStyle name="40% - Énfasis3 2" xfId="61"/>
    <cellStyle name="40% - Énfasis3 2 2" xfId="62"/>
    <cellStyle name="40% - Énfasis3 2 3" xfId="63"/>
    <cellStyle name="40% - Énfasis3 2 4" xfId="64"/>
    <cellStyle name="40% - Énfasis3 2_Auditoría Dción IVA Jen Colombia-Bim 03 2010" xfId="65"/>
    <cellStyle name="40% - Énfasis3 3" xfId="66"/>
    <cellStyle name="40% - Énfasis3 4" xfId="67"/>
    <cellStyle name="40% - Énfasis4 2" xfId="68"/>
    <cellStyle name="40% - Énfasis4 2 2" xfId="69"/>
    <cellStyle name="40% - Énfasis4 2 3" xfId="70"/>
    <cellStyle name="40% - Énfasis4 2 4" xfId="71"/>
    <cellStyle name="40% - Énfasis4 2_Auditoría Dción IVA Jen Colombia-Bim 03 2010" xfId="72"/>
    <cellStyle name="40% - Énfasis4 3" xfId="73"/>
    <cellStyle name="40% - Énfasis4 4" xfId="74"/>
    <cellStyle name="40% - Énfasis5 2" xfId="75"/>
    <cellStyle name="40% - Énfasis5 2 2" xfId="76"/>
    <cellStyle name="40% - Énfasis5 2 3" xfId="77"/>
    <cellStyle name="40% - Énfasis5 2 4" xfId="78"/>
    <cellStyle name="40% - Énfasis5 2_Auditoría Dción IVA Jen Colombia-Bim 03 2010" xfId="79"/>
    <cellStyle name="40% - Énfasis5 3" xfId="80"/>
    <cellStyle name="40% - Énfasis5 4" xfId="81"/>
    <cellStyle name="40% - Énfasis6 2" xfId="82"/>
    <cellStyle name="40% - Énfasis6 2 2" xfId="83"/>
    <cellStyle name="40% - Énfasis6 2 3" xfId="84"/>
    <cellStyle name="40% - Énfasis6 2 4" xfId="85"/>
    <cellStyle name="40% - Énfasis6 2_Auditoría Dción IVA Jen Colombia-Bim 03 2010" xfId="86"/>
    <cellStyle name="40% - Énfasis6 3" xfId="87"/>
    <cellStyle name="40% - Énfasis6 4" xfId="88"/>
    <cellStyle name="60% - Énfasis1 2" xfId="89"/>
    <cellStyle name="60% - Énfasis1 2 2" xfId="90"/>
    <cellStyle name="60% - Énfasis1 2 3" xfId="91"/>
    <cellStyle name="60% - Énfasis1 2 4" xfId="92"/>
    <cellStyle name="60% - Énfasis1 2_Auditoría Dción IVA Jen Colombia-Bim 03 2010" xfId="93"/>
    <cellStyle name="60% - Énfasis1 3" xfId="94"/>
    <cellStyle name="60% - Énfasis1 4" xfId="95"/>
    <cellStyle name="60% - Énfasis2 2" xfId="96"/>
    <cellStyle name="60% - Énfasis2 2 2" xfId="97"/>
    <cellStyle name="60% - Énfasis2 2 3" xfId="98"/>
    <cellStyle name="60% - Énfasis2 2 4" xfId="99"/>
    <cellStyle name="60% - Énfasis2 2_Auditoría Dción IVA Jen Colombia-Bim 03 2010" xfId="100"/>
    <cellStyle name="60% - Énfasis2 3" xfId="101"/>
    <cellStyle name="60% - Énfasis2 4" xfId="102"/>
    <cellStyle name="60% - Énfasis3 2" xfId="103"/>
    <cellStyle name="60% - Énfasis3 2 2" xfId="104"/>
    <cellStyle name="60% - Énfasis3 2 3" xfId="105"/>
    <cellStyle name="60% - Énfasis3 2 4" xfId="106"/>
    <cellStyle name="60% - Énfasis3 2_Auditoría Dción IVA Jen Colombia-Bim 03 2010" xfId="107"/>
    <cellStyle name="60% - Énfasis3 3" xfId="108"/>
    <cellStyle name="60% - Énfasis3 4" xfId="109"/>
    <cellStyle name="60% - Énfasis4 2" xfId="110"/>
    <cellStyle name="60% - Énfasis4 2 2" xfId="111"/>
    <cellStyle name="60% - Énfasis4 2 3" xfId="112"/>
    <cellStyle name="60% - Énfasis4 2 4" xfId="113"/>
    <cellStyle name="60% - Énfasis4 2_Auditoría Dción IVA Jen Colombia-Bim 03 2010" xfId="114"/>
    <cellStyle name="60% - Énfasis4 3" xfId="115"/>
    <cellStyle name="60% - Énfasis4 4" xfId="116"/>
    <cellStyle name="60% - Énfasis5 2" xfId="117"/>
    <cellStyle name="60% - Énfasis5 2 2" xfId="118"/>
    <cellStyle name="60% - Énfasis5 2 3" xfId="119"/>
    <cellStyle name="60% - Énfasis5 2 4" xfId="120"/>
    <cellStyle name="60% - Énfasis5 2_Auditoría Dción IVA Jen Colombia-Bim 03 2010" xfId="121"/>
    <cellStyle name="60% - Énfasis5 3" xfId="122"/>
    <cellStyle name="60% - Énfasis5 4" xfId="123"/>
    <cellStyle name="60% - Énfasis6 2" xfId="124"/>
    <cellStyle name="60% - Énfasis6 2 2" xfId="125"/>
    <cellStyle name="60% - Énfasis6 2 3" xfId="126"/>
    <cellStyle name="60% - Énfasis6 2 4" xfId="127"/>
    <cellStyle name="60% - Énfasis6 2_Auditoría Dción IVA Jen Colombia-Bim 03 2010" xfId="128"/>
    <cellStyle name="60% - Énfasis6 3" xfId="129"/>
    <cellStyle name="60% - Énfasis6 4" xfId="130"/>
    <cellStyle name="Buena 2" xfId="131"/>
    <cellStyle name="Buena 2 2" xfId="132"/>
    <cellStyle name="Buena 2 3" xfId="133"/>
    <cellStyle name="Buena 2 4" xfId="134"/>
    <cellStyle name="Buena 2_Auditoría Dción IVA Jen Colombia-Bim 03 2010" xfId="135"/>
    <cellStyle name="Buena 3" xfId="136"/>
    <cellStyle name="Buena 4" xfId="137"/>
    <cellStyle name="Cálculo 2" xfId="138"/>
    <cellStyle name="Cálculo 2 2" xfId="139"/>
    <cellStyle name="Cálculo 2 3" xfId="140"/>
    <cellStyle name="Cálculo 2 4" xfId="141"/>
    <cellStyle name="Cálculo 2_Auditoría Dción IVA Jen Colombia-Bim 03 2010" xfId="142"/>
    <cellStyle name="Cálculo 3" xfId="143"/>
    <cellStyle name="Cálculo 4" xfId="144"/>
    <cellStyle name="Celda de comprobación 2" xfId="145"/>
    <cellStyle name="Celda de comprobación 2 2" xfId="146"/>
    <cellStyle name="Celda de comprobación 2 3" xfId="147"/>
    <cellStyle name="Celda de comprobación 2 4" xfId="148"/>
    <cellStyle name="Celda de comprobación 2_Auditoría Dción IVA Jen Colombia-Bim 03 2010" xfId="149"/>
    <cellStyle name="Celda de comprobación 3" xfId="150"/>
    <cellStyle name="Celda de comprobación 4" xfId="151"/>
    <cellStyle name="Celda vinculada 2" xfId="152"/>
    <cellStyle name="Celda vinculada 2 2" xfId="153"/>
    <cellStyle name="Celda vinculada 2 3" xfId="154"/>
    <cellStyle name="Celda vinculada 2 4" xfId="155"/>
    <cellStyle name="Celda vinculada 2_Auditoría Dción IVA Jen Colombia-Bim 03 2010" xfId="156"/>
    <cellStyle name="Celda vinculada 3" xfId="157"/>
    <cellStyle name="Celda vinculada 4" xfId="158"/>
    <cellStyle name="DigitarValor" xfId="159"/>
    <cellStyle name="Encabezado 4 2" xfId="160"/>
    <cellStyle name="Encabezado 4 2 2" xfId="161"/>
    <cellStyle name="Encabezado 4 2 3" xfId="162"/>
    <cellStyle name="Encabezado 4 2 4" xfId="163"/>
    <cellStyle name="Encabezado 4 2_Auditoría Dción IVA Jen Colombia-Bim 03 2010" xfId="164"/>
    <cellStyle name="Encabezado 4 3" xfId="165"/>
    <cellStyle name="Encabezado 4 4" xfId="166"/>
    <cellStyle name="Énfasis1 2" xfId="167"/>
    <cellStyle name="Énfasis1 2 2" xfId="168"/>
    <cellStyle name="Énfasis1 2 3" xfId="169"/>
    <cellStyle name="Énfasis1 2 4" xfId="170"/>
    <cellStyle name="Énfasis1 2_Auditoría Dción IVA Jen Colombia-Bim 03 2010" xfId="171"/>
    <cellStyle name="Énfasis1 3" xfId="172"/>
    <cellStyle name="Énfasis1 4" xfId="173"/>
    <cellStyle name="Énfasis2 2" xfId="174"/>
    <cellStyle name="Énfasis2 2 2" xfId="175"/>
    <cellStyle name="Énfasis2 2 3" xfId="176"/>
    <cellStyle name="Énfasis2 2 4" xfId="177"/>
    <cellStyle name="Énfasis2 2_Auditoría Dción IVA Jen Colombia-Bim 03 2010" xfId="178"/>
    <cellStyle name="Énfasis2 3" xfId="179"/>
    <cellStyle name="Énfasis2 4" xfId="180"/>
    <cellStyle name="Énfasis3 2" xfId="181"/>
    <cellStyle name="Énfasis3 2 2" xfId="182"/>
    <cellStyle name="Énfasis3 2 3" xfId="183"/>
    <cellStyle name="Énfasis3 2 4" xfId="184"/>
    <cellStyle name="Énfasis3 2_Auditoría Dción IVA Jen Colombia-Bim 03 2010" xfId="185"/>
    <cellStyle name="Énfasis3 3" xfId="186"/>
    <cellStyle name="Énfasis3 4" xfId="187"/>
    <cellStyle name="Énfasis4 2" xfId="188"/>
    <cellStyle name="Énfasis4 2 2" xfId="189"/>
    <cellStyle name="Énfasis4 2 3" xfId="190"/>
    <cellStyle name="Énfasis4 2 4" xfId="191"/>
    <cellStyle name="Énfasis4 2_Auditoría Dción IVA Jen Colombia-Bim 03 2010" xfId="192"/>
    <cellStyle name="Énfasis4 3" xfId="193"/>
    <cellStyle name="Énfasis4 4" xfId="194"/>
    <cellStyle name="Énfasis5 2" xfId="195"/>
    <cellStyle name="Énfasis5 2 2" xfId="196"/>
    <cellStyle name="Énfasis5 2 3" xfId="197"/>
    <cellStyle name="Énfasis5 2 4" xfId="198"/>
    <cellStyle name="Énfasis5 2_Auditoría Dción IVA Jen Colombia-Bim 03 2010" xfId="199"/>
    <cellStyle name="Énfasis5 3" xfId="200"/>
    <cellStyle name="Énfasis5 4" xfId="201"/>
    <cellStyle name="Énfasis6 2" xfId="202"/>
    <cellStyle name="Énfasis6 2 2" xfId="203"/>
    <cellStyle name="Énfasis6 2 3" xfId="204"/>
    <cellStyle name="Énfasis6 2 4" xfId="205"/>
    <cellStyle name="Énfasis6 2_Auditoría Dción IVA Jen Colombia-Bim 03 2010" xfId="206"/>
    <cellStyle name="Énfasis6 3" xfId="207"/>
    <cellStyle name="Énfasis6 4" xfId="208"/>
    <cellStyle name="Entrada 2" xfId="209"/>
    <cellStyle name="Entrada 2 2" xfId="210"/>
    <cellStyle name="Entrada 2 3" xfId="211"/>
    <cellStyle name="Entrada 2 4" xfId="212"/>
    <cellStyle name="Entrada 2_Auditoría Dción IVA Jen Colombia-Bim 03 2010" xfId="213"/>
    <cellStyle name="Entrada 3" xfId="214"/>
    <cellStyle name="Entrada 4" xfId="215"/>
    <cellStyle name="Estilo 1" xfId="216"/>
    <cellStyle name="Euro" xfId="217"/>
    <cellStyle name="Euro 2" xfId="218"/>
    <cellStyle name="Euro 2 2" xfId="219"/>
    <cellStyle name="Euro 2 2 2" xfId="220"/>
    <cellStyle name="Euro 2 3" xfId="221"/>
    <cellStyle name="Euro 3" xfId="222"/>
    <cellStyle name="Euro 3 2" xfId="223"/>
    <cellStyle name="Euro 3 2 2" xfId="224"/>
    <cellStyle name="Euro 3 3" xfId="225"/>
    <cellStyle name="Euro 4" xfId="226"/>
    <cellStyle name="Euro 4 2" xfId="227"/>
    <cellStyle name="Euro 5" xfId="228"/>
    <cellStyle name="Hipervínculo" xfId="377" builtinId="8"/>
    <cellStyle name="Hipervínculo 2" xfId="229"/>
    <cellStyle name="Hipervínculo 2 2" xfId="230"/>
    <cellStyle name="Hipervínculo 2 3" xfId="231"/>
    <cellStyle name="Hipervínculo 2_Proyecto Declaración Renta Jen Colombia 2011-Noviembre" xfId="232"/>
    <cellStyle name="Hipervínculo 3" xfId="233"/>
    <cellStyle name="Hipervínculo visitado 2" xfId="234"/>
    <cellStyle name="Hyperlink" xfId="235"/>
    <cellStyle name="Incorrecto 2" xfId="236"/>
    <cellStyle name="Incorrecto 2 2" xfId="237"/>
    <cellStyle name="Incorrecto 2 3" xfId="238"/>
    <cellStyle name="Incorrecto 2 4" xfId="239"/>
    <cellStyle name="Incorrecto 2_Auditoría Dción IVA Jen Colombia-Bim 03 2010" xfId="240"/>
    <cellStyle name="Incorrecto 3" xfId="241"/>
    <cellStyle name="Incorrecto 4" xfId="242"/>
    <cellStyle name="Millares" xfId="1" builtinId="3"/>
    <cellStyle name="Millares [0] 2" xfId="243"/>
    <cellStyle name="Millares 10" xfId="244"/>
    <cellStyle name="Millares 11" xfId="245"/>
    <cellStyle name="Millares 12" xfId="379"/>
    <cellStyle name="Millares 13" xfId="383"/>
    <cellStyle name="Millares 2" xfId="246"/>
    <cellStyle name="Millares 2 2" xfId="247"/>
    <cellStyle name="Millares 2 2 2" xfId="248"/>
    <cellStyle name="Millares 2 3" xfId="249"/>
    <cellStyle name="Millares 2 4" xfId="250"/>
    <cellStyle name="Millares 2 5" xfId="251"/>
    <cellStyle name="Millares 2 5 2" xfId="252"/>
    <cellStyle name="Millares 2_BP Dic-09" xfId="253"/>
    <cellStyle name="Millares 3" xfId="254"/>
    <cellStyle name="Millares 3 2" xfId="255"/>
    <cellStyle name="Millares 4" xfId="256"/>
    <cellStyle name="Millares 5" xfId="257"/>
    <cellStyle name="Millares 6" xfId="258"/>
    <cellStyle name="Millares 7" xfId="259"/>
    <cellStyle name="Millares 7 2" xfId="260"/>
    <cellStyle name="Millares 8" xfId="261"/>
    <cellStyle name="Millares 9" xfId="262"/>
    <cellStyle name="Moneda" xfId="3" builtinId="4"/>
    <cellStyle name="Moneda 2" xfId="263"/>
    <cellStyle name="Moneda 2 2" xfId="264"/>
    <cellStyle name="Moneda 2 3" xfId="265"/>
    <cellStyle name="Neutral 2" xfId="266"/>
    <cellStyle name="Neutral 2 2" xfId="267"/>
    <cellStyle name="Neutral 2 3" xfId="268"/>
    <cellStyle name="Neutral 2 4" xfId="269"/>
    <cellStyle name="Neutral 2_Auditoría Dción IVA Jen Colombia-Bim 03 2010" xfId="270"/>
    <cellStyle name="Neutral 3" xfId="271"/>
    <cellStyle name="Neutral 4" xfId="272"/>
    <cellStyle name="Normal" xfId="0" builtinId="0"/>
    <cellStyle name="Normal - Modelo1" xfId="273"/>
    <cellStyle name="Normal 10" xfId="274"/>
    <cellStyle name="Normal 10 2" xfId="275"/>
    <cellStyle name="Normal 11" xfId="276"/>
    <cellStyle name="Normal 11 2" xfId="277"/>
    <cellStyle name="Normal 12" xfId="278"/>
    <cellStyle name="Normal 13" xfId="279"/>
    <cellStyle name="Normal 14" xfId="378"/>
    <cellStyle name="Normal 15" xfId="382"/>
    <cellStyle name="Normal 2" xfId="280"/>
    <cellStyle name="Normal 2 2" xfId="281"/>
    <cellStyle name="Normal 2 2 2" xfId="282"/>
    <cellStyle name="Normal 2 2 3" xfId="283"/>
    <cellStyle name="Normal 2 3" xfId="284"/>
    <cellStyle name="Normal 2 3 2" xfId="285"/>
    <cellStyle name="Normal 2 4" xfId="286"/>
    <cellStyle name="Normal 2 4 2" xfId="287"/>
    <cellStyle name="Normal 2_Anexos Balance Jen S.A. Dic-2009" xfId="288"/>
    <cellStyle name="Normal 3" xfId="4"/>
    <cellStyle name="Normal 3 2" xfId="289"/>
    <cellStyle name="Normal 3 3" xfId="290"/>
    <cellStyle name="Normal 3 4" xfId="291"/>
    <cellStyle name="Normal 3_Anexos Balance Jen S.A. Dic-2009" xfId="292"/>
    <cellStyle name="Normal 4" xfId="293"/>
    <cellStyle name="Normal 4 2" xfId="294"/>
    <cellStyle name="Normal 4 3" xfId="295"/>
    <cellStyle name="Normal 4 4" xfId="296"/>
    <cellStyle name="Normal 4_Proyecto Declaración Renta Jen Colombia 2011-Noviembre" xfId="297"/>
    <cellStyle name="Normal 5" xfId="298"/>
    <cellStyle name="Normal 5 2" xfId="299"/>
    <cellStyle name="Normal 5 3" xfId="300"/>
    <cellStyle name="Normal 6" xfId="301"/>
    <cellStyle name="Normal 7" xfId="302"/>
    <cellStyle name="Normal 8" xfId="303"/>
    <cellStyle name="Normal 9" xfId="304"/>
    <cellStyle name="Normal_Ej WACC Dividendos-Eduar" xfId="381"/>
    <cellStyle name="Notas 2" xfId="305"/>
    <cellStyle name="Notas 2 2" xfId="306"/>
    <cellStyle name="Notas 2 3" xfId="307"/>
    <cellStyle name="Notas 2 4" xfId="308"/>
    <cellStyle name="Notas 3" xfId="309"/>
    <cellStyle name="Notas 4" xfId="310"/>
    <cellStyle name="Porcentaje" xfId="2" builtinId="5"/>
    <cellStyle name="Porcentaje 2" xfId="311"/>
    <cellStyle name="Porcentaje 2 2" xfId="385"/>
    <cellStyle name="Porcentaje 3" xfId="380"/>
    <cellStyle name="Porcentaje 4" xfId="384"/>
    <cellStyle name="Porcentual 2" xfId="312"/>
    <cellStyle name="Porcentual 2 2" xfId="313"/>
    <cellStyle name="Porcentual 2 2 2" xfId="314"/>
    <cellStyle name="Porcentual 2 3" xfId="315"/>
    <cellStyle name="Porcentual 3" xfId="316"/>
    <cellStyle name="Porcentual 4" xfId="317"/>
    <cellStyle name="Salida 2" xfId="318"/>
    <cellStyle name="Salida 2 2" xfId="319"/>
    <cellStyle name="Salida 2 3" xfId="320"/>
    <cellStyle name="Salida 2 4" xfId="321"/>
    <cellStyle name="Salida 2_Auditoría Dción IVA Jen Colombia-Bim 03 2010" xfId="322"/>
    <cellStyle name="Salida 3" xfId="323"/>
    <cellStyle name="Salida 4" xfId="324"/>
    <cellStyle name="Texto de advertencia 2" xfId="325"/>
    <cellStyle name="Texto de advertencia 2 2" xfId="326"/>
    <cellStyle name="Texto de advertencia 2 3" xfId="327"/>
    <cellStyle name="Texto de advertencia 2 4" xfId="328"/>
    <cellStyle name="Texto de advertencia 2_Auditoría Dción IVA Jen Colombia-Bim 03 2010" xfId="329"/>
    <cellStyle name="Texto de advertencia 3" xfId="330"/>
    <cellStyle name="Texto de advertencia 4" xfId="331"/>
    <cellStyle name="Texto explicativo 2" xfId="332"/>
    <cellStyle name="Texto explicativo 2 2" xfId="333"/>
    <cellStyle name="Texto explicativo 2 3" xfId="334"/>
    <cellStyle name="Texto explicativo 2 4" xfId="335"/>
    <cellStyle name="Texto explicativo 2_Auditoría Dción IVA Jen Colombia-Bim 03 2010" xfId="336"/>
    <cellStyle name="Texto explicativo 3" xfId="337"/>
    <cellStyle name="Texto explicativo 4" xfId="338"/>
    <cellStyle name="Titulo" xfId="339"/>
    <cellStyle name="Título 1 2" xfId="340"/>
    <cellStyle name="Título 1 2 2" xfId="341"/>
    <cellStyle name="Título 1 2 3" xfId="342"/>
    <cellStyle name="Título 1 2 4" xfId="343"/>
    <cellStyle name="Título 1 2_Auditoría Dción IVA Jen Colombia-Bim 03 2010" xfId="344"/>
    <cellStyle name="Título 1 3" xfId="345"/>
    <cellStyle name="Título 1 4" xfId="346"/>
    <cellStyle name="Título 2 2" xfId="347"/>
    <cellStyle name="Título 2 2 2" xfId="348"/>
    <cellStyle name="Título 2 2 3" xfId="349"/>
    <cellStyle name="Título 2 2 4" xfId="350"/>
    <cellStyle name="Título 2 2_Auditoría Dción IVA Jen Colombia-Bim 03 2010" xfId="351"/>
    <cellStyle name="Título 2 3" xfId="352"/>
    <cellStyle name="Título 2 4" xfId="353"/>
    <cellStyle name="Título 3 2" xfId="354"/>
    <cellStyle name="Título 3 2 2" xfId="355"/>
    <cellStyle name="Título 3 2 3" xfId="356"/>
    <cellStyle name="Título 3 2 4" xfId="357"/>
    <cellStyle name="Título 3 2_Auditoría Dción IVA Jen Colombia-Bim 03 2010" xfId="358"/>
    <cellStyle name="Título 3 3" xfId="359"/>
    <cellStyle name="Título 3 4" xfId="360"/>
    <cellStyle name="Título 4" xfId="361"/>
    <cellStyle name="Título 4 2" xfId="362"/>
    <cellStyle name="Título 4 3" xfId="363"/>
    <cellStyle name="Título 4 4" xfId="364"/>
    <cellStyle name="Título 4_Auditoría Dción IVA Jen Colombia-Bim 03 2010" xfId="365"/>
    <cellStyle name="Título 5" xfId="366"/>
    <cellStyle name="Título 6" xfId="367"/>
    <cellStyle name="Titulo_Anexos Dción Renta Coala 2009" xfId="368"/>
    <cellStyle name="Total 2" xfId="369"/>
    <cellStyle name="Total 2 2" xfId="370"/>
    <cellStyle name="Total 2 3" xfId="371"/>
    <cellStyle name="Total 2 4" xfId="372"/>
    <cellStyle name="Total 2_Auditoría Dción IVA Jen Colombia-Bim 03 2010" xfId="373"/>
    <cellStyle name="Total 3" xfId="374"/>
    <cellStyle name="Total 4" xfId="375"/>
    <cellStyle name="Währung" xfId="376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FF"/>
      <color rgb="FF0099FF"/>
      <color rgb="FFFABF8F"/>
      <color rgb="FF00FF99"/>
      <color rgb="FFFFFFCC"/>
      <color rgb="FF6666FF"/>
      <color rgb="FFFF0066"/>
      <color rgb="FFFF0000"/>
      <color rgb="FFFF5050"/>
      <color rgb="FFE533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3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3" Type="http://schemas.openxmlformats.org/officeDocument/2006/relationships/image" Target="../media/image6.png"/><Relationship Id="rId21" Type="http://schemas.openxmlformats.org/officeDocument/2006/relationships/hyperlink" Target="#&#205;ndice!A1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" Type="http://schemas.openxmlformats.org/officeDocument/2006/relationships/image" Target="../media/image5.png"/><Relationship Id="rId16" Type="http://schemas.openxmlformats.org/officeDocument/2006/relationships/image" Target="../media/image19.png"/><Relationship Id="rId20" Type="http://schemas.openxmlformats.org/officeDocument/2006/relationships/image" Target="../media/image23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5" Type="http://schemas.openxmlformats.org/officeDocument/2006/relationships/image" Target="../media/image18.png"/><Relationship Id="rId10" Type="http://schemas.openxmlformats.org/officeDocument/2006/relationships/image" Target="../media/image13.png"/><Relationship Id="rId19" Type="http://schemas.openxmlformats.org/officeDocument/2006/relationships/image" Target="../media/image22.png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4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48</xdr:row>
      <xdr:rowOff>0</xdr:rowOff>
    </xdr:from>
    <xdr:to>
      <xdr:col>8</xdr:col>
      <xdr:colOff>222250</xdr:colOff>
      <xdr:row>61</xdr:row>
      <xdr:rowOff>63500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509250"/>
          <a:ext cx="5949950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64</xdr:row>
      <xdr:rowOff>12700</xdr:rowOff>
    </xdr:from>
    <xdr:to>
      <xdr:col>8</xdr:col>
      <xdr:colOff>241300</xdr:colOff>
      <xdr:row>77</xdr:row>
      <xdr:rowOff>95250</xdr:rowOff>
    </xdr:to>
    <xdr:pic>
      <xdr:nvPicPr>
        <xdr:cNvPr id="3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3487400"/>
          <a:ext cx="5949950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717550</xdr:colOff>
      <xdr:row>2</xdr:row>
      <xdr:rowOff>19050</xdr:rowOff>
    </xdr:to>
    <xdr:sp macro="" textlink="">
      <xdr:nvSpPr>
        <xdr:cNvPr id="3" name="2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3873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95250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95250</xdr:colOff>
      <xdr:row>2</xdr:row>
      <xdr:rowOff>88900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720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184150</xdr:colOff>
      <xdr:row>28</xdr:row>
      <xdr:rowOff>57150</xdr:rowOff>
    </xdr:to>
    <xdr:pic>
      <xdr:nvPicPr>
        <xdr:cNvPr id="3" name="2 Imagen" descr="https://www.grupoaval.com/pls/portal/docs/PAGE/GAVAL/ZONA_ADMINISTRATIVA/INFORMES/RENTABILIDA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"/>
          <a:ext cx="7804150" cy="466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4" name="3 Elipse">
          <a:hlinkClick xmlns:r="http://schemas.openxmlformats.org/officeDocument/2006/relationships" r:id="rId2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57150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228600</xdr:colOff>
      <xdr:row>7</xdr:row>
      <xdr:rowOff>247650</xdr:rowOff>
    </xdr:to>
    <xdr:pic>
      <xdr:nvPicPr>
        <xdr:cNvPr id="2" name="1 Imagen" descr="http://www.ambito.com/img/paises/banderas/arg_ch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175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228600</xdr:colOff>
      <xdr:row>8</xdr:row>
      <xdr:rowOff>247650</xdr:rowOff>
    </xdr:to>
    <xdr:pic>
      <xdr:nvPicPr>
        <xdr:cNvPr id="3" name="2 Imagen" descr="http://www.ambito.com/img/paises/banderas/bra_ch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228600</xdr:colOff>
      <xdr:row>9</xdr:row>
      <xdr:rowOff>247650</xdr:rowOff>
    </xdr:to>
    <xdr:pic>
      <xdr:nvPicPr>
        <xdr:cNvPr id="4" name="3 Imagen" descr="http://www.ambito.com/img/paises/banderas/col_ch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105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228600</xdr:colOff>
      <xdr:row>10</xdr:row>
      <xdr:rowOff>247650</xdr:rowOff>
    </xdr:to>
    <xdr:pic>
      <xdr:nvPicPr>
        <xdr:cNvPr id="5" name="4 Imagen" descr="http://www.ambito.com/img/paises/banderas/hrv_ch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570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228600</xdr:colOff>
      <xdr:row>11</xdr:row>
      <xdr:rowOff>247650</xdr:rowOff>
    </xdr:to>
    <xdr:pic>
      <xdr:nvPicPr>
        <xdr:cNvPr id="6" name="5 Imagen" descr="http://www.ambito.com/img/paises/banderas/ecu_ch.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035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228600</xdr:colOff>
      <xdr:row>12</xdr:row>
      <xdr:rowOff>247650</xdr:rowOff>
    </xdr:to>
    <xdr:pic>
      <xdr:nvPicPr>
        <xdr:cNvPr id="7" name="6 Imagen" descr="http://www.ambito.com/img/paises/banderas/phl_ch.pn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00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228600</xdr:colOff>
      <xdr:row>13</xdr:row>
      <xdr:rowOff>247650</xdr:rowOff>
    </xdr:to>
    <xdr:pic>
      <xdr:nvPicPr>
        <xdr:cNvPr id="8" name="7 Imagen" descr="http://www.ambito.com/img/paises/banderas/mys_ch.png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965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209550</xdr:colOff>
      <xdr:row>14</xdr:row>
      <xdr:rowOff>228600</xdr:rowOff>
    </xdr:to>
    <xdr:pic>
      <xdr:nvPicPr>
        <xdr:cNvPr id="9" name="8 Imagen" descr="http://www.ambito.com/img/paises/banderas/egy_ch.pn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4300"/>
          <a:ext cx="2095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228600</xdr:colOff>
      <xdr:row>15</xdr:row>
      <xdr:rowOff>247650</xdr:rowOff>
    </xdr:to>
    <xdr:pic>
      <xdr:nvPicPr>
        <xdr:cNvPr id="10" name="9 Imagen" descr="http://www.ambito.com/img/paises/banderas/mex_ch.pn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895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228600</xdr:colOff>
      <xdr:row>16</xdr:row>
      <xdr:rowOff>247650</xdr:rowOff>
    </xdr:to>
    <xdr:pic>
      <xdr:nvPicPr>
        <xdr:cNvPr id="11" name="10 Imagen" descr="http://www.ambito.com/img/paises/banderas/idn_ch.pn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360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228600</xdr:colOff>
      <xdr:row>17</xdr:row>
      <xdr:rowOff>247650</xdr:rowOff>
    </xdr:to>
    <xdr:pic>
      <xdr:nvPicPr>
        <xdr:cNvPr id="12" name="11 Imagen" descr="http://www.ambito.com/img/paises/banderas/pan_ch.pn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825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228600</xdr:colOff>
      <xdr:row>18</xdr:row>
      <xdr:rowOff>247650</xdr:rowOff>
    </xdr:to>
    <xdr:pic>
      <xdr:nvPicPr>
        <xdr:cNvPr id="13" name="12 Imagen" descr="http://www.ambito.com/img/paises/banderas/per_ch.png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290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228600</xdr:colOff>
      <xdr:row>19</xdr:row>
      <xdr:rowOff>247650</xdr:rowOff>
    </xdr:to>
    <xdr:pic>
      <xdr:nvPicPr>
        <xdr:cNvPr id="14" name="13 Imagen" descr="http://www.ambito.com/img/paises/banderas/pol_ch.png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755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228600</xdr:colOff>
      <xdr:row>20</xdr:row>
      <xdr:rowOff>247650</xdr:rowOff>
    </xdr:to>
    <xdr:pic>
      <xdr:nvPicPr>
        <xdr:cNvPr id="15" name="14 Imagen" descr="http://www.ambito.com/img/paises/banderas/rus_ch.png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220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228600</xdr:colOff>
      <xdr:row>21</xdr:row>
      <xdr:rowOff>247650</xdr:rowOff>
    </xdr:to>
    <xdr:pic>
      <xdr:nvPicPr>
        <xdr:cNvPr id="16" name="15 Imagen" descr="http://www.ambito.com/img/paises/banderas/zaf_ch.png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4685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228600</xdr:colOff>
      <xdr:row>22</xdr:row>
      <xdr:rowOff>247650</xdr:rowOff>
    </xdr:to>
    <xdr:pic>
      <xdr:nvPicPr>
        <xdr:cNvPr id="17" name="16 Imagen" descr="http://www.ambito.com/img/paises/banderas/tur_ch.png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2150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228600</xdr:colOff>
      <xdr:row>23</xdr:row>
      <xdr:rowOff>247650</xdr:rowOff>
    </xdr:to>
    <xdr:pic>
      <xdr:nvPicPr>
        <xdr:cNvPr id="18" name="17 Imagen" descr="http://www.ambito.com/img/paises/banderas/ukr_ch.png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9615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228600</xdr:colOff>
      <xdr:row>24</xdr:row>
      <xdr:rowOff>247650</xdr:rowOff>
    </xdr:to>
    <xdr:pic>
      <xdr:nvPicPr>
        <xdr:cNvPr id="19" name="18 Imagen" descr="http://www.ambito.com/img/paises/banderas/ury_ch.png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7080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228600</xdr:colOff>
      <xdr:row>25</xdr:row>
      <xdr:rowOff>247650</xdr:rowOff>
    </xdr:to>
    <xdr:pic>
      <xdr:nvPicPr>
        <xdr:cNvPr id="20" name="19 Imagen" descr="http://www.ambito.com/img/paises/banderas/ven_ch.png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45450"/>
          <a:ext cx="2286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16</xdr:col>
      <xdr:colOff>627</xdr:colOff>
      <xdr:row>75</xdr:row>
      <xdr:rowOff>44802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0629900"/>
          <a:ext cx="12192627" cy="685835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22" name="21 Elipse">
          <a:hlinkClick xmlns:r="http://schemas.openxmlformats.org/officeDocument/2006/relationships" r:id="rId2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44450</xdr:rowOff>
    </xdr:from>
    <xdr:to>
      <xdr:col>0</xdr:col>
      <xdr:colOff>939800</xdr:colOff>
      <xdr:row>2</xdr:row>
      <xdr:rowOff>76200</xdr:rowOff>
    </xdr:to>
    <xdr:sp macro="" textlink="">
      <xdr:nvSpPr>
        <xdr:cNvPr id="6" name="5 Elipse">
          <a:hlinkClick xmlns:r="http://schemas.openxmlformats.org/officeDocument/2006/relationships" r:id="rId1"/>
        </xdr:cNvPr>
        <xdr:cNvSpPr/>
      </xdr:nvSpPr>
      <xdr:spPr>
        <a:xfrm>
          <a:off x="25400" y="4445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95250</xdr:colOff>
      <xdr:row>2</xdr:row>
      <xdr:rowOff>88900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720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38100</xdr:rowOff>
    </xdr:from>
    <xdr:to>
      <xdr:col>0</xdr:col>
      <xdr:colOff>946150</xdr:colOff>
      <xdr:row>2</xdr:row>
      <xdr:rowOff>120650</xdr:rowOff>
    </xdr:to>
    <xdr:sp macro="" textlink="">
      <xdr:nvSpPr>
        <xdr:cNvPr id="3" name="2 Elipse">
          <a:hlinkClick xmlns:r="http://schemas.openxmlformats.org/officeDocument/2006/relationships" r:id="rId1"/>
        </xdr:cNvPr>
        <xdr:cNvSpPr/>
      </xdr:nvSpPr>
      <xdr:spPr>
        <a:xfrm>
          <a:off x="31750" y="3810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38100</xdr:rowOff>
    </xdr:from>
    <xdr:to>
      <xdr:col>11</xdr:col>
      <xdr:colOff>298450</xdr:colOff>
      <xdr:row>2</xdr:row>
      <xdr:rowOff>120650</xdr:rowOff>
    </xdr:to>
    <xdr:sp macro="" textlink="">
      <xdr:nvSpPr>
        <xdr:cNvPr id="4" name="3 Elipse">
          <a:hlinkClick xmlns:r="http://schemas.openxmlformats.org/officeDocument/2006/relationships" r:id="rId1"/>
        </xdr:cNvPr>
        <xdr:cNvSpPr/>
      </xdr:nvSpPr>
      <xdr:spPr>
        <a:xfrm>
          <a:off x="4857750" y="3810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38100</xdr:rowOff>
    </xdr:from>
    <xdr:to>
      <xdr:col>11</xdr:col>
      <xdr:colOff>298450</xdr:colOff>
      <xdr:row>2</xdr:row>
      <xdr:rowOff>114300</xdr:rowOff>
    </xdr:to>
    <xdr:sp macro="" textlink="">
      <xdr:nvSpPr>
        <xdr:cNvPr id="4" name="3 Elipse">
          <a:hlinkClick xmlns:r="http://schemas.openxmlformats.org/officeDocument/2006/relationships" r:id="rId1"/>
        </xdr:cNvPr>
        <xdr:cNvSpPr/>
      </xdr:nvSpPr>
      <xdr:spPr>
        <a:xfrm>
          <a:off x="4851400" y="38100"/>
          <a:ext cx="914400" cy="44450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38100</xdr:rowOff>
    </xdr:from>
    <xdr:to>
      <xdr:col>11</xdr:col>
      <xdr:colOff>298450</xdr:colOff>
      <xdr:row>2</xdr:row>
      <xdr:rowOff>120650</xdr:rowOff>
    </xdr:to>
    <xdr:sp macro="" textlink="">
      <xdr:nvSpPr>
        <xdr:cNvPr id="5" name="4 Elipse">
          <a:hlinkClick xmlns:r="http://schemas.openxmlformats.org/officeDocument/2006/relationships" r:id="rId1"/>
        </xdr:cNvPr>
        <xdr:cNvSpPr/>
      </xdr:nvSpPr>
      <xdr:spPr>
        <a:xfrm>
          <a:off x="4813300" y="3810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400050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31750</xdr:rowOff>
    </xdr:from>
    <xdr:to>
      <xdr:col>2</xdr:col>
      <xdr:colOff>177800</xdr:colOff>
      <xdr:row>2</xdr:row>
      <xdr:rowOff>114300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5400" y="3175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152400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450850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450850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450850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298450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3" name="2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577850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577850</xdr:colOff>
      <xdr:row>4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36830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577850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152400</xdr:colOff>
      <xdr:row>2</xdr:row>
      <xdr:rowOff>114300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3175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914400</xdr:colOff>
      <xdr:row>2</xdr:row>
      <xdr:rowOff>133350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20955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1</xdr:row>
      <xdr:rowOff>266700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717550</xdr:colOff>
      <xdr:row>2</xdr:row>
      <xdr:rowOff>82550</xdr:rowOff>
    </xdr:to>
    <xdr:sp macro="" textlink="">
      <xdr:nvSpPr>
        <xdr:cNvPr id="3" name="2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2</xdr:row>
      <xdr:rowOff>82550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0" y="0"/>
          <a:ext cx="914400" cy="450850"/>
        </a:xfrm>
        <a:prstGeom prst="ellipse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000" b="1"/>
            <a:t>Regresar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Estudio%20Financi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 Adic"/>
      <sheetName val="Financiación"/>
      <sheetName val="DTF"/>
      <sheetName val="Factor"/>
      <sheetName val="Factor Proy"/>
      <sheetName val="Comisiones"/>
      <sheetName val="Variables"/>
      <sheetName val="Variables-2"/>
      <sheetName val="Capacitac"/>
      <sheetName val="Pastel"/>
      <sheetName val="Ebitda"/>
      <sheetName val="Resumen"/>
      <sheetName val="Resumen Total"/>
      <sheetName val="Índic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grupoaval.com/portal/page?_pageid=33,256972&amp;_dad=portal&amp;_schema=PORTAL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people.stern.nyu.edu/adamodar/New_Home_Page/datafile/Betas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://www.banrep.gov.co/es/indicadores-financieros-diarios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mbito.com/economia/mercados/riesgo-pais/info/?id=8" TargetMode="External"/><Relationship Id="rId13" Type="http://schemas.openxmlformats.org/officeDocument/2006/relationships/hyperlink" Target="http://www.ambito.com/economia/mercados/riesgo-pais/info/?id=13" TargetMode="External"/><Relationship Id="rId18" Type="http://schemas.openxmlformats.org/officeDocument/2006/relationships/hyperlink" Target="http://www.ambito.com/economia/mercados/riesgo-pais/info/?id=18" TargetMode="External"/><Relationship Id="rId3" Type="http://schemas.openxmlformats.org/officeDocument/2006/relationships/hyperlink" Target="http://www.ambito.com/economia/mercados/riesgo-pais/info/?id=3" TargetMode="External"/><Relationship Id="rId21" Type="http://schemas.openxmlformats.org/officeDocument/2006/relationships/hyperlink" Target="http://www.ambito.com/economia/mercados/riesgo-pais/" TargetMode="External"/><Relationship Id="rId7" Type="http://schemas.openxmlformats.org/officeDocument/2006/relationships/hyperlink" Target="http://www.ambito.com/economia/mercados/riesgo-pais/info/?id=7" TargetMode="External"/><Relationship Id="rId12" Type="http://schemas.openxmlformats.org/officeDocument/2006/relationships/hyperlink" Target="http://www.ambito.com/economia/mercados/riesgo-pais/info/?id=12" TargetMode="External"/><Relationship Id="rId17" Type="http://schemas.openxmlformats.org/officeDocument/2006/relationships/hyperlink" Target="http://www.ambito.com/economia/mercados/riesgo-pais/info/?id=17" TargetMode="External"/><Relationship Id="rId2" Type="http://schemas.openxmlformats.org/officeDocument/2006/relationships/hyperlink" Target="http://www.ambito.com/economia/mercados/riesgo-pais/info/?id=2" TargetMode="External"/><Relationship Id="rId16" Type="http://schemas.openxmlformats.org/officeDocument/2006/relationships/hyperlink" Target="http://www.ambito.com/economia/mercados/riesgo-pais/info/?id=16" TargetMode="External"/><Relationship Id="rId20" Type="http://schemas.openxmlformats.org/officeDocument/2006/relationships/hyperlink" Target="http://www.ambito.com/economia/mercados/riesgo-pais/info/?id=20" TargetMode="External"/><Relationship Id="rId1" Type="http://schemas.openxmlformats.org/officeDocument/2006/relationships/hyperlink" Target="http://www.ambito.com/economia/mercados/riesgo-pais/info/?id=1" TargetMode="External"/><Relationship Id="rId6" Type="http://schemas.openxmlformats.org/officeDocument/2006/relationships/hyperlink" Target="http://www.ambito.com/economia/mercados/riesgo-pais/info/?id=5" TargetMode="External"/><Relationship Id="rId11" Type="http://schemas.openxmlformats.org/officeDocument/2006/relationships/hyperlink" Target="http://www.ambito.com/economia/mercados/riesgo-pais/info/?id=11" TargetMode="External"/><Relationship Id="rId5" Type="http://schemas.openxmlformats.org/officeDocument/2006/relationships/hyperlink" Target="http://www.ambito.com/economia/mercados/riesgo-pais/info/?id=21" TargetMode="External"/><Relationship Id="rId15" Type="http://schemas.openxmlformats.org/officeDocument/2006/relationships/hyperlink" Target="http://www.ambito.com/economia/mercados/riesgo-pais/info/?id=15" TargetMode="External"/><Relationship Id="rId10" Type="http://schemas.openxmlformats.org/officeDocument/2006/relationships/hyperlink" Target="http://www.ambito.com/economia/mercados/riesgo-pais/info/?id=10" TargetMode="External"/><Relationship Id="rId19" Type="http://schemas.openxmlformats.org/officeDocument/2006/relationships/hyperlink" Target="http://www.ambito.com/economia/mercados/riesgo-pais/info/?id=19" TargetMode="External"/><Relationship Id="rId4" Type="http://schemas.openxmlformats.org/officeDocument/2006/relationships/hyperlink" Target="http://www.ambito.com/economia/mercados/riesgo-pais/info/?id=4" TargetMode="External"/><Relationship Id="rId9" Type="http://schemas.openxmlformats.org/officeDocument/2006/relationships/hyperlink" Target="http://www.ambito.com/economia/mercados/riesgo-pais/info/?id=9" TargetMode="External"/><Relationship Id="rId14" Type="http://schemas.openxmlformats.org/officeDocument/2006/relationships/hyperlink" Target="http://www.ambito.com/economia/mercados/riesgo-pais/info/?id=14" TargetMode="External"/><Relationship Id="rId22" Type="http://schemas.openxmlformats.org/officeDocument/2006/relationships/drawing" Target="../drawings/drawing17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1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3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4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5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6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7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8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9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0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1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3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4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5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B23"/>
  <sheetViews>
    <sheetView topLeftCell="A4" workbookViewId="0">
      <selection activeCell="D7" sqref="D7:E7"/>
    </sheetView>
  </sheetViews>
  <sheetFormatPr baseColWidth="10" defaultRowHeight="14.5" x14ac:dyDescent="0.35"/>
  <cols>
    <col min="1" max="1" width="14" customWidth="1"/>
    <col min="2" max="2" width="17.453125" bestFit="1" customWidth="1"/>
  </cols>
  <sheetData>
    <row r="8" spans="1:2" x14ac:dyDescent="0.35">
      <c r="A8" s="801" t="s">
        <v>367</v>
      </c>
      <c r="B8" s="294">
        <v>1</v>
      </c>
    </row>
    <row r="9" spans="1:2" x14ac:dyDescent="0.35">
      <c r="A9" s="801"/>
      <c r="B9" s="295"/>
    </row>
    <row r="11" spans="1:2" x14ac:dyDescent="0.35">
      <c r="A11" s="802" t="s">
        <v>820</v>
      </c>
      <c r="B11" s="298">
        <v>0</v>
      </c>
    </row>
    <row r="12" spans="1:2" x14ac:dyDescent="0.35">
      <c r="A12" s="802"/>
      <c r="B12" s="298">
        <v>1</v>
      </c>
    </row>
    <row r="13" spans="1:2" x14ac:dyDescent="0.35">
      <c r="A13" s="802"/>
      <c r="B13" s="298">
        <v>2</v>
      </c>
    </row>
    <row r="15" spans="1:2" x14ac:dyDescent="0.35">
      <c r="A15" s="803" t="s">
        <v>493</v>
      </c>
      <c r="B15" s="341" t="s">
        <v>500</v>
      </c>
    </row>
    <row r="16" spans="1:2" x14ac:dyDescent="0.35">
      <c r="A16" s="803"/>
      <c r="B16" s="341" t="s">
        <v>501</v>
      </c>
    </row>
    <row r="17" spans="1:2" x14ac:dyDescent="0.35">
      <c r="A17" s="803"/>
      <c r="B17" s="341" t="s">
        <v>502</v>
      </c>
    </row>
    <row r="19" spans="1:2" x14ac:dyDescent="0.35">
      <c r="A19" s="804" t="s">
        <v>821</v>
      </c>
      <c r="B19" s="298">
        <v>1</v>
      </c>
    </row>
    <row r="20" spans="1:2" x14ac:dyDescent="0.35">
      <c r="A20" s="804"/>
      <c r="B20" s="298">
        <v>2</v>
      </c>
    </row>
    <row r="22" spans="1:2" ht="15.5" x14ac:dyDescent="0.35">
      <c r="A22" s="801" t="s">
        <v>621</v>
      </c>
      <c r="B22" s="409" t="s">
        <v>619</v>
      </c>
    </row>
    <row r="23" spans="1:2" ht="15.5" x14ac:dyDescent="0.35">
      <c r="A23" s="801"/>
      <c r="B23" s="409" t="s">
        <v>620</v>
      </c>
    </row>
  </sheetData>
  <mergeCells count="5">
    <mergeCell ref="A8:A9"/>
    <mergeCell ref="A11:A13"/>
    <mergeCell ref="A15:A17"/>
    <mergeCell ref="A22:A23"/>
    <mergeCell ref="A19:A20"/>
  </mergeCells>
  <conditionalFormatting sqref="B8">
    <cfRule type="expression" priority="2" stopIfTrue="1">
      <formula>B8&lt;&gt;A8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X34"/>
  <sheetViews>
    <sheetView workbookViewId="0">
      <pane xSplit="2" ySplit="6" topLeftCell="K7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3" max="4" width="11.1796875" bestFit="1" customWidth="1"/>
    <col min="5" max="5" width="11.6328125" customWidth="1"/>
    <col min="6" max="8" width="12.36328125" bestFit="1" customWidth="1"/>
    <col min="9" max="9" width="11.1796875" customWidth="1"/>
    <col min="10" max="10" width="12.36328125" bestFit="1" customWidth="1"/>
    <col min="11" max="11" width="11.1796875" customWidth="1"/>
    <col min="12" max="12" width="11.54296875" bestFit="1" customWidth="1"/>
    <col min="13" max="13" width="12.36328125" bestFit="1" customWidth="1"/>
    <col min="16" max="17" width="12.36328125" bestFit="1" customWidth="1"/>
    <col min="18" max="19" width="12.36328125" customWidth="1"/>
    <col min="20" max="21" width="11.54296875" customWidth="1"/>
    <col min="23" max="23" width="12.36328125" bestFit="1" customWidth="1"/>
    <col min="24" max="25" width="12.36328125" customWidth="1"/>
    <col min="26" max="26" width="12.90625" bestFit="1" customWidth="1"/>
    <col min="27" max="27" width="4.6328125" customWidth="1"/>
    <col min="28" max="29" width="12.36328125" bestFit="1" customWidth="1"/>
    <col min="31" max="31" width="12.36328125" bestFit="1" customWidth="1"/>
    <col min="32" max="32" width="14.7265625" bestFit="1" customWidth="1"/>
    <col min="33" max="33" width="12.36328125" bestFit="1" customWidth="1"/>
    <col min="34" max="34" width="4.6328125" customWidth="1"/>
    <col min="38" max="38" width="4.6328125" customWidth="1"/>
    <col min="39" max="42" width="13" customWidth="1"/>
    <col min="43" max="43" width="4.6328125" customWidth="1"/>
  </cols>
  <sheetData>
    <row r="1" spans="1:50" x14ac:dyDescent="0.35">
      <c r="A1" s="1"/>
      <c r="B1" s="185"/>
      <c r="C1" s="1" t="s">
        <v>190</v>
      </c>
      <c r="F1" s="388">
        <v>3</v>
      </c>
      <c r="H1">
        <v>5</v>
      </c>
      <c r="J1">
        <v>3</v>
      </c>
      <c r="K1">
        <v>2</v>
      </c>
      <c r="M1" s="299">
        <f>Variables!$B$19</f>
        <v>1</v>
      </c>
      <c r="N1" s="241" t="str">
        <f>IF(M1=0,"Contado","Meses")</f>
        <v>Meses</v>
      </c>
      <c r="Q1" s="349"/>
      <c r="U1" s="299">
        <v>1</v>
      </c>
      <c r="V1" s="360" t="str">
        <f>IF(U1=1,"Mes","Meses")</f>
        <v>Mes</v>
      </c>
      <c r="AB1" s="299">
        <v>1</v>
      </c>
      <c r="AC1" t="str">
        <f>IF(AB1=1,"Mes","Meses")</f>
        <v>Mes</v>
      </c>
      <c r="AE1">
        <f>COLUMN()</f>
        <v>31</v>
      </c>
      <c r="AF1">
        <f>COLUMN()</f>
        <v>32</v>
      </c>
      <c r="AG1">
        <f>COLUMN()</f>
        <v>33</v>
      </c>
      <c r="AH1" t="str">
        <f>IF(AB1=1,"Mes","Meses")</f>
        <v>Mes</v>
      </c>
      <c r="AN1">
        <f>COLUMN()</f>
        <v>40</v>
      </c>
      <c r="AO1">
        <f>COLUMN()</f>
        <v>41</v>
      </c>
      <c r="AP1">
        <f>COLUMN()</f>
        <v>42</v>
      </c>
      <c r="AR1">
        <f>COLUMN()</f>
        <v>44</v>
      </c>
      <c r="AS1">
        <f>COLUMN()</f>
        <v>45</v>
      </c>
      <c r="AT1">
        <f>COLUMN()</f>
        <v>46</v>
      </c>
      <c r="AU1">
        <f>COLUMN()</f>
        <v>47</v>
      </c>
      <c r="AV1">
        <f>COLUMN()</f>
        <v>48</v>
      </c>
      <c r="AW1">
        <f>COLUMN()</f>
        <v>49</v>
      </c>
      <c r="AX1">
        <f>COLUMN()</f>
        <v>50</v>
      </c>
    </row>
    <row r="2" spans="1:50" x14ac:dyDescent="0.35">
      <c r="A2" s="1"/>
      <c r="B2" s="185"/>
      <c r="C2" s="185" t="s">
        <v>71</v>
      </c>
      <c r="D2" s="1">
        <f>COLUMN()-1</f>
        <v>3</v>
      </c>
      <c r="E2" s="1">
        <f t="shared" ref="E2:AX2" si="0">COLUMN()-1</f>
        <v>4</v>
      </c>
      <c r="F2" s="1">
        <f t="shared" si="0"/>
        <v>5</v>
      </c>
      <c r="G2" s="1">
        <f t="shared" si="0"/>
        <v>6</v>
      </c>
      <c r="H2" s="1">
        <f t="shared" si="0"/>
        <v>7</v>
      </c>
      <c r="I2" s="1">
        <f t="shared" si="0"/>
        <v>8</v>
      </c>
      <c r="J2" s="1">
        <f t="shared" si="0"/>
        <v>9</v>
      </c>
      <c r="K2" s="1">
        <f t="shared" si="0"/>
        <v>10</v>
      </c>
      <c r="L2" s="1">
        <f t="shared" si="0"/>
        <v>11</v>
      </c>
      <c r="M2" s="1">
        <f t="shared" si="0"/>
        <v>12</v>
      </c>
      <c r="N2" s="1">
        <f t="shared" si="0"/>
        <v>13</v>
      </c>
      <c r="O2" s="1">
        <f t="shared" si="0"/>
        <v>14</v>
      </c>
      <c r="P2" s="1">
        <f t="shared" si="0"/>
        <v>15</v>
      </c>
      <c r="Q2" s="1">
        <f t="shared" si="0"/>
        <v>16</v>
      </c>
      <c r="R2" s="1">
        <f t="shared" si="0"/>
        <v>17</v>
      </c>
      <c r="S2" s="1">
        <f t="shared" si="0"/>
        <v>18</v>
      </c>
      <c r="T2" s="1">
        <f t="shared" si="0"/>
        <v>19</v>
      </c>
      <c r="U2" s="1">
        <f t="shared" si="0"/>
        <v>20</v>
      </c>
      <c r="V2" s="1">
        <f t="shared" si="0"/>
        <v>21</v>
      </c>
      <c r="W2" s="1">
        <f t="shared" si="0"/>
        <v>22</v>
      </c>
      <c r="X2" s="1">
        <f t="shared" si="0"/>
        <v>23</v>
      </c>
      <c r="Y2" s="1">
        <f t="shared" si="0"/>
        <v>24</v>
      </c>
      <c r="Z2" s="1">
        <f t="shared" si="0"/>
        <v>25</v>
      </c>
      <c r="AA2" s="1">
        <f t="shared" si="0"/>
        <v>26</v>
      </c>
      <c r="AB2" s="1">
        <f t="shared" si="0"/>
        <v>27</v>
      </c>
      <c r="AC2" s="1">
        <f t="shared" si="0"/>
        <v>28</v>
      </c>
      <c r="AD2" s="1">
        <f t="shared" si="0"/>
        <v>29</v>
      </c>
      <c r="AE2" s="1">
        <f t="shared" si="0"/>
        <v>30</v>
      </c>
      <c r="AF2" s="1">
        <f t="shared" si="0"/>
        <v>31</v>
      </c>
      <c r="AG2" s="1">
        <f t="shared" si="0"/>
        <v>32</v>
      </c>
      <c r="AH2" s="1">
        <f t="shared" si="0"/>
        <v>33</v>
      </c>
      <c r="AI2" s="1">
        <f t="shared" si="0"/>
        <v>34</v>
      </c>
      <c r="AJ2" s="1">
        <f t="shared" si="0"/>
        <v>35</v>
      </c>
      <c r="AK2" s="1">
        <f t="shared" si="0"/>
        <v>36</v>
      </c>
      <c r="AL2" s="1">
        <f t="shared" si="0"/>
        <v>37</v>
      </c>
      <c r="AM2" s="1">
        <f t="shared" si="0"/>
        <v>38</v>
      </c>
      <c r="AN2" s="1">
        <f t="shared" si="0"/>
        <v>39</v>
      </c>
      <c r="AO2" s="1">
        <f t="shared" si="0"/>
        <v>40</v>
      </c>
      <c r="AP2" s="1">
        <f t="shared" si="0"/>
        <v>41</v>
      </c>
      <c r="AQ2" s="1">
        <f t="shared" si="0"/>
        <v>42</v>
      </c>
      <c r="AR2" s="1">
        <f t="shared" si="0"/>
        <v>43</v>
      </c>
      <c r="AS2" s="1">
        <f t="shared" si="0"/>
        <v>44</v>
      </c>
      <c r="AT2" s="1">
        <f t="shared" si="0"/>
        <v>45</v>
      </c>
      <c r="AU2" s="1">
        <f t="shared" si="0"/>
        <v>46</v>
      </c>
      <c r="AV2" s="1">
        <f t="shared" si="0"/>
        <v>47</v>
      </c>
      <c r="AW2" s="1">
        <f t="shared" si="0"/>
        <v>48</v>
      </c>
      <c r="AX2" s="1">
        <f t="shared" si="0"/>
        <v>49</v>
      </c>
    </row>
    <row r="3" spans="1:50" x14ac:dyDescent="0.35">
      <c r="Q3">
        <v>30</v>
      </c>
      <c r="R3">
        <v>31</v>
      </c>
      <c r="S3">
        <v>32</v>
      </c>
      <c r="AN3">
        <v>33</v>
      </c>
    </row>
    <row r="4" spans="1:50" ht="14.5" customHeight="1" x14ac:dyDescent="0.35">
      <c r="A4" s="179" t="s">
        <v>179</v>
      </c>
      <c r="B4" s="180" t="s">
        <v>190</v>
      </c>
      <c r="C4" s="180" t="s">
        <v>71</v>
      </c>
      <c r="D4" s="889" t="s">
        <v>185</v>
      </c>
      <c r="E4" s="889"/>
      <c r="F4" s="890"/>
      <c r="G4" s="889"/>
      <c r="H4" s="886" t="s">
        <v>184</v>
      </c>
      <c r="I4" s="887"/>
      <c r="J4" s="887"/>
      <c r="K4" s="887"/>
      <c r="L4" s="888"/>
      <c r="M4" s="891" t="s">
        <v>48</v>
      </c>
      <c r="N4" s="891"/>
      <c r="O4" s="891"/>
      <c r="P4" s="891"/>
      <c r="Q4" s="891" t="s">
        <v>183</v>
      </c>
      <c r="R4" s="891"/>
      <c r="S4" s="892"/>
      <c r="T4" s="891"/>
      <c r="U4" s="891"/>
      <c r="V4" s="891"/>
      <c r="W4" s="891"/>
      <c r="X4" s="896" t="s">
        <v>186</v>
      </c>
      <c r="Y4" s="897"/>
      <c r="Z4" s="898"/>
      <c r="AB4" s="884" t="s">
        <v>366</v>
      </c>
      <c r="AC4" s="884" t="s">
        <v>578</v>
      </c>
      <c r="AD4" s="884" t="s">
        <v>554</v>
      </c>
      <c r="AE4" s="884" t="s">
        <v>514</v>
      </c>
      <c r="AF4" s="884" t="s">
        <v>503</v>
      </c>
      <c r="AG4" s="884" t="s">
        <v>504</v>
      </c>
      <c r="AI4" s="885" t="s">
        <v>374</v>
      </c>
      <c r="AJ4" s="885"/>
      <c r="AK4" s="885"/>
      <c r="AM4" s="899" t="s">
        <v>563</v>
      </c>
      <c r="AN4" s="899" t="s">
        <v>230</v>
      </c>
      <c r="AO4" s="882" t="s">
        <v>575</v>
      </c>
      <c r="AP4" s="882" t="s">
        <v>576</v>
      </c>
      <c r="AQ4" s="344"/>
      <c r="AR4" s="885" t="s">
        <v>390</v>
      </c>
      <c r="AS4" s="885"/>
      <c r="AT4" s="885" t="s">
        <v>392</v>
      </c>
      <c r="AU4" s="885"/>
      <c r="AV4" s="385" t="s">
        <v>393</v>
      </c>
      <c r="AW4" s="882" t="s">
        <v>577</v>
      </c>
      <c r="AX4" s="882" t="s">
        <v>587</v>
      </c>
    </row>
    <row r="5" spans="1:50" ht="26" customHeight="1" x14ac:dyDescent="0.35">
      <c r="A5" s="181"/>
      <c r="B5" t="s">
        <v>57</v>
      </c>
      <c r="C5" s="181"/>
      <c r="D5" s="392" t="s">
        <v>207</v>
      </c>
      <c r="E5" s="392" t="s">
        <v>492</v>
      </c>
      <c r="F5" s="390" t="s">
        <v>553</v>
      </c>
      <c r="G5" s="392" t="s">
        <v>65</v>
      </c>
      <c r="H5" s="392" t="s">
        <v>209</v>
      </c>
      <c r="I5" s="307" t="s">
        <v>155</v>
      </c>
      <c r="J5" s="392" t="s">
        <v>210</v>
      </c>
      <c r="K5" s="392" t="s">
        <v>187</v>
      </c>
      <c r="L5" s="310" t="s">
        <v>371</v>
      </c>
      <c r="M5" s="391" t="s">
        <v>579</v>
      </c>
      <c r="N5" s="392" t="s">
        <v>181</v>
      </c>
      <c r="O5" s="391" t="s">
        <v>188</v>
      </c>
      <c r="P5" s="392" t="s">
        <v>115</v>
      </c>
      <c r="Q5" s="893" t="s">
        <v>252</v>
      </c>
      <c r="R5" s="894"/>
      <c r="S5" s="894"/>
      <c r="T5" s="894"/>
      <c r="U5" s="895"/>
      <c r="V5" s="392" t="s">
        <v>182</v>
      </c>
      <c r="W5" s="392" t="s">
        <v>115</v>
      </c>
      <c r="X5" s="390" t="s">
        <v>513</v>
      </c>
      <c r="Y5" s="899" t="s">
        <v>584</v>
      </c>
      <c r="Z5" s="390" t="s">
        <v>65</v>
      </c>
      <c r="AB5" s="884"/>
      <c r="AC5" s="884"/>
      <c r="AD5" s="884"/>
      <c r="AE5" s="884"/>
      <c r="AF5" s="884"/>
      <c r="AG5" s="884"/>
      <c r="AI5" s="306" t="s">
        <v>207</v>
      </c>
      <c r="AJ5" s="306" t="s">
        <v>383</v>
      </c>
      <c r="AK5" s="306" t="s">
        <v>65</v>
      </c>
      <c r="AM5" s="900"/>
      <c r="AN5" s="900"/>
      <c r="AO5" s="883"/>
      <c r="AP5" s="883"/>
      <c r="AQ5" s="344"/>
      <c r="AR5" s="321" t="s">
        <v>384</v>
      </c>
      <c r="AS5" s="321" t="s">
        <v>388</v>
      </c>
      <c r="AT5" s="321" t="s">
        <v>384</v>
      </c>
      <c r="AU5" s="321" t="s">
        <v>388</v>
      </c>
      <c r="AV5" s="386"/>
      <c r="AW5" s="883"/>
      <c r="AX5" s="883"/>
    </row>
    <row r="6" spans="1:50" ht="26" x14ac:dyDescent="0.35">
      <c r="A6" s="181"/>
      <c r="B6" s="181"/>
      <c r="C6" s="330"/>
      <c r="D6" s="177"/>
      <c r="E6" s="176"/>
      <c r="F6" s="363"/>
      <c r="G6" s="176"/>
      <c r="H6" s="176"/>
      <c r="I6" s="308"/>
      <c r="J6" s="176"/>
      <c r="K6" s="176"/>
      <c r="L6" s="308"/>
      <c r="M6" s="391"/>
      <c r="N6" s="392"/>
      <c r="O6" s="391"/>
      <c r="P6" s="392"/>
      <c r="Q6" s="387" t="s">
        <v>253</v>
      </c>
      <c r="R6" s="387" t="s">
        <v>255</v>
      </c>
      <c r="S6" s="387" t="s">
        <v>230</v>
      </c>
      <c r="T6" s="387" t="s">
        <v>254</v>
      </c>
      <c r="U6" s="394" t="s">
        <v>40</v>
      </c>
      <c r="V6" s="392"/>
      <c r="W6" s="392"/>
      <c r="X6" s="392"/>
      <c r="Y6" s="900"/>
      <c r="Z6" s="392"/>
    </row>
    <row r="7" spans="1:50" x14ac:dyDescent="0.35">
      <c r="A7" s="181"/>
      <c r="B7" s="312"/>
      <c r="C7" s="41"/>
      <c r="D7" s="313"/>
      <c r="E7" s="313"/>
      <c r="F7" s="313"/>
      <c r="G7" s="313"/>
      <c r="H7" s="313"/>
      <c r="I7" s="313"/>
      <c r="J7" s="313"/>
      <c r="K7" s="313"/>
      <c r="L7" s="313"/>
      <c r="M7" s="314"/>
      <c r="N7" s="384"/>
      <c r="O7" s="314"/>
      <c r="P7" s="384"/>
      <c r="Q7" s="316"/>
      <c r="R7" s="316"/>
      <c r="S7" s="316"/>
      <c r="T7" s="316"/>
      <c r="U7" s="317"/>
      <c r="V7" s="384"/>
      <c r="W7" s="384"/>
      <c r="X7" s="384"/>
      <c r="Y7" s="384"/>
      <c r="Z7" s="384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R7" s="41"/>
      <c r="AS7" s="41"/>
    </row>
    <row r="8" spans="1:50" x14ac:dyDescent="0.35">
      <c r="A8" s="318">
        <v>0</v>
      </c>
      <c r="B8" s="319">
        <v>42004</v>
      </c>
      <c r="C8" s="331">
        <f>YEAR(B8)</f>
        <v>2014</v>
      </c>
      <c r="D8" s="178">
        <f>SUMIF('Ppto-Mes'!$C$8:$C$68,$C8,'Ppto-Mes'!D$8:D$68)</f>
        <v>264650000</v>
      </c>
      <c r="E8" s="178">
        <f>SUMIF('Ppto-Mes'!$C$8:$C$68,$C8,'Ppto-Mes'!E$8:E$68)</f>
        <v>0</v>
      </c>
      <c r="F8" s="178">
        <f>SUMIF('Ppto-Mes'!$C$8:$C$68,$C8,'Ppto-Mes'!F$8:F$68)</f>
        <v>0</v>
      </c>
      <c r="G8" s="175">
        <f>SUM(D8:F8)</f>
        <v>264650000</v>
      </c>
      <c r="H8" s="178">
        <f>SUMIF('Ppto-Mes'!$C$8:$C$68,$C8,'Ppto-Mes'!H$8:H$68)</f>
        <v>214650000</v>
      </c>
      <c r="I8" s="178">
        <f>SUMIF('Ppto-Mes'!$C$8:$C$68,$C8,'Ppto-Mes'!I$8:I$68)</f>
        <v>50000000</v>
      </c>
      <c r="J8" s="178">
        <f>SUMIF('Ppto-Mes'!$C$8:$C$68,$C8,'Ppto-Mes'!J$8:J$68)</f>
        <v>0</v>
      </c>
      <c r="K8" s="178">
        <f>SUMIF('Ppto-Mes'!$C$8:$C$68,$C8,'Ppto-Mes'!K$8:K$68)</f>
        <v>0</v>
      </c>
      <c r="L8" s="175">
        <f>H8+I8-J8-K8</f>
        <v>264650000</v>
      </c>
      <c r="M8" s="178">
        <f>SUMIF('Ppto-Mes'!$C$8:$C$68,$C8,'Ppto-Mes'!M$8:M$68)</f>
        <v>0</v>
      </c>
      <c r="N8" s="178">
        <f>SUMIF('Ppto-Mes'!$C$8:$C$68,$C8,'Ppto-Mes'!N$8:N$68)</f>
        <v>0</v>
      </c>
      <c r="O8" s="178">
        <f>SUMIF('Ppto-Mes'!$C$8:$C$68,$C8,'Ppto-Mes'!O$8:O$68)</f>
        <v>0</v>
      </c>
      <c r="P8" s="175">
        <f>SUM(M8:O8)</f>
        <v>0</v>
      </c>
      <c r="Q8" s="178">
        <f>SUMIF('Ppto-Mes'!$C$8:$C$68,$C8,'Ppto-Mes'!Q$8:Q$68)</f>
        <v>0</v>
      </c>
      <c r="R8" s="178">
        <f>SUMIF('Ppto-Mes'!$C$8:$C$68,$C8,'Ppto-Mes'!R$8:R$68)</f>
        <v>0</v>
      </c>
      <c r="S8" s="178">
        <f>SUMIF('Ppto-Mes'!$C$8:$C$68,$C8,'Ppto-Mes'!S$8:S$68)</f>
        <v>0</v>
      </c>
      <c r="T8" s="178">
        <f>SUMIF('Ppto-Mes'!$C$8:$C$68,$C8,'Ppto-Mes'!T$8:T$68)</f>
        <v>0</v>
      </c>
      <c r="U8" s="178">
        <f>SUMIF('Ppto-Mes'!$C$8:$C$68,$C8,'Ppto-Mes'!U$8:U$68)</f>
        <v>0</v>
      </c>
      <c r="V8" s="178">
        <f>SUMIF('Ppto-Mes'!$C$8:$C$68,$C8,'Ppto-Mes'!V$8:V$68)</f>
        <v>0</v>
      </c>
      <c r="W8" s="175">
        <f t="shared" ref="W8:W13" si="1">SUM(Q8:V8)</f>
        <v>0</v>
      </c>
      <c r="X8" s="175">
        <f>P8-W8</f>
        <v>0</v>
      </c>
      <c r="Y8" s="178">
        <f>SUMIF('Ppto-Mes'!$C$8:$C$68,$C8,'Ppto-Mes'!Y$8:Y$68)</f>
        <v>0</v>
      </c>
      <c r="Z8" s="175">
        <f>-G8+L8+P8-W8+Y8</f>
        <v>0</v>
      </c>
      <c r="AB8" s="359">
        <f>SUMIF('Ppto-Mes'!$C$8:$C$68,$C8,'Ppto-Mes'!AB$8:AB$68)</f>
        <v>97000000</v>
      </c>
      <c r="AC8" s="178">
        <f>SUMIF('Ppto-Mes'!$C$8:$C$68,$C8,'Ppto-Mes'!AC$8:AC$68)</f>
        <v>-97000000</v>
      </c>
      <c r="AD8" s="178">
        <f>SUMIF('Ppto-Mes'!$C$8:$C$68,$C8,'Ppto-Mes'!AD$8:AD$68)</f>
        <v>0</v>
      </c>
      <c r="AE8" s="178">
        <f>SUMIF('Ppto-Mes'!$C$8:$C$68,$C8,'Ppto-Mes'!AE$8:AE$68)</f>
        <v>194000000</v>
      </c>
      <c r="AF8" s="175">
        <f>IF(AE8&gt;AB8,AE8-AB8,0)</f>
        <v>97000000</v>
      </c>
      <c r="AG8" s="175">
        <f>IF(AE8&lt;AB8,AB8-AE8,0)</f>
        <v>0</v>
      </c>
      <c r="AI8" s="178">
        <f>SUMIF('Ppto-Mes'!$C$8:$C$68,$C8,'Ppto-Mes'!AI$8:AI$68)</f>
        <v>0</v>
      </c>
      <c r="AJ8" s="178">
        <f>SUMIF('Ppto-Mes'!$C$8:$C$68,$C8,'Ppto-Mes'!AJ$8:AJ$68)</f>
        <v>0</v>
      </c>
      <c r="AK8" s="175">
        <f>SUM(AI8:AJ8)</f>
        <v>0</v>
      </c>
      <c r="AM8" s="178">
        <f>SUMIF('Ppto-Mes'!$C$8:$C$68,$C8,'Ppto-Mes'!AM$8:AM$68)</f>
        <v>0</v>
      </c>
      <c r="AN8" s="178">
        <f>SUMIF('Ppto-Mes'!$C$8:$C$68,$C8,'Ppto-Mes'!AN$8:AN$68)</f>
        <v>0</v>
      </c>
      <c r="AO8" s="175">
        <f>(P8-M8+AM8)-(W8-S8)-K8-AK8-AN8</f>
        <v>0</v>
      </c>
      <c r="AP8" s="175">
        <f>SUMIF($C$8:$C8,$C8,$AO$8:$AO8)</f>
        <v>0</v>
      </c>
      <c r="AR8" s="320">
        <f>VLOOKUP($B8,'Ppto-Mes'!$B$8:$AX$68,43,0)</f>
        <v>0</v>
      </c>
      <c r="AS8" s="178">
        <f>SUMIF('Ppto-Mes'!$C$8:$C$68,$C8,'Ppto-Mes'!AS$8:AS$68)-SUM(AS$7:AS7)</f>
        <v>0</v>
      </c>
      <c r="AT8" s="320">
        <f>VLOOKUP($B8,'Ppto-Mes'!$B$8:$AX$68,45,0)</f>
        <v>0</v>
      </c>
      <c r="AU8" s="178">
        <f>SUMIF('Ppto-Mes'!$C$8:$C$68,$C8,'Ppto-Mes'!AU$8:AU$68)-SUM(AU$7:AU7)</f>
        <v>0</v>
      </c>
      <c r="AV8" s="359">
        <f>AS8+AU8</f>
        <v>0</v>
      </c>
      <c r="AW8" s="175">
        <f t="shared" ref="AW8:AW12" si="2">AP8-AV8</f>
        <v>0</v>
      </c>
      <c r="AX8" s="178">
        <f>AV8</f>
        <v>0</v>
      </c>
    </row>
    <row r="9" spans="1:50" x14ac:dyDescent="0.35">
      <c r="A9" s="18">
        <v>1</v>
      </c>
      <c r="B9" s="184">
        <v>42369</v>
      </c>
      <c r="C9" s="331">
        <f t="shared" ref="C9:C13" si="3">YEAR(B9)</f>
        <v>2015</v>
      </c>
      <c r="D9" s="178">
        <f>SUMIF('Ppto-Mes'!$C$8:$C$68,$C9,'Ppto-Mes'!D$8:D$68)</f>
        <v>0</v>
      </c>
      <c r="E9" s="178">
        <f>SUMIF('Ppto-Mes'!$C$8:$C$68,$C9,'Ppto-Mes'!E$8:E$68)</f>
        <v>15300000</v>
      </c>
      <c r="F9" s="178">
        <f>SUMIF('Ppto-Mes'!$C$8:$C$68,$C9,'Ppto-Mes'!F$8:F$68)</f>
        <v>128000000</v>
      </c>
      <c r="G9" s="175">
        <f t="shared" ref="G9:G13" si="4">SUM(D9:F9)</f>
        <v>143300000</v>
      </c>
      <c r="H9" s="178">
        <f>SUMIF('Ppto-Mes'!$C$8:$C$68,$C9,'Ppto-Mes'!H$8:H$68)</f>
        <v>2000000</v>
      </c>
      <c r="I9" s="178">
        <f>SUMIF('Ppto-Mes'!$C$8:$C$68,$C9,'Ppto-Mes'!I$8:I$68)</f>
        <v>0</v>
      </c>
      <c r="J9" s="178">
        <f>SUMIF('Ppto-Mes'!$C$8:$C$68,$C9,'Ppto-Mes'!J$8:J$68)</f>
        <v>2000000</v>
      </c>
      <c r="K9" s="178">
        <f>SUMIF('Ppto-Mes'!$C$8:$C$68,$C9,'Ppto-Mes'!K$8:K$68)</f>
        <v>21777569</v>
      </c>
      <c r="L9" s="175">
        <f t="shared" ref="L9:L13" si="5">H9+I9-J9-K9</f>
        <v>-21777569</v>
      </c>
      <c r="M9" s="178">
        <f>SUMIF('Ppto-Mes'!$C$8:$C$68,$C9,'Ppto-Mes'!M$8:M$68)</f>
        <v>1149313000</v>
      </c>
      <c r="N9" s="178">
        <f>SUMIF('Ppto-Mes'!$C$8:$C$68,$C9,'Ppto-Mes'!N$8:N$68)</f>
        <v>1095400</v>
      </c>
      <c r="O9" s="178">
        <f>SUMIF('Ppto-Mes'!$C$8:$C$68,$C9,'Ppto-Mes'!O$8:O$68)</f>
        <v>0</v>
      </c>
      <c r="P9" s="175">
        <f t="shared" ref="P9:P13" si="6">SUM(M9:O9)</f>
        <v>1150408400</v>
      </c>
      <c r="Q9" s="178">
        <f>SUMIF('Ppto-Mes'!$C$8:$C$68,$C9,'Ppto-Mes'!Q$8:Q$68)</f>
        <v>872489572.79999983</v>
      </c>
      <c r="R9" s="178">
        <f>SUMIF('Ppto-Mes'!$C$8:$C$68,$C9,'Ppto-Mes'!R$8:R$68)</f>
        <v>88767703.679400027</v>
      </c>
      <c r="S9" s="178">
        <f>SUMIF('Ppto-Mes'!$C$8:$C$68,$C9,'Ppto-Mes'!S$8:S$68)</f>
        <v>5650688</v>
      </c>
      <c r="T9" s="178">
        <f>SUMIF('Ppto-Mes'!$C$8:$C$68,$C9,'Ppto-Mes'!T$8:T$68)</f>
        <v>137892000</v>
      </c>
      <c r="U9" s="178">
        <f>SUMIF('Ppto-Mes'!$C$8:$C$68,$C9,'Ppto-Mes'!U$8:U$68)</f>
        <v>62689800</v>
      </c>
      <c r="V9" s="178">
        <f>SUMIF('Ppto-Mes'!$C$8:$C$68,$C9,'Ppto-Mes'!V$8:V$68)</f>
        <v>0</v>
      </c>
      <c r="W9" s="175">
        <f t="shared" si="1"/>
        <v>1167489764.4793999</v>
      </c>
      <c r="X9" s="175">
        <f t="shared" ref="X9:X13" si="7">P9-W9</f>
        <v>-17081364.47939992</v>
      </c>
      <c r="Y9" s="178">
        <f>SUMIF('Ppto-Mes'!$C$8:$C$68,$C9,'Ppto-Mes'!Y$8:Y$68)</f>
        <v>0</v>
      </c>
      <c r="Z9" s="175">
        <f t="shared" ref="Z9:Z13" si="8">-G9+L9+P9-W9+Y9</f>
        <v>-182158933.47939992</v>
      </c>
      <c r="AB9" s="359">
        <f>SUMIF('Ppto-Mes'!$C$8:$C$68,$C9,'Ppto-Mes'!AB$8:AB$68)</f>
        <v>1190000000</v>
      </c>
      <c r="AC9" s="178">
        <f>SUMIF('Ppto-Mes'!$C$8:$C$68,$C9,'Ppto-Mes'!AC$8:AC$68)</f>
        <v>-20669932.116101027</v>
      </c>
      <c r="AD9" s="178">
        <f>SUMIF('Ppto-Mes'!$C$8:$C$68,$C9,'Ppto-Mes'!AD$8:AD$68)</f>
        <v>106000000</v>
      </c>
      <c r="AE9" s="178">
        <f>SUMIF('Ppto-Mes'!$C$8:$C$68,$C9,'Ppto-Mes'!AE$8:AE$68)</f>
        <v>1275308156.883899</v>
      </c>
      <c r="AF9" s="175">
        <f t="shared" ref="AF9:AF13" si="9">IF(AE9&gt;AB9,AE9-AB9,0)</f>
        <v>85308156.883898973</v>
      </c>
      <c r="AG9" s="175">
        <f t="shared" ref="AG9:AG13" si="10">IF(AE9&lt;AB9,AB9-AE9,0)</f>
        <v>0</v>
      </c>
      <c r="AI9" s="178">
        <f>SUMIF('Ppto-Mes'!$C$8:$C$68,$C9,'Ppto-Mes'!AI$8:AI$68)</f>
        <v>34241652</v>
      </c>
      <c r="AJ9" s="178">
        <f>SUMIF('Ppto-Mes'!$C$8:$C$68,$C9,'Ppto-Mes'!AJ$8:AJ$68)</f>
        <v>6000000</v>
      </c>
      <c r="AK9" s="175">
        <f t="shared" ref="AK9:AK13" si="11">SUM(AI9:AJ9)</f>
        <v>40241652</v>
      </c>
      <c r="AM9" s="178">
        <f>SUMIF('Ppto-Mes'!$C$8:$C$68,$C9,'Ppto-Mes'!AM$8:AM$68)</f>
        <v>1253796000</v>
      </c>
      <c r="AN9" s="178">
        <f>SUMIF('Ppto-Mes'!$C$8:$C$68,$C9,'Ppto-Mes'!AN$8:AN$68)</f>
        <v>11979456</v>
      </c>
      <c r="AO9" s="175">
        <f t="shared" ref="AO9:AO13" si="12">(P9-M9+AM9)-(W9-S9)-K9-AK9-AN9</f>
        <v>19053646.52060008</v>
      </c>
      <c r="AP9" s="175">
        <f>SUMIF($C$8:$C9,$C9,$AO$8:$AO9)</f>
        <v>19053646.52060008</v>
      </c>
      <c r="AR9" s="320">
        <f>VLOOKUP($B9,'Ppto-Mes'!$B$8:$AX$68,43,0)</f>
        <v>0</v>
      </c>
      <c r="AS9" s="178">
        <f>SUMIF('Ppto-Mes'!$C$8:$C$68,$C9,'Ppto-Mes'!AS$8:AS$68)-SUM(AS$7:AS8)</f>
        <v>0</v>
      </c>
      <c r="AT9" s="320">
        <f>VLOOKUP($B9,'Ppto-Mes'!$B$8:$AX$68,45,0)</f>
        <v>0.09</v>
      </c>
      <c r="AU9" s="178">
        <f>SUMIF('Ppto-Mes'!$C$8:$C$68,$C9,'Ppto-Mes'!AU$8:AU$68)-SUM(AU$7:AU8)</f>
        <v>12925000</v>
      </c>
      <c r="AV9" s="359">
        <f t="shared" ref="AV9:AV13" si="13">AS9+AU9</f>
        <v>12925000</v>
      </c>
      <c r="AW9" s="175">
        <f t="shared" si="2"/>
        <v>6128646.5206000805</v>
      </c>
      <c r="AX9" s="178">
        <f t="shared" ref="AX9:AX13" si="14">AV9</f>
        <v>12925000</v>
      </c>
    </row>
    <row r="10" spans="1:50" x14ac:dyDescent="0.35">
      <c r="A10" s="18">
        <v>2</v>
      </c>
      <c r="B10" s="184">
        <v>42735</v>
      </c>
      <c r="C10" s="331">
        <f t="shared" si="3"/>
        <v>2016</v>
      </c>
      <c r="D10" s="178">
        <f>SUMIF('Ppto-Mes'!$C$8:$C$68,$C10,'Ppto-Mes'!D$8:D$68)</f>
        <v>0</v>
      </c>
      <c r="E10" s="178">
        <f>SUMIF('Ppto-Mes'!$C$8:$C$68,$C10,'Ppto-Mes'!E$8:E$68)</f>
        <v>47408000</v>
      </c>
      <c r="F10" s="178">
        <f>SUMIF('Ppto-Mes'!$C$8:$C$68,$C10,'Ppto-Mes'!F$8:F$68)</f>
        <v>0</v>
      </c>
      <c r="G10" s="175">
        <f t="shared" si="4"/>
        <v>47408000</v>
      </c>
      <c r="H10" s="178">
        <f>SUMIF('Ppto-Mes'!$C$8:$C$68,$C10,'Ppto-Mes'!H$8:H$68)</f>
        <v>133000000</v>
      </c>
      <c r="I10" s="178">
        <f>SUMIF('Ppto-Mes'!$C$8:$C$68,$C10,'Ppto-Mes'!I$8:I$68)</f>
        <v>0</v>
      </c>
      <c r="J10" s="178">
        <f>SUMIF('Ppto-Mes'!$C$8:$C$68,$C10,'Ppto-Mes'!J$8:J$68)</f>
        <v>164325000</v>
      </c>
      <c r="K10" s="178">
        <f>SUMIF('Ppto-Mes'!$C$8:$C$68,$C10,'Ppto-Mes'!K$8:K$68)</f>
        <v>17895649</v>
      </c>
      <c r="L10" s="175">
        <f t="shared" si="5"/>
        <v>-49220649</v>
      </c>
      <c r="M10" s="178">
        <f>SUMIF('Ppto-Mes'!$C$8:$C$68,$C10,'Ppto-Mes'!M$8:M$68)</f>
        <v>1417806000</v>
      </c>
      <c r="N10" s="178">
        <f>SUMIF('Ppto-Mes'!$C$8:$C$68,$C10,'Ppto-Mes'!N$8:N$68)</f>
        <v>153707</v>
      </c>
      <c r="O10" s="178">
        <f>SUMIF('Ppto-Mes'!$C$8:$C$68,$C10,'Ppto-Mes'!O$8:O$68)</f>
        <v>0</v>
      </c>
      <c r="P10" s="175">
        <f t="shared" si="6"/>
        <v>1417959707</v>
      </c>
      <c r="Q10" s="178">
        <f>SUMIF('Ppto-Mes'!$C$8:$C$68,$C10,'Ppto-Mes'!Q$8:Q$68)</f>
        <v>1013935917.5999999</v>
      </c>
      <c r="R10" s="178">
        <f>SUMIF('Ppto-Mes'!$C$8:$C$68,$C10,'Ppto-Mes'!R$8:R$68)</f>
        <v>95428596.765600026</v>
      </c>
      <c r="S10" s="178">
        <f>SUMIF('Ppto-Mes'!$C$8:$C$68,$C10,'Ppto-Mes'!S$8:S$68)</f>
        <v>12491200</v>
      </c>
      <c r="T10" s="178">
        <f>SUMIF('Ppto-Mes'!$C$8:$C$68,$C10,'Ppto-Mes'!T$8:T$68)</f>
        <v>142044000</v>
      </c>
      <c r="U10" s="178">
        <f>SUMIF('Ppto-Mes'!$C$8:$C$68,$C10,'Ppto-Mes'!U$8:U$68)</f>
        <v>71635800</v>
      </c>
      <c r="V10" s="178">
        <f>SUMIF('Ppto-Mes'!$C$8:$C$68,$C10,'Ppto-Mes'!V$8:V$68)</f>
        <v>0</v>
      </c>
      <c r="W10" s="175">
        <f t="shared" si="1"/>
        <v>1335535514.3655999</v>
      </c>
      <c r="X10" s="175">
        <f t="shared" si="7"/>
        <v>82424192.634400129</v>
      </c>
      <c r="Y10" s="178">
        <f>SUMIF('Ppto-Mes'!$C$8:$C$68,$C10,'Ppto-Mes'!Y$8:Y$68)</f>
        <v>-1715000</v>
      </c>
      <c r="Z10" s="175">
        <f t="shared" si="8"/>
        <v>-15919456.365599871</v>
      </c>
      <c r="AB10" s="359">
        <f>SUMIF('Ppto-Mes'!$C$8:$C$68,$C10,'Ppto-Mes'!AB$8:AB$68)</f>
        <v>1361000000</v>
      </c>
      <c r="AC10" s="178">
        <f>SUMIF('Ppto-Mes'!$C$8:$C$68,$C10,'Ppto-Mes'!AC$8:AC$68)</f>
        <v>-148506391.12920338</v>
      </c>
      <c r="AD10" s="178">
        <f>SUMIF('Ppto-Mes'!$C$8:$C$68,$C10,'Ppto-Mes'!AD$8:AD$68)</f>
        <v>22000000</v>
      </c>
      <c r="AE10" s="178">
        <f>SUMIF('Ppto-Mes'!$C$8:$C$68,$C10,'Ppto-Mes'!AE$8:AE$68)</f>
        <v>1309850694.8707967</v>
      </c>
      <c r="AF10" s="175">
        <f t="shared" si="9"/>
        <v>0</v>
      </c>
      <c r="AG10" s="175">
        <f t="shared" si="10"/>
        <v>51149305.12920332</v>
      </c>
      <c r="AI10" s="178">
        <f>SUMIF('Ppto-Mes'!$C$8:$C$68,$C10,'Ppto-Mes'!AI$8:AI$68)</f>
        <v>19241664</v>
      </c>
      <c r="AJ10" s="178">
        <f>SUMIF('Ppto-Mes'!$C$8:$C$68,$C10,'Ppto-Mes'!AJ$8:AJ$68)</f>
        <v>12600000</v>
      </c>
      <c r="AK10" s="175">
        <f t="shared" si="11"/>
        <v>31841664</v>
      </c>
      <c r="AM10" s="178">
        <f>SUMIF('Ppto-Mes'!$C$8:$C$68,$C10,'Ppto-Mes'!AM$8:AM$68)</f>
        <v>1432716000</v>
      </c>
      <c r="AN10" s="178">
        <f>SUMIF('Ppto-Mes'!$C$8:$C$68,$C10,'Ppto-Mes'!AN$8:AN$68)</f>
        <v>13064352</v>
      </c>
      <c r="AO10" s="175">
        <f t="shared" si="12"/>
        <v>47023727.634400129</v>
      </c>
      <c r="AP10" s="175">
        <f>SUMIF($C$8:$C10,$C10,$AO$8:$AO10)</f>
        <v>47023727.634400129</v>
      </c>
      <c r="AR10" s="320">
        <f>VLOOKUP($B10,'Ppto-Mes'!$B$8:$AX$68,43,0)</f>
        <v>0</v>
      </c>
      <c r="AS10" s="178">
        <f>SUMIF('Ppto-Mes'!$C$8:$C$68,$C10,'Ppto-Mes'!AS$8:AS$68)-SUM(AS$7:AS9)</f>
        <v>0</v>
      </c>
      <c r="AT10" s="320">
        <f>VLOOKUP($B10,'Ppto-Mes'!$B$8:$AX$68,45,0)</f>
        <v>0.09</v>
      </c>
      <c r="AU10" s="178">
        <f>SUMIF('Ppto-Mes'!$C$8:$C$68,$C10,'Ppto-Mes'!AU$8:AU$68)-SUM(AU$7:AU9)</f>
        <v>12966000</v>
      </c>
      <c r="AV10" s="359">
        <f t="shared" si="13"/>
        <v>12966000</v>
      </c>
      <c r="AW10" s="175">
        <f t="shared" si="2"/>
        <v>34057727.634400129</v>
      </c>
      <c r="AX10" s="178">
        <f t="shared" si="14"/>
        <v>12966000</v>
      </c>
    </row>
    <row r="11" spans="1:50" x14ac:dyDescent="0.35">
      <c r="A11" s="18">
        <v>3</v>
      </c>
      <c r="B11" s="184">
        <v>43100</v>
      </c>
      <c r="C11" s="331">
        <f t="shared" si="3"/>
        <v>2017</v>
      </c>
      <c r="D11" s="178">
        <f>SUMIF('Ppto-Mes'!$C$8:$C$68,$C11,'Ppto-Mes'!D$8:D$68)</f>
        <v>0</v>
      </c>
      <c r="E11" s="178">
        <f>SUMIF('Ppto-Mes'!$C$8:$C$68,$C11,'Ppto-Mes'!E$8:E$68)</f>
        <v>11253000</v>
      </c>
      <c r="F11" s="178">
        <f>SUMIF('Ppto-Mes'!$C$8:$C$68,$C11,'Ppto-Mes'!F$8:F$68)</f>
        <v>0</v>
      </c>
      <c r="G11" s="175">
        <f t="shared" si="4"/>
        <v>11253000</v>
      </c>
      <c r="H11" s="178">
        <f>SUMIF('Ppto-Mes'!$C$8:$C$68,$C11,'Ppto-Mes'!H$8:H$68)</f>
        <v>719000000</v>
      </c>
      <c r="I11" s="178">
        <f>SUMIF('Ppto-Mes'!$C$8:$C$68,$C11,'Ppto-Mes'!I$8:I$68)</f>
        <v>0</v>
      </c>
      <c r="J11" s="178">
        <f>SUMIF('Ppto-Mes'!$C$8:$C$68,$C11,'Ppto-Mes'!J$8:J$68)</f>
        <v>783325000</v>
      </c>
      <c r="K11" s="178">
        <f>SUMIF('Ppto-Mes'!$C$8:$C$68,$C11,'Ppto-Mes'!K$8:K$68)</f>
        <v>13309243</v>
      </c>
      <c r="L11" s="175">
        <f t="shared" si="5"/>
        <v>-77634243</v>
      </c>
      <c r="M11" s="178">
        <f>SUMIF('Ppto-Mes'!$C$8:$C$68,$C11,'Ppto-Mes'!M$8:M$68)</f>
        <v>1623291000</v>
      </c>
      <c r="N11" s="178">
        <f>SUMIF('Ppto-Mes'!$C$8:$C$68,$C11,'Ppto-Mes'!N$8:N$68)</f>
        <v>0</v>
      </c>
      <c r="O11" s="178">
        <f>SUMIF('Ppto-Mes'!$C$8:$C$68,$C11,'Ppto-Mes'!O$8:O$68)</f>
        <v>0</v>
      </c>
      <c r="P11" s="175">
        <f t="shared" si="6"/>
        <v>1623291000</v>
      </c>
      <c r="Q11" s="178">
        <f>SUMIF('Ppto-Mes'!$C$8:$C$68,$C11,'Ppto-Mes'!Q$8:Q$68)</f>
        <v>1177478378.4000003</v>
      </c>
      <c r="R11" s="178">
        <f>SUMIF('Ppto-Mes'!$C$8:$C$68,$C11,'Ppto-Mes'!R$8:R$68)</f>
        <v>113575990.84649996</v>
      </c>
      <c r="S11" s="178">
        <f>SUMIF('Ppto-Mes'!$C$8:$C$68,$C11,'Ppto-Mes'!S$8:S$68)</f>
        <v>13644531</v>
      </c>
      <c r="T11" s="178">
        <f>SUMIF('Ppto-Mes'!$C$8:$C$68,$C11,'Ppto-Mes'!T$8:T$68)</f>
        <v>146316000</v>
      </c>
      <c r="U11" s="178">
        <f>SUMIF('Ppto-Mes'!$C$8:$C$68,$C11,'Ppto-Mes'!U$8:U$68)</f>
        <v>82030800</v>
      </c>
      <c r="V11" s="178">
        <f>SUMIF('Ppto-Mes'!$C$8:$C$68,$C11,'Ppto-Mes'!V$8:V$68)</f>
        <v>0</v>
      </c>
      <c r="W11" s="175">
        <f t="shared" si="1"/>
        <v>1533045700.2465003</v>
      </c>
      <c r="X11" s="175">
        <f t="shared" si="7"/>
        <v>90245299.753499746</v>
      </c>
      <c r="Y11" s="178">
        <f>SUMIF('Ppto-Mes'!$C$8:$C$68,$C11,'Ppto-Mes'!Y$8:Y$68)</f>
        <v>-4233000</v>
      </c>
      <c r="Z11" s="175">
        <f t="shared" si="8"/>
        <v>-2874943.2465002537</v>
      </c>
      <c r="AB11" s="359">
        <f>SUMIF('Ppto-Mes'!$C$8:$C$68,$C11,'Ppto-Mes'!AB$8:AB$68)</f>
        <v>1556000000</v>
      </c>
      <c r="AC11" s="178">
        <f>SUMIF('Ppto-Mes'!$C$8:$C$68,$C11,'Ppto-Mes'!AC$8:AC$68)</f>
        <v>-711867033.24225426</v>
      </c>
      <c r="AD11" s="178">
        <f>SUMIF('Ppto-Mes'!$C$8:$C$68,$C11,'Ppto-Mes'!AD$8:AD$68)</f>
        <v>0</v>
      </c>
      <c r="AE11" s="178">
        <f>SUMIF('Ppto-Mes'!$C$8:$C$68,$C11,'Ppto-Mes'!AE$8:AE$68)</f>
        <v>879656163.75774574</v>
      </c>
      <c r="AF11" s="175">
        <f t="shared" si="9"/>
        <v>0</v>
      </c>
      <c r="AG11" s="175">
        <f t="shared" si="10"/>
        <v>676343836.24225426</v>
      </c>
      <c r="AI11" s="178">
        <f>SUMIF('Ppto-Mes'!$C$8:$C$68,$C11,'Ppto-Mes'!AI$8:AI$68)</f>
        <v>8666676</v>
      </c>
      <c r="AJ11" s="178">
        <f>SUMIF('Ppto-Mes'!$C$8:$C$68,$C11,'Ppto-Mes'!AJ$8:AJ$68)</f>
        <v>26830164</v>
      </c>
      <c r="AK11" s="175">
        <f t="shared" si="11"/>
        <v>35496840</v>
      </c>
      <c r="AM11" s="178">
        <f>SUMIF('Ppto-Mes'!$C$8:$C$68,$C11,'Ppto-Mes'!AM$8:AM$68)</f>
        <v>1640616000</v>
      </c>
      <c r="AN11" s="178">
        <f>SUMIF('Ppto-Mes'!$C$8:$C$68,$C11,'Ppto-Mes'!AN$8:AN$68)</f>
        <v>14294328</v>
      </c>
      <c r="AO11" s="175">
        <f t="shared" si="12"/>
        <v>58114419.753499746</v>
      </c>
      <c r="AP11" s="175">
        <f>SUMIF($C$8:$C11,$C11,$AO$8:$AO11)</f>
        <v>58114419.753499746</v>
      </c>
      <c r="AR11" s="320">
        <f>VLOOKUP($B11,'Ppto-Mes'!$B$8:$AX$68,43,0)</f>
        <v>6.25E-2</v>
      </c>
      <c r="AS11" s="178">
        <f>SUMIF('Ppto-Mes'!$C$8:$C$68,$C11,'Ppto-Mes'!AS$8:AS$68)-SUM(AS$7:AS10)</f>
        <v>22940000</v>
      </c>
      <c r="AT11" s="320">
        <f>VLOOKUP($B11,'Ppto-Mes'!$B$8:$AX$68,45,0)</f>
        <v>0.09</v>
      </c>
      <c r="AU11" s="178">
        <f>SUMIF('Ppto-Mes'!$C$8:$C$68,$C11,'Ppto-Mes'!AU$8:AU$68)-SUM(AU$7:AU10)</f>
        <v>7138000</v>
      </c>
      <c r="AV11" s="359">
        <f t="shared" si="13"/>
        <v>30078000</v>
      </c>
      <c r="AW11" s="175">
        <f t="shared" si="2"/>
        <v>28036419.753499746</v>
      </c>
      <c r="AX11" s="178">
        <f t="shared" si="14"/>
        <v>30078000</v>
      </c>
    </row>
    <row r="12" spans="1:50" x14ac:dyDescent="0.35">
      <c r="A12" s="18">
        <v>4</v>
      </c>
      <c r="B12" s="184">
        <v>43465</v>
      </c>
      <c r="C12" s="331">
        <f t="shared" si="3"/>
        <v>2018</v>
      </c>
      <c r="D12" s="178">
        <f>SUMIF('Ppto-Mes'!$C$8:$C$68,$C12,'Ppto-Mes'!D$8:D$68)</f>
        <v>0</v>
      </c>
      <c r="E12" s="178">
        <f>SUMIF('Ppto-Mes'!$C$8:$C$68,$C12,'Ppto-Mes'!E$8:E$68)</f>
        <v>52579000</v>
      </c>
      <c r="F12" s="178">
        <f>SUMIF('Ppto-Mes'!$C$8:$C$68,$C12,'Ppto-Mes'!F$8:F$68)</f>
        <v>0</v>
      </c>
      <c r="G12" s="175">
        <f t="shared" si="4"/>
        <v>52579000</v>
      </c>
      <c r="H12" s="178">
        <f>SUMIF('Ppto-Mes'!$C$8:$C$68,$C12,'Ppto-Mes'!H$8:H$68)</f>
        <v>728000000</v>
      </c>
      <c r="I12" s="178">
        <f>SUMIF('Ppto-Mes'!$C$8:$C$68,$C12,'Ppto-Mes'!I$8:I$68)</f>
        <v>0</v>
      </c>
      <c r="J12" s="178">
        <f>SUMIF('Ppto-Mes'!$C$8:$C$68,$C12,'Ppto-Mes'!J$8:J$68)</f>
        <v>717000000</v>
      </c>
      <c r="K12" s="178">
        <f>SUMIF('Ppto-Mes'!$C$8:$C$68,$C12,'Ppto-Mes'!K$8:K$68)</f>
        <v>7763060</v>
      </c>
      <c r="L12" s="175">
        <f t="shared" si="5"/>
        <v>3236940</v>
      </c>
      <c r="M12" s="178">
        <f>SUMIF('Ppto-Mes'!$C$8:$C$68,$C12,'Ppto-Mes'!M$8:M$68)</f>
        <v>1860132000</v>
      </c>
      <c r="N12" s="178">
        <f>SUMIF('Ppto-Mes'!$C$8:$C$68,$C12,'Ppto-Mes'!N$8:N$68)</f>
        <v>0</v>
      </c>
      <c r="O12" s="178">
        <f>SUMIF('Ppto-Mes'!$C$8:$C$68,$C12,'Ppto-Mes'!O$8:O$68)</f>
        <v>0</v>
      </c>
      <c r="P12" s="175">
        <f t="shared" si="6"/>
        <v>1860132000</v>
      </c>
      <c r="Q12" s="178">
        <f>SUMIF('Ppto-Mes'!$C$8:$C$68,$C12,'Ppto-Mes'!Q$8:Q$68)</f>
        <v>1363942503.5999997</v>
      </c>
      <c r="R12" s="178">
        <f>SUMIF('Ppto-Mes'!$C$8:$C$68,$C12,'Ppto-Mes'!R$8:R$68)</f>
        <v>131801882.24639998</v>
      </c>
      <c r="S12" s="178">
        <f>SUMIF('Ppto-Mes'!$C$8:$C$68,$C12,'Ppto-Mes'!S$8:S$68)</f>
        <v>14948666</v>
      </c>
      <c r="T12" s="178">
        <f>SUMIF('Ppto-Mes'!$C$8:$C$68,$C12,'Ppto-Mes'!T$8:T$68)</f>
        <v>150708000</v>
      </c>
      <c r="U12" s="178">
        <f>SUMIF('Ppto-Mes'!$C$8:$C$68,$C12,'Ppto-Mes'!U$8:U$68)</f>
        <v>94004400</v>
      </c>
      <c r="V12" s="178">
        <f>SUMIF('Ppto-Mes'!$C$8:$C$68,$C12,'Ppto-Mes'!V$8:V$68)</f>
        <v>0</v>
      </c>
      <c r="W12" s="175">
        <f t="shared" si="1"/>
        <v>1755405451.8463995</v>
      </c>
      <c r="X12" s="175">
        <f t="shared" si="7"/>
        <v>104726548.15360045</v>
      </c>
      <c r="Y12" s="178">
        <f>SUMIF('Ppto-Mes'!$C$8:$C$68,$C12,'Ppto-Mes'!Y$8:Y$68)</f>
        <v>-8864000</v>
      </c>
      <c r="Z12" s="175">
        <f t="shared" si="8"/>
        <v>46520488.153600454</v>
      </c>
      <c r="AB12" s="359">
        <f>SUMIF('Ppto-Mes'!$C$8:$C$68,$C12,'Ppto-Mes'!AB$8:AB$68)</f>
        <v>1779000000</v>
      </c>
      <c r="AC12" s="178">
        <f>SUMIF('Ppto-Mes'!$C$8:$C$68,$C12,'Ppto-Mes'!AC$8:AC$68)</f>
        <v>-712273412.0996058</v>
      </c>
      <c r="AD12" s="178">
        <f>SUMIF('Ppto-Mes'!$C$8:$C$68,$C12,'Ppto-Mes'!AD$8:AD$68)</f>
        <v>0</v>
      </c>
      <c r="AE12" s="178">
        <f>SUMIF('Ppto-Mes'!$C$8:$C$68,$C12,'Ppto-Mes'!AE$8:AE$68)</f>
        <v>1069963527.9003944</v>
      </c>
      <c r="AF12" s="175">
        <f t="shared" si="9"/>
        <v>0</v>
      </c>
      <c r="AG12" s="175">
        <f t="shared" si="10"/>
        <v>709036472.09960556</v>
      </c>
      <c r="AI12" s="178">
        <f>SUMIF('Ppto-Mes'!$C$8:$C$68,$C12,'Ppto-Mes'!AI$8:AI$68)</f>
        <v>4250004</v>
      </c>
      <c r="AJ12" s="178">
        <f>SUMIF('Ppto-Mes'!$C$8:$C$68,$C12,'Ppto-Mes'!AJ$8:AJ$68)</f>
        <v>27886166</v>
      </c>
      <c r="AK12" s="175">
        <f t="shared" si="11"/>
        <v>32136170</v>
      </c>
      <c r="AM12" s="178">
        <f>SUMIF('Ppto-Mes'!$C$8:$C$68,$C12,'Ppto-Mes'!AM$8:AM$68)</f>
        <v>1880088000</v>
      </c>
      <c r="AN12" s="178">
        <f>SUMIF('Ppto-Mes'!$C$8:$C$68,$C12,'Ppto-Mes'!AN$8:AN$68)</f>
        <v>15681516</v>
      </c>
      <c r="AO12" s="175">
        <f t="shared" si="12"/>
        <v>84050468.153600454</v>
      </c>
      <c r="AP12" s="175">
        <f>SUMIF($C$8:$C12,$C12,$AO$8:$AO12)</f>
        <v>84050468.153600454</v>
      </c>
      <c r="AR12" s="320">
        <f>VLOOKUP($B12,'Ppto-Mes'!$B$8:$AX$68,43,0)</f>
        <v>0.125</v>
      </c>
      <c r="AS12" s="178">
        <f>SUMIF('Ppto-Mes'!$C$8:$C$68,$C12,'Ppto-Mes'!AS$8:AS$68)-SUM(AS$7:AS11)</f>
        <v>44412000</v>
      </c>
      <c r="AT12" s="320">
        <f>VLOOKUP($B12,'Ppto-Mes'!$B$8:$AX$68,45,0)</f>
        <v>0.09</v>
      </c>
      <c r="AU12" s="178">
        <f>SUMIF('Ppto-Mes'!$C$8:$C$68,$C12,'Ppto-Mes'!AU$8:AU$68)-SUM(AU$7:AU11)</f>
        <v>15466000</v>
      </c>
      <c r="AV12" s="359">
        <f t="shared" si="13"/>
        <v>59878000</v>
      </c>
      <c r="AW12" s="175">
        <f t="shared" si="2"/>
        <v>24172468.153600454</v>
      </c>
      <c r="AX12" s="178">
        <f t="shared" si="14"/>
        <v>59878000</v>
      </c>
    </row>
    <row r="13" spans="1:50" x14ac:dyDescent="0.35">
      <c r="A13" s="18">
        <v>5</v>
      </c>
      <c r="B13" s="184">
        <v>43830</v>
      </c>
      <c r="C13" s="331">
        <f t="shared" si="3"/>
        <v>2019</v>
      </c>
      <c r="D13" s="178">
        <f>SUMIF('Ppto-Mes'!$C$8:$C$68,$C13,'Ppto-Mes'!D$8:D$68)</f>
        <v>0</v>
      </c>
      <c r="E13" s="178">
        <f>SUMIF('Ppto-Mes'!$C$8:$C$68,$C13,'Ppto-Mes'!E$8:E$68)</f>
        <v>8785000</v>
      </c>
      <c r="F13" s="178">
        <f>SUMIF('Ppto-Mes'!$C$8:$C$68,$C13,'Ppto-Mes'!F$8:F$68)</f>
        <v>0</v>
      </c>
      <c r="G13" s="175">
        <f t="shared" si="4"/>
        <v>8785000</v>
      </c>
      <c r="H13" s="178">
        <f>SUMIF('Ppto-Mes'!$C$8:$C$68,$C13,'Ppto-Mes'!H$8:H$68)</f>
        <v>506000000</v>
      </c>
      <c r="I13" s="178">
        <f>SUMIF('Ppto-Mes'!$C$8:$C$68,$C13,'Ppto-Mes'!I$8:I$68)</f>
        <v>0</v>
      </c>
      <c r="J13" s="178">
        <f>SUMIF('Ppto-Mes'!$C$8:$C$68,$C13,'Ppto-Mes'!J$8:J$68)</f>
        <v>597000000</v>
      </c>
      <c r="K13" s="178">
        <f>SUMIF('Ppto-Mes'!$C$8:$C$68,$C13,'Ppto-Mes'!K$8:K$68)</f>
        <v>6549580</v>
      </c>
      <c r="L13" s="175">
        <f t="shared" si="5"/>
        <v>-97549580</v>
      </c>
      <c r="M13" s="178">
        <f>SUMIF('Ppto-Mes'!$C$8:$C$68,$C13,'Ppto-Mes'!M$8:M$68)</f>
        <v>2040182000</v>
      </c>
      <c r="N13" s="178">
        <f>SUMIF('Ppto-Mes'!$C$8:$C$68,$C13,'Ppto-Mes'!N$8:N$68)</f>
        <v>0</v>
      </c>
      <c r="O13" s="178">
        <f>SUMIF('Ppto-Mes'!$C$8:$C$68,$C13,'Ppto-Mes'!O$8:O$68)</f>
        <v>0</v>
      </c>
      <c r="P13" s="175">
        <f t="shared" si="6"/>
        <v>2040182000</v>
      </c>
      <c r="Q13" s="178">
        <f>SUMIF('Ppto-Mes'!$C$8:$C$68,$C13,'Ppto-Mes'!Q$8:Q$68)</f>
        <v>1495232216.4000003</v>
      </c>
      <c r="R13" s="178">
        <f>SUMIF('Ppto-Mes'!$C$8:$C$68,$C13,'Ppto-Mes'!R$8:R$68)</f>
        <v>150596772.52019998</v>
      </c>
      <c r="S13" s="178">
        <f>SUMIF('Ppto-Mes'!$C$8:$C$68,$C13,'Ppto-Mes'!S$8:S$68)</f>
        <v>16197340</v>
      </c>
      <c r="T13" s="178">
        <f>SUMIF('Ppto-Mes'!$C$8:$C$68,$C13,'Ppto-Mes'!T$8:T$68)</f>
        <v>155220000</v>
      </c>
      <c r="U13" s="178">
        <f>SUMIF('Ppto-Mes'!$C$8:$C$68,$C13,'Ppto-Mes'!U$8:U$68)</f>
        <v>102736800</v>
      </c>
      <c r="V13" s="178">
        <f>SUMIF('Ppto-Mes'!$C$8:$C$68,$C13,'Ppto-Mes'!V$8:V$68)</f>
        <v>0</v>
      </c>
      <c r="W13" s="175">
        <f t="shared" si="1"/>
        <v>1919983128.9202003</v>
      </c>
      <c r="X13" s="175">
        <f t="shared" si="7"/>
        <v>120198871.07979965</v>
      </c>
      <c r="Y13" s="178">
        <f>SUMIF('Ppto-Mes'!$C$8:$C$68,$C13,'Ppto-Mes'!Y$8:Y$68)</f>
        <v>-18072000</v>
      </c>
      <c r="Z13" s="175">
        <f t="shared" si="8"/>
        <v>-4207708.9202003479</v>
      </c>
      <c r="AB13" s="359">
        <f>SUMIF('Ppto-Mes'!$C$8:$C$68,$C13,'Ppto-Mes'!AB$8:AB$68)</f>
        <v>1920000000</v>
      </c>
      <c r="AC13" s="178">
        <f>SUMIF('Ppto-Mes'!$C$8:$C$68,$C13,'Ppto-Mes'!AC$8:AC$68)</f>
        <v>-447151193.23610729</v>
      </c>
      <c r="AD13" s="178">
        <f>SUMIF('Ppto-Mes'!$C$8:$C$68,$C13,'Ppto-Mes'!AD$8:AD$68)</f>
        <v>0</v>
      </c>
      <c r="AE13" s="178">
        <f>SUMIF('Ppto-Mes'!$C$8:$C$68,$C13,'Ppto-Mes'!AE$8:AE$68)</f>
        <v>1375299226.7638927</v>
      </c>
      <c r="AF13" s="175">
        <f t="shared" si="9"/>
        <v>0</v>
      </c>
      <c r="AG13" s="175">
        <f t="shared" si="10"/>
        <v>544700773.23610735</v>
      </c>
      <c r="AI13" s="178">
        <f>SUMIF('Ppto-Mes'!$C$8:$C$68,$C13,'Ppto-Mes'!AI$8:AI$68)</f>
        <v>4250004</v>
      </c>
      <c r="AJ13" s="178">
        <f>SUMIF('Ppto-Mes'!$C$8:$C$68,$C13,'Ppto-Mes'!AJ$8:AJ$68)</f>
        <v>35080831</v>
      </c>
      <c r="AK13" s="175">
        <f t="shared" si="11"/>
        <v>39330835</v>
      </c>
      <c r="AM13" s="178">
        <f>SUMIF('Ppto-Mes'!$C$8:$C$68,$C13,'Ppto-Mes'!AM$8:AM$68)</f>
        <v>2054736000</v>
      </c>
      <c r="AN13" s="178">
        <f>SUMIF('Ppto-Mes'!$C$8:$C$68,$C13,'Ppto-Mes'!AN$8:AN$68)</f>
        <v>16775052</v>
      </c>
      <c r="AO13" s="175">
        <f t="shared" si="12"/>
        <v>88294744.079799652</v>
      </c>
      <c r="AP13" s="175">
        <f>SUMIF($C$8:$C13,$C13,$AO$8:$AO13)</f>
        <v>88294744.079799652</v>
      </c>
      <c r="AR13" s="320">
        <f>VLOOKUP($B13,'Ppto-Mes'!$B$8:$AX$68,43,0)</f>
        <v>0.1875</v>
      </c>
      <c r="AS13" s="178">
        <f>SUMIF('Ppto-Mes'!$C$8:$C$68,$C13,'Ppto-Mes'!AS$8:AS$68)-SUM(AS$7:AS12)</f>
        <v>38928000</v>
      </c>
      <c r="AT13" s="320">
        <f>VLOOKUP($B13,'Ppto-Mes'!$B$8:$AX$68,45,0)</f>
        <v>0.09</v>
      </c>
      <c r="AU13" s="178">
        <f>SUMIF('Ppto-Mes'!$C$8:$C$68,$C13,'Ppto-Mes'!AU$8:AU$68)-SUM(AU$7:AU12)</f>
        <v>2522000</v>
      </c>
      <c r="AV13" s="359">
        <f t="shared" si="13"/>
        <v>41450000</v>
      </c>
      <c r="AW13" s="175">
        <f>AP13-AV13</f>
        <v>46844744.079799652</v>
      </c>
      <c r="AX13" s="178">
        <f t="shared" si="14"/>
        <v>41450000</v>
      </c>
    </row>
    <row r="14" spans="1:50" x14ac:dyDescent="0.35"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</row>
    <row r="15" spans="1:50" x14ac:dyDescent="0.35">
      <c r="B15" s="172"/>
      <c r="C15" s="172"/>
      <c r="D15" s="245">
        <f t="shared" ref="D15:Z15" si="15">SUM(D8:D13)</f>
        <v>264650000</v>
      </c>
      <c r="E15" s="245">
        <f t="shared" si="15"/>
        <v>135325000</v>
      </c>
      <c r="F15" s="245">
        <f t="shared" si="15"/>
        <v>128000000</v>
      </c>
      <c r="G15" s="245">
        <f t="shared" si="15"/>
        <v>527975000</v>
      </c>
      <c r="H15" s="245">
        <f t="shared" si="15"/>
        <v>2302650000</v>
      </c>
      <c r="I15" s="245">
        <f t="shared" si="15"/>
        <v>50000000</v>
      </c>
      <c r="J15" s="245">
        <f t="shared" si="15"/>
        <v>2263650000</v>
      </c>
      <c r="K15" s="245">
        <f t="shared" si="15"/>
        <v>67295101</v>
      </c>
      <c r="L15" s="245">
        <f t="shared" si="15"/>
        <v>21704899</v>
      </c>
      <c r="M15" s="245">
        <f t="shared" si="15"/>
        <v>8090724000</v>
      </c>
      <c r="N15" s="245">
        <f t="shared" si="15"/>
        <v>1249107</v>
      </c>
      <c r="O15" s="245">
        <f t="shared" si="15"/>
        <v>0</v>
      </c>
      <c r="P15" s="245">
        <f t="shared" si="15"/>
        <v>8091973107</v>
      </c>
      <c r="Q15" s="245">
        <f t="shared" si="15"/>
        <v>5923078588.8000002</v>
      </c>
      <c r="R15" s="245">
        <f t="shared" si="15"/>
        <v>580170946.05809999</v>
      </c>
      <c r="S15" s="245">
        <f t="shared" si="15"/>
        <v>62932425</v>
      </c>
      <c r="T15" s="245">
        <f t="shared" si="15"/>
        <v>732180000</v>
      </c>
      <c r="U15" s="245">
        <f t="shared" si="15"/>
        <v>413097600</v>
      </c>
      <c r="V15" s="245">
        <f t="shared" si="15"/>
        <v>0</v>
      </c>
      <c r="W15" s="245">
        <f t="shared" si="15"/>
        <v>7711459559.8580999</v>
      </c>
      <c r="X15" s="245">
        <f t="shared" si="15"/>
        <v>380513547.14190006</v>
      </c>
      <c r="Y15" s="245">
        <f t="shared" si="15"/>
        <v>-32884000</v>
      </c>
      <c r="Z15" s="245">
        <f t="shared" si="15"/>
        <v>-158640553.85809994</v>
      </c>
      <c r="AB15" s="245">
        <f t="shared" ref="AB15:AG15" si="16">SUM(AB8:AB13)</f>
        <v>7903000000</v>
      </c>
      <c r="AC15" s="245">
        <f t="shared" si="16"/>
        <v>-2137467961.8232718</v>
      </c>
      <c r="AD15" s="245">
        <f t="shared" si="16"/>
        <v>128000000</v>
      </c>
      <c r="AE15" s="245">
        <f t="shared" si="16"/>
        <v>6104077770.1767292</v>
      </c>
      <c r="AF15" s="245">
        <f t="shared" si="16"/>
        <v>182308156.88389897</v>
      </c>
      <c r="AG15" s="245">
        <f t="shared" si="16"/>
        <v>1981230386.7071705</v>
      </c>
      <c r="AI15" s="245">
        <f>SUM(AI8:AI13)</f>
        <v>70650000</v>
      </c>
      <c r="AJ15" s="245">
        <f>SUM(AJ8:AJ13)</f>
        <v>108397161</v>
      </c>
      <c r="AK15" s="245">
        <f>SUM(AK8:AK13)</f>
        <v>179047161</v>
      </c>
      <c r="AM15" s="245">
        <f>SUM(AM8:AM13)</f>
        <v>8261952000</v>
      </c>
      <c r="AN15" s="245">
        <f>SUM(AN8:AN13)</f>
        <v>71794704</v>
      </c>
      <c r="AO15" s="245">
        <f>SUM(AO8:AO13)</f>
        <v>296537006.14190006</v>
      </c>
      <c r="AP15" s="245">
        <f>SUM(AP8:AP13)</f>
        <v>296537006.14190006</v>
      </c>
      <c r="AS15" s="245">
        <f>SUM(AS8:AS13)</f>
        <v>106280000</v>
      </c>
      <c r="AU15" s="245">
        <f>SUM(AU8:AU13)</f>
        <v>51017000</v>
      </c>
      <c r="AV15" s="245">
        <f>SUM(AV8:AV13)</f>
        <v>157297000</v>
      </c>
    </row>
    <row r="16" spans="1:50" x14ac:dyDescent="0.35"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X16" s="10"/>
      <c r="Y16" s="10"/>
      <c r="Z16" s="10"/>
    </row>
    <row r="17" spans="2:12" x14ac:dyDescent="0.35">
      <c r="B17" s="172"/>
      <c r="C17" s="172"/>
      <c r="D17" s="15">
        <v>0</v>
      </c>
      <c r="E17" s="15">
        <v>1</v>
      </c>
      <c r="F17" s="15"/>
      <c r="G17" s="15">
        <v>2</v>
      </c>
      <c r="H17" s="172"/>
      <c r="I17" s="172"/>
      <c r="J17" s="172"/>
      <c r="K17" s="172"/>
      <c r="L17" s="172"/>
    </row>
    <row r="18" spans="2:12" x14ac:dyDescent="0.35"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</row>
    <row r="19" spans="2:12" x14ac:dyDescent="0.35">
      <c r="B19" s="172"/>
      <c r="C19" s="172" t="s">
        <v>155</v>
      </c>
      <c r="D19" s="15">
        <v>-50</v>
      </c>
      <c r="E19" s="15">
        <v>0</v>
      </c>
      <c r="F19" s="15"/>
      <c r="G19" s="172"/>
      <c r="H19" s="172"/>
      <c r="I19" s="172"/>
      <c r="J19" s="172"/>
      <c r="K19" s="172"/>
      <c r="L19" s="172"/>
    </row>
    <row r="20" spans="2:12" x14ac:dyDescent="0.35">
      <c r="B20" s="172"/>
      <c r="C20" s="172" t="s">
        <v>522</v>
      </c>
      <c r="E20" s="15">
        <v>100</v>
      </c>
      <c r="F20" s="15"/>
      <c r="G20" s="172"/>
      <c r="H20" s="172"/>
      <c r="I20" s="172"/>
      <c r="J20" s="172"/>
      <c r="K20" s="172"/>
      <c r="L20" s="172"/>
    </row>
    <row r="21" spans="2:12" x14ac:dyDescent="0.35">
      <c r="B21" s="172"/>
      <c r="C21" s="172" t="s">
        <v>523</v>
      </c>
      <c r="E21" s="15">
        <v>-60</v>
      </c>
      <c r="F21" s="15"/>
      <c r="G21" s="172"/>
      <c r="H21" s="172"/>
      <c r="I21" s="172"/>
      <c r="J21" s="172"/>
      <c r="K21" s="172"/>
      <c r="L21" s="172"/>
    </row>
    <row r="22" spans="2:12" x14ac:dyDescent="0.35">
      <c r="B22" s="172"/>
      <c r="C22" s="172" t="s">
        <v>524</v>
      </c>
      <c r="E22" s="115">
        <f>SUM(E20:E21)</f>
        <v>40</v>
      </c>
      <c r="F22" s="115"/>
      <c r="G22" s="172"/>
      <c r="H22" s="172"/>
      <c r="I22" s="172"/>
      <c r="J22" s="172"/>
      <c r="K22" s="172"/>
      <c r="L22" s="172"/>
    </row>
    <row r="23" spans="2:12" x14ac:dyDescent="0.35">
      <c r="B23" s="172"/>
      <c r="C23" s="172" t="s">
        <v>525</v>
      </c>
      <c r="E23" s="15">
        <v>-15</v>
      </c>
      <c r="F23" s="15"/>
      <c r="G23" s="172"/>
      <c r="H23" s="172"/>
      <c r="I23" s="172"/>
      <c r="J23" s="172"/>
      <c r="K23" s="172"/>
      <c r="L23" s="172"/>
    </row>
    <row r="24" spans="2:12" x14ac:dyDescent="0.35">
      <c r="B24" s="172"/>
      <c r="C24" s="172" t="s">
        <v>526</v>
      </c>
      <c r="E24" s="115">
        <f>SUM(E22:E23)</f>
        <v>25</v>
      </c>
      <c r="F24" s="115"/>
      <c r="G24" s="172"/>
      <c r="H24" s="172"/>
      <c r="I24" s="172"/>
      <c r="J24" s="172"/>
      <c r="K24" s="172"/>
      <c r="L24" s="172"/>
    </row>
    <row r="25" spans="2:12" x14ac:dyDescent="0.35">
      <c r="B25" s="172"/>
      <c r="C25" s="172" t="s">
        <v>157</v>
      </c>
      <c r="E25" s="15">
        <f>-E24*33%</f>
        <v>-8.25</v>
      </c>
      <c r="F25" s="15"/>
      <c r="G25" s="172"/>
      <c r="H25" s="172"/>
      <c r="I25" s="172"/>
      <c r="J25" s="172"/>
      <c r="K25" s="172"/>
      <c r="L25" s="172"/>
    </row>
    <row r="26" spans="2:12" x14ac:dyDescent="0.35">
      <c r="B26" s="172"/>
      <c r="C26" s="172" t="s">
        <v>527</v>
      </c>
      <c r="E26" s="115">
        <f>SUM(E24:E25)</f>
        <v>16.75</v>
      </c>
      <c r="F26" s="115"/>
      <c r="G26" s="172"/>
      <c r="H26" s="172"/>
      <c r="I26" s="172"/>
      <c r="J26" s="172"/>
      <c r="K26" s="172"/>
      <c r="L26" s="172"/>
    </row>
    <row r="27" spans="2:12" x14ac:dyDescent="0.35">
      <c r="B27" s="172"/>
      <c r="C27" s="358" t="s">
        <v>528</v>
      </c>
      <c r="E27" s="15">
        <v>7</v>
      </c>
      <c r="F27" s="15"/>
      <c r="G27" s="172"/>
      <c r="H27" s="172"/>
      <c r="I27" s="172"/>
      <c r="J27" s="172"/>
      <c r="K27" s="172"/>
      <c r="L27" s="172"/>
    </row>
    <row r="28" spans="2:12" x14ac:dyDescent="0.35">
      <c r="C28" s="358" t="s">
        <v>529</v>
      </c>
      <c r="E28" s="49">
        <f>-E23</f>
        <v>15</v>
      </c>
      <c r="F28" s="49"/>
    </row>
    <row r="29" spans="2:12" x14ac:dyDescent="0.35">
      <c r="C29" s="172" t="s">
        <v>530</v>
      </c>
      <c r="E29" s="115">
        <f>SUM(E26:E28)</f>
        <v>38.75</v>
      </c>
      <c r="F29" s="115"/>
    </row>
    <row r="30" spans="2:12" x14ac:dyDescent="0.35">
      <c r="C30" s="358" t="s">
        <v>604</v>
      </c>
      <c r="E30">
        <v>10</v>
      </c>
    </row>
    <row r="31" spans="2:12" x14ac:dyDescent="0.35">
      <c r="C31" s="172" t="s">
        <v>531</v>
      </c>
      <c r="E31">
        <v>15</v>
      </c>
    </row>
    <row r="32" spans="2:12" x14ac:dyDescent="0.35">
      <c r="C32" s="172" t="s">
        <v>533</v>
      </c>
      <c r="D32" s="49">
        <f>SUM(D29:D31)+D19</f>
        <v>-50</v>
      </c>
      <c r="E32" s="49">
        <f>SUM(E29:E31)+E19</f>
        <v>63.75</v>
      </c>
      <c r="F32" s="49"/>
    </row>
    <row r="33" spans="3:6" x14ac:dyDescent="0.35">
      <c r="C33" t="s">
        <v>532</v>
      </c>
    </row>
    <row r="34" spans="3:6" x14ac:dyDescent="0.35">
      <c r="E34" s="105">
        <f>IRR(D32:E32)</f>
        <v>0.27499999999999991</v>
      </c>
      <c r="F34" s="105"/>
    </row>
  </sheetData>
  <mergeCells count="22">
    <mergeCell ref="AB4:AB5"/>
    <mergeCell ref="D4:G4"/>
    <mergeCell ref="H4:L4"/>
    <mergeCell ref="M4:P4"/>
    <mergeCell ref="Q4:W4"/>
    <mergeCell ref="X4:Z4"/>
    <mergeCell ref="AW4:AW5"/>
    <mergeCell ref="AX4:AX5"/>
    <mergeCell ref="Q5:U5"/>
    <mergeCell ref="Y5:Y6"/>
    <mergeCell ref="AM4:AM5"/>
    <mergeCell ref="AN4:AN5"/>
    <mergeCell ref="AO4:AO5"/>
    <mergeCell ref="AP4:AP5"/>
    <mergeCell ref="AR4:AS4"/>
    <mergeCell ref="AT4:AU4"/>
    <mergeCell ref="AC4:AC5"/>
    <mergeCell ref="AD4:AD5"/>
    <mergeCell ref="AE4:AE5"/>
    <mergeCell ref="AF4:AF5"/>
    <mergeCell ref="AG4:AG5"/>
    <mergeCell ref="AI4:AK4"/>
  </mergeCells>
  <dataValidations count="1">
    <dataValidation type="list" allowBlank="1" showInputMessage="1" showErrorMessage="1" sqref="AB1">
      <formula1>MESESKT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Y81"/>
  <sheetViews>
    <sheetView workbookViewId="0">
      <pane xSplit="2" ySplit="5" topLeftCell="C6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2" x14ac:dyDescent="0.35"/>
  <cols>
    <col min="4" max="4" width="12.36328125" bestFit="1" customWidth="1"/>
    <col min="5" max="5" width="12.90625" customWidth="1" outlineLevel="1"/>
    <col min="6" max="6" width="12.7265625" customWidth="1" outlineLevel="1"/>
    <col min="7" max="8" width="13.08984375" customWidth="1" outlineLevel="1"/>
    <col min="9" max="10" width="12.81640625" customWidth="1"/>
    <col min="12" max="12" width="12.36328125" bestFit="1" customWidth="1"/>
    <col min="16" max="16" width="11.54296875" bestFit="1" customWidth="1"/>
    <col min="18" max="18" width="12.36328125" hidden="1" customWidth="1" outlineLevel="1"/>
    <col min="19" max="24" width="10.90625" hidden="1" customWidth="1" outlineLevel="2"/>
    <col min="25" max="25" width="10.90625" collapsed="1"/>
  </cols>
  <sheetData>
    <row r="1" spans="1:25" x14ac:dyDescent="0.35">
      <c r="A1" s="1"/>
      <c r="B1" s="185"/>
      <c r="C1" s="185"/>
      <c r="D1" s="380">
        <v>11</v>
      </c>
      <c r="E1" s="380">
        <v>22</v>
      </c>
      <c r="F1" s="380">
        <v>18</v>
      </c>
      <c r="G1" s="380">
        <v>39</v>
      </c>
      <c r="H1" s="388">
        <v>36</v>
      </c>
      <c r="I1" s="380">
        <v>22</v>
      </c>
      <c r="K1" s="380">
        <v>13</v>
      </c>
      <c r="L1" s="380">
        <v>21</v>
      </c>
      <c r="N1" s="380">
        <v>10</v>
      </c>
      <c r="P1" s="380">
        <v>47</v>
      </c>
      <c r="S1" s="380">
        <v>48</v>
      </c>
      <c r="U1" s="380">
        <v>43</v>
      </c>
      <c r="V1" s="380">
        <v>45</v>
      </c>
    </row>
    <row r="2" spans="1:25" ht="39.5" x14ac:dyDescent="0.35">
      <c r="A2" s="1"/>
      <c r="B2" s="185" t="str">
        <f>'Ppto-Mes'!B4</f>
        <v>Mes</v>
      </c>
      <c r="C2" s="185"/>
      <c r="D2" s="395" t="str">
        <f>VLOOKUP($B2,'Ppto-Mes'!$B$4:$AW$68,D$1,0)&amp;" "&amp;VLOOKUP($B3,'Ppto-Mes'!$B$4:$AW$68,D$1,0)</f>
        <v xml:space="preserve"> Flujo Neto Financiación</v>
      </c>
      <c r="E2" s="395" t="str">
        <f>VLOOKUP($B2,'Ppto-Mes'!$B$4:$AW$68,E$1,0)&amp;" "&amp;VLOOKUP($B3,'Ppto-Mes'!$B$4:$AW$68,E$1,0)</f>
        <v xml:space="preserve"> Subtotal</v>
      </c>
      <c r="F2" s="395" t="str">
        <f>VLOOKUP($B2,'Ppto-Mes'!$B$4:$AW$68,F$1,0)&amp;" "&amp;VLOOKUP($B3,'Ppto-Mes'!$B$4:$AW$68,F$1,0)</f>
        <v xml:space="preserve"> </v>
      </c>
      <c r="G2" s="395" t="str">
        <f>VLOOKUP($B2,'Ppto-Mes'!$B$4:$AW$68,G$1,0)&amp;" "&amp;VLOOKUP($B3,'Ppto-Mes'!$B$4:$AW$68,G$1,0)</f>
        <v xml:space="preserve">Prestaciones Sociales </v>
      </c>
      <c r="H2" s="395" t="str">
        <f>VLOOKUP($B2,'Ppto-Mes'!$B$4:$AW$68,H$1,0)&amp;" "&amp;VLOOKUP($B3,'Ppto-Mes'!$B$4:$AW$68,H$1,0)</f>
        <v xml:space="preserve"> Total</v>
      </c>
      <c r="I2" s="356" t="str">
        <f>VLOOKUP($B2,'Ppto-Mes'!$B$4:$AW$68,I$1,0)&amp;" "&amp;VLOOKUP($B3,'Ppto-Mes'!$B$4:$AW$68,I$1,0)</f>
        <v xml:space="preserve"> Subtotal</v>
      </c>
      <c r="K2" s="356" t="str">
        <f>VLOOKUP($B2,'Ppto-Mes'!$B$4:$AW$68,K$1,0)&amp;" "&amp;VLOOKUP($B3,'Ppto-Mes'!$B$4:$AW$68,K$1,0)</f>
        <v xml:space="preserve"> de Capital</v>
      </c>
      <c r="L2" s="356" t="str">
        <f>VLOOKUP($B2,'Ppto-Mes'!$B$4:$AW$68,L$1,0)&amp;" "&amp;VLOOKUP($B3,'Ppto-Mes'!$B$4:$AW$68,L$1,0)</f>
        <v xml:space="preserve"> Otros</v>
      </c>
      <c r="N2" s="356" t="str">
        <f>VLOOKUP($B2,'Ppto-Mes'!$B$4:$AW$68,N$1,0)&amp;" "&amp;VLOOKUP($B3,'Ppto-Mes'!$B$4:$AW$68,N$1,0)</f>
        <v xml:space="preserve"> Intereses</v>
      </c>
      <c r="P2" s="356" t="str">
        <f>VLOOKUP($B2,'Ppto-Mes'!$B$4:$AW$68,P$1,0)&amp;" "&amp;VLOOKUP($B3,'Ppto-Mes'!$B$4:$AW$68,P$1,0)</f>
        <v xml:space="preserve">Total Impuesto </v>
      </c>
      <c r="S2" s="356" t="str">
        <f>VLOOKUP($B2,'Ppto-Mes'!$B$4:$AW$68,S$1,0)&amp;" "&amp;VLOOKUP($B3,'Ppto-Mes'!$B$4:$AW$68,S$1,0)</f>
        <v xml:space="preserve">Utilidad Neta Cble Acumulada </v>
      </c>
      <c r="U2" s="395" t="str">
        <f>VLOOKUP($B2,'Ppto-Mes'!$B$4:$AW$68,U$1,0)&amp;" "&amp;VLOOKUP($B3,'Ppto-Mes'!$B$4:$AW$68,U$1,0)</f>
        <v>Impuesto de Renta Tarifa</v>
      </c>
      <c r="V2" s="395" t="str">
        <f>VLOOKUP($B2,'Ppto-Mes'!$B$4:$AW$68,V$1,0)&amp;" "&amp;VLOOKUP($B3,'Ppto-Mes'!$B$4:$AW$68,V$1,0)</f>
        <v>Impuesto CREE Tarifa</v>
      </c>
    </row>
    <row r="3" spans="1:25" x14ac:dyDescent="0.35">
      <c r="B3" t="s">
        <v>57</v>
      </c>
    </row>
    <row r="4" spans="1:25" ht="14.5" customHeight="1" x14ac:dyDescent="0.35">
      <c r="A4" s="179" t="s">
        <v>179</v>
      </c>
      <c r="B4" s="180" t="s">
        <v>190</v>
      </c>
      <c r="C4" s="180" t="s">
        <v>71</v>
      </c>
      <c r="D4" s="882" t="s">
        <v>516</v>
      </c>
      <c r="E4" s="905" t="s">
        <v>588</v>
      </c>
      <c r="F4" s="905" t="s">
        <v>589</v>
      </c>
      <c r="G4" s="905" t="s">
        <v>590</v>
      </c>
      <c r="H4" s="905" t="s">
        <v>601</v>
      </c>
      <c r="I4" s="389" t="s">
        <v>517</v>
      </c>
      <c r="J4" s="903" t="s">
        <v>518</v>
      </c>
      <c r="K4" s="357" t="s">
        <v>591</v>
      </c>
      <c r="L4" s="382" t="s">
        <v>517</v>
      </c>
      <c r="M4" s="909" t="s">
        <v>594</v>
      </c>
      <c r="N4" s="382" t="s">
        <v>517</v>
      </c>
      <c r="O4" s="909" t="s">
        <v>624</v>
      </c>
      <c r="P4" s="382" t="s">
        <v>517</v>
      </c>
      <c r="Q4" s="909" t="s">
        <v>596</v>
      </c>
      <c r="R4" s="901" t="s">
        <v>603</v>
      </c>
      <c r="S4" s="901" t="s">
        <v>597</v>
      </c>
      <c r="T4" s="901" t="s">
        <v>77</v>
      </c>
      <c r="U4" s="907" t="s">
        <v>598</v>
      </c>
      <c r="V4" s="907" t="s">
        <v>599</v>
      </c>
      <c r="W4" s="899" t="s">
        <v>600</v>
      </c>
      <c r="X4" s="899" t="s">
        <v>602</v>
      </c>
    </row>
    <row r="5" spans="1:25" ht="24" customHeight="1" x14ac:dyDescent="0.35">
      <c r="A5" s="181"/>
      <c r="B5" s="181"/>
      <c r="C5" s="181"/>
      <c r="D5" s="883"/>
      <c r="E5" s="906"/>
      <c r="F5" s="906"/>
      <c r="G5" s="906"/>
      <c r="H5" s="906"/>
      <c r="I5" s="354" t="s">
        <v>252</v>
      </c>
      <c r="J5" s="904"/>
      <c r="K5" s="393" t="s">
        <v>592</v>
      </c>
      <c r="L5" s="354" t="s">
        <v>593</v>
      </c>
      <c r="M5" s="910"/>
      <c r="N5" s="354" t="s">
        <v>187</v>
      </c>
      <c r="O5" s="910"/>
      <c r="P5" s="354" t="s">
        <v>595</v>
      </c>
      <c r="Q5" s="910"/>
      <c r="R5" s="902"/>
      <c r="S5" s="902"/>
      <c r="T5" s="902"/>
      <c r="U5" s="908"/>
      <c r="V5" s="908"/>
      <c r="W5" s="900"/>
      <c r="X5" s="900"/>
    </row>
    <row r="6" spans="1:25" x14ac:dyDescent="0.35">
      <c r="A6" s="181"/>
      <c r="B6" s="312"/>
      <c r="C6" s="41"/>
      <c r="D6" s="314"/>
      <c r="E6" s="314"/>
      <c r="F6" s="314"/>
      <c r="G6" s="314"/>
      <c r="H6" s="314"/>
      <c r="I6" s="314"/>
      <c r="J6" s="348"/>
      <c r="K6" s="314"/>
      <c r="L6" s="348"/>
      <c r="M6" s="381"/>
      <c r="N6" s="381"/>
      <c r="O6" s="381"/>
      <c r="P6" s="381"/>
      <c r="Q6" s="381"/>
      <c r="R6" s="384"/>
      <c r="S6" s="381"/>
      <c r="T6" s="381"/>
      <c r="U6" s="381"/>
      <c r="V6" s="381"/>
      <c r="Y6" s="175"/>
    </row>
    <row r="7" spans="1:25" x14ac:dyDescent="0.35">
      <c r="A7" s="318">
        <v>0</v>
      </c>
      <c r="B7" s="319">
        <v>42004</v>
      </c>
      <c r="C7" s="331">
        <f>YEAR(B7)</f>
        <v>2014</v>
      </c>
      <c r="D7" s="175">
        <f>HLOOKUP(YEAR($B7),'Ing Proyect'!$B$6:$G$12,6,0)</f>
        <v>0</v>
      </c>
      <c r="E7" s="175">
        <f>-VLOOKUP($B7,'Ppto-Mes'!$B$8:$AW$68,E$1,0)</f>
        <v>0</v>
      </c>
      <c r="F7" s="175">
        <f>VLOOKUP($B7,'Ppto-Mes'!$B$8:$AW$68,F$1,0)</f>
        <v>0</v>
      </c>
      <c r="G7" s="175">
        <f>-VLOOKUP($B7,'Ppto-Mes'!$B$8:$AW$68,G$1,0)</f>
        <v>0</v>
      </c>
      <c r="H7" s="175">
        <f>-VLOOKUP($B7,'Ppto-Mes'!$B$8:$AW$68,H$1,0)</f>
        <v>0</v>
      </c>
      <c r="I7" s="175">
        <f>SUM(E7:H7)</f>
        <v>0</v>
      </c>
      <c r="J7" s="376">
        <f>D7+I7</f>
        <v>0</v>
      </c>
      <c r="K7" s="175">
        <f>VLOOKUP($B7,'Ppto-Mes'!$B$8:$AW$68,K$1,0)</f>
        <v>0</v>
      </c>
      <c r="L7" s="175">
        <f>-VLOOKUP($B7,'Ppto-Mes'!$B$8:$AW$68,L$1,0)</f>
        <v>0</v>
      </c>
      <c r="M7" s="376">
        <f>SUM(J7:L7)</f>
        <v>0</v>
      </c>
      <c r="N7" s="175">
        <f>-VLOOKUP($B7,'Ppto-Mes'!$B$8:$AW$68,N$1,0)</f>
        <v>0</v>
      </c>
      <c r="O7" s="376">
        <f>SUM(M7:N7)</f>
        <v>0</v>
      </c>
      <c r="P7" s="175">
        <f>IF($C7=C6,-VLOOKUP($B7,'Ppto-Mes'!$B$8:$AW$68,P$1,0)-SUMIF($C$6:$C6,$C7,$P$6:$P6),-VLOOKUP($B7,'Ppto-Mes'!$B$8:$AW$68,P$1,0))</f>
        <v>0</v>
      </c>
      <c r="Q7" s="376">
        <f>SUM(O7:P7)</f>
        <v>0</v>
      </c>
      <c r="R7" s="359"/>
      <c r="S7" s="175">
        <f>IF($C7=C6,VLOOKUP($B7,'Ppto-Mes'!$B$8:$AW$68,S$1,0)-SUMIF($C$6:$C6,$C7,$S$6:$S6),VLOOKUP($B7,'Ppto-Mes'!$B$8:$AW$68,S$1,0))</f>
        <v>0</v>
      </c>
      <c r="T7" s="175">
        <f>Q7-S7</f>
        <v>0</v>
      </c>
      <c r="U7" s="320">
        <f>VLOOKUP($B7,'Ppto-Mes'!$B$8:$AW$68,U$1,0)</f>
        <v>0</v>
      </c>
      <c r="V7" s="320">
        <f>VLOOKUP($B7,'Ppto-Mes'!$B$8:$AW$68,V$1,0)</f>
        <v>0</v>
      </c>
      <c r="W7" s="175">
        <f t="shared" ref="W7" si="0">ROUNDUP(O7*(U7+V7),-3)</f>
        <v>0</v>
      </c>
      <c r="X7" s="175">
        <f>P7+W7</f>
        <v>0</v>
      </c>
      <c r="Y7" s="175">
        <f>Q7-50000000</f>
        <v>-50000000</v>
      </c>
    </row>
    <row r="8" spans="1:25" x14ac:dyDescent="0.35">
      <c r="A8" s="18">
        <v>1</v>
      </c>
      <c r="B8" s="184">
        <v>42035</v>
      </c>
      <c r="C8" s="331">
        <f t="shared" ref="C8:C67" si="1">YEAR(B8)</f>
        <v>2015</v>
      </c>
      <c r="D8" s="175">
        <f>HLOOKUP(YEAR($B8),'Ing Proyect'!$B$6:$G$12,6,0)</f>
        <v>104483000</v>
      </c>
      <c r="E8" s="175">
        <f>-VLOOKUP($B8,'Ppto-Mes'!$B$8:$AW$68,E$1,0)</f>
        <v>-96819923.039950013</v>
      </c>
      <c r="F8" s="175">
        <f>VLOOKUP($B8,'Ppto-Mes'!$B$8:$AW$68,F$1,0)</f>
        <v>0</v>
      </c>
      <c r="G8" s="175">
        <f>-VLOOKUP($B8,'Ppto-Mes'!$B$8:$AW$68,G$1,0)</f>
        <v>-998288</v>
      </c>
      <c r="H8" s="175">
        <f>-VLOOKUP($B8,'Ppto-Mes'!$B$8:$AW$68,H$1,0)</f>
        <v>-2853471</v>
      </c>
      <c r="I8" s="175">
        <f t="shared" ref="I8:I67" si="2">SUM(E8:H8)</f>
        <v>-100671682.03995001</v>
      </c>
      <c r="J8" s="376">
        <f>D8+I8</f>
        <v>3811317.9600499868</v>
      </c>
      <c r="K8" s="175">
        <f>VLOOKUP($B8,'Ppto-Mes'!$B$8:$AW$68,K$1,0)</f>
        <v>356471</v>
      </c>
      <c r="L8" s="175">
        <f>-VLOOKUP($B8,'Ppto-Mes'!$B$8:$AW$68,L$1,0)</f>
        <v>0</v>
      </c>
      <c r="M8" s="376">
        <f t="shared" ref="M8:M67" si="3">SUM(J8:L8)</f>
        <v>4167788.9600499868</v>
      </c>
      <c r="N8" s="175">
        <f>-VLOOKUP($B8,'Ppto-Mes'!$B$8:$AW$68,N$1,0)</f>
        <v>-1747752</v>
      </c>
      <c r="O8" s="376">
        <f t="shared" ref="O8:Q67" si="4">SUM(M8:N8)</f>
        <v>2420036.9600499868</v>
      </c>
      <c r="P8" s="175">
        <f>IF($C8=C7,-VLOOKUP($B8,'Ppto-Mes'!$B$8:$AW$68,P$1,0)-SUMIF($C$6:$C7,$C8,$P$6:$P7),-VLOOKUP($B8,'Ppto-Mes'!$B$8:$AW$68,P$1,0))</f>
        <v>-218000</v>
      </c>
      <c r="Q8" s="376">
        <f t="shared" si="4"/>
        <v>2202036.9600499868</v>
      </c>
      <c r="R8" s="359">
        <f>SUMIF($C$7:$C8,$C8,$Q$7:$Q8)</f>
        <v>2202036.9600499868</v>
      </c>
      <c r="S8" s="175">
        <f>IF($C8=C7,VLOOKUP($B8,'Ppto-Mes'!$B$8:$AW$68,S$1,0)-SUMIF($C$6:$C7,$C8,$S$6:$S7),VLOOKUP($B8,'Ppto-Mes'!$B$8:$AW$68,S$1,0))</f>
        <v>2202036.9600499868</v>
      </c>
      <c r="T8" s="175">
        <f t="shared" ref="T8:T67" si="5">Q8-S8</f>
        <v>0</v>
      </c>
      <c r="U8" s="320">
        <f>VLOOKUP($B8,'Ppto-Mes'!$B$8:$AW$68,U$1,0)</f>
        <v>0</v>
      </c>
      <c r="V8" s="320">
        <f>VLOOKUP($B8,'Ppto-Mes'!$B$8:$AW$68,V$1,0)</f>
        <v>0.09</v>
      </c>
      <c r="W8" s="175">
        <f>ROUNDUP(O8*(U8+V8),-3)</f>
        <v>218000</v>
      </c>
      <c r="X8" s="175">
        <f t="shared" ref="X8:X67" si="6">P8+W8</f>
        <v>0</v>
      </c>
      <c r="Y8" s="175">
        <f>Q8</f>
        <v>2202036.9600499868</v>
      </c>
    </row>
    <row r="9" spans="1:25" x14ac:dyDescent="0.35">
      <c r="A9" s="18">
        <v>2</v>
      </c>
      <c r="B9" s="184">
        <v>42063</v>
      </c>
      <c r="C9" s="331">
        <f t="shared" si="1"/>
        <v>2015</v>
      </c>
      <c r="D9" s="175">
        <f>HLOOKUP(YEAR($B9),'Ing Proyect'!$B$6:$G$12,6,0)</f>
        <v>104483000</v>
      </c>
      <c r="E9" s="175">
        <f>-VLOOKUP($B9,'Ppto-Mes'!$B$8:$AW$68,E$1,0)</f>
        <v>-96819923.039950013</v>
      </c>
      <c r="F9" s="175">
        <f>VLOOKUP($B9,'Ppto-Mes'!$B$8:$AW$68,F$1,0)</f>
        <v>0</v>
      </c>
      <c r="G9" s="175">
        <f>-VLOOKUP($B9,'Ppto-Mes'!$B$8:$AW$68,G$1,0)</f>
        <v>-998288</v>
      </c>
      <c r="H9" s="175">
        <f>-VLOOKUP($B9,'Ppto-Mes'!$B$8:$AW$68,H$1,0)</f>
        <v>-2853471</v>
      </c>
      <c r="I9" s="175">
        <f t="shared" si="2"/>
        <v>-100671682.03995001</v>
      </c>
      <c r="J9" s="376">
        <f t="shared" ref="J9:J67" si="7">D9+I9</f>
        <v>3811317.9600499868</v>
      </c>
      <c r="K9" s="175">
        <f>VLOOKUP($B9,'Ppto-Mes'!$B$8:$AW$68,K$1,0)</f>
        <v>0</v>
      </c>
      <c r="L9" s="175">
        <f>-VLOOKUP($B9,'Ppto-Mes'!$B$8:$AW$68,L$1,0)</f>
        <v>0</v>
      </c>
      <c r="M9" s="376">
        <f t="shared" si="3"/>
        <v>3811317.9600499868</v>
      </c>
      <c r="N9" s="175">
        <f>-VLOOKUP($B9,'Ppto-Mes'!$B$8:$AW$68,N$1,0)</f>
        <v>-1769663</v>
      </c>
      <c r="O9" s="376">
        <f t="shared" si="4"/>
        <v>2041654.9600499868</v>
      </c>
      <c r="P9" s="175">
        <f>IF($C9=C8,-VLOOKUP($B9,'Ppto-Mes'!$B$8:$AW$68,P$1,0)-SUMIF($C$6:$C8,$C9,$P$6:$P8),-VLOOKUP($B9,'Ppto-Mes'!$B$8:$AW$68,P$1,0))</f>
        <v>-184000</v>
      </c>
      <c r="Q9" s="376">
        <f t="shared" si="4"/>
        <v>1857654.9600499868</v>
      </c>
      <c r="R9" s="359">
        <f>SUMIF($C$7:$C9,$C9,$Q$7:$Q9)</f>
        <v>4059691.9200999737</v>
      </c>
      <c r="S9" s="175">
        <f>IF($C9=C8,VLOOKUP($B9,'Ppto-Mes'!$B$8:$AW$68,S$1,0)-SUMIF($C$6:$C8,$C9,$S$6:$S8),VLOOKUP($B9,'Ppto-Mes'!$B$8:$AW$68,S$1,0))</f>
        <v>1857654.9600499868</v>
      </c>
      <c r="T9" s="175">
        <f t="shared" si="5"/>
        <v>0</v>
      </c>
      <c r="U9" s="320">
        <f>VLOOKUP($B9,'Ppto-Mes'!$B$8:$AW$68,U$1,0)</f>
        <v>0</v>
      </c>
      <c r="V9" s="320">
        <f>VLOOKUP($B9,'Ppto-Mes'!$B$8:$AW$68,V$1,0)</f>
        <v>0.09</v>
      </c>
      <c r="W9" s="175">
        <f t="shared" ref="W9:W67" si="8">ROUNDUP(O9*(U9+V9),-3)</f>
        <v>184000</v>
      </c>
      <c r="X9" s="175">
        <f t="shared" si="6"/>
        <v>0</v>
      </c>
      <c r="Y9" s="175">
        <f t="shared" ref="Y9:Y67" si="9">Q9</f>
        <v>1857654.9600499868</v>
      </c>
    </row>
    <row r="10" spans="1:25" x14ac:dyDescent="0.35">
      <c r="A10" s="18">
        <v>3</v>
      </c>
      <c r="B10" s="184">
        <v>42094</v>
      </c>
      <c r="C10" s="331">
        <f t="shared" si="1"/>
        <v>2015</v>
      </c>
      <c r="D10" s="175">
        <f>HLOOKUP(YEAR($B10),'Ing Proyect'!$B$6:$G$12,6,0)</f>
        <v>104483000</v>
      </c>
      <c r="E10" s="175">
        <f>-VLOOKUP($B10,'Ppto-Mes'!$B$8:$AW$68,E$1,0)</f>
        <v>-96819923.039950013</v>
      </c>
      <c r="F10" s="175">
        <f>VLOOKUP($B10,'Ppto-Mes'!$B$8:$AW$68,F$1,0)</f>
        <v>0</v>
      </c>
      <c r="G10" s="175">
        <f>-VLOOKUP($B10,'Ppto-Mes'!$B$8:$AW$68,G$1,0)</f>
        <v>-998288</v>
      </c>
      <c r="H10" s="175">
        <f>-VLOOKUP($B10,'Ppto-Mes'!$B$8:$AW$68,H$1,0)</f>
        <v>-2853471</v>
      </c>
      <c r="I10" s="175">
        <f t="shared" si="2"/>
        <v>-100671682.03995001</v>
      </c>
      <c r="J10" s="376">
        <f t="shared" si="7"/>
        <v>3811317.9600499868</v>
      </c>
      <c r="K10" s="175">
        <f>VLOOKUP($B10,'Ppto-Mes'!$B$8:$AW$68,K$1,0)</f>
        <v>0</v>
      </c>
      <c r="L10" s="175">
        <f>-VLOOKUP($B10,'Ppto-Mes'!$B$8:$AW$68,L$1,0)</f>
        <v>0</v>
      </c>
      <c r="M10" s="376">
        <f t="shared" si="3"/>
        <v>3811317.9600499868</v>
      </c>
      <c r="N10" s="175">
        <f>-VLOOKUP($B10,'Ppto-Mes'!$B$8:$AW$68,N$1,0)</f>
        <v>-1747752</v>
      </c>
      <c r="O10" s="376">
        <f t="shared" si="4"/>
        <v>2063565.9600499868</v>
      </c>
      <c r="P10" s="175">
        <f>IF($C10=C9,-VLOOKUP($B10,'Ppto-Mes'!$B$8:$AW$68,P$1,0)-SUMIF($C$6:$C9,$C10,$P$6:$P9),-VLOOKUP($B10,'Ppto-Mes'!$B$8:$AW$68,P$1,0))</f>
        <v>-186000</v>
      </c>
      <c r="Q10" s="376">
        <f t="shared" si="4"/>
        <v>1877565.9600499868</v>
      </c>
      <c r="R10" s="359">
        <f>SUMIF($C$7:$C10,$C10,$Q$7:$Q10)</f>
        <v>5937257.8801499605</v>
      </c>
      <c r="S10" s="175">
        <f>IF($C10=C9,VLOOKUP($B10,'Ppto-Mes'!$B$8:$AW$68,S$1,0)-SUMIF($C$6:$C9,$C10,$S$6:$S9),VLOOKUP($B10,'Ppto-Mes'!$B$8:$AW$68,S$1,0))</f>
        <v>1877565.9600499868</v>
      </c>
      <c r="T10" s="175">
        <f t="shared" si="5"/>
        <v>0</v>
      </c>
      <c r="U10" s="320">
        <f>VLOOKUP($B10,'Ppto-Mes'!$B$8:$AW$68,U$1,0)</f>
        <v>0</v>
      </c>
      <c r="V10" s="320">
        <f>VLOOKUP($B10,'Ppto-Mes'!$B$8:$AW$68,V$1,0)</f>
        <v>0.09</v>
      </c>
      <c r="W10" s="175">
        <f t="shared" si="8"/>
        <v>186000</v>
      </c>
      <c r="X10" s="175">
        <f t="shared" si="6"/>
        <v>0</v>
      </c>
      <c r="Y10" s="175">
        <f t="shared" si="9"/>
        <v>1877565.9600499868</v>
      </c>
    </row>
    <row r="11" spans="1:25" x14ac:dyDescent="0.35">
      <c r="A11" s="18">
        <v>4</v>
      </c>
      <c r="B11" s="184">
        <v>42124</v>
      </c>
      <c r="C11" s="331">
        <f t="shared" si="1"/>
        <v>2015</v>
      </c>
      <c r="D11" s="175">
        <f>HLOOKUP(YEAR($B11),'Ing Proyect'!$B$6:$G$12,6,0)</f>
        <v>104483000</v>
      </c>
      <c r="E11" s="175">
        <f>-VLOOKUP($B11,'Ppto-Mes'!$B$8:$AW$68,E$1,0)</f>
        <v>-96819923.039950013</v>
      </c>
      <c r="F11" s="175">
        <f>VLOOKUP($B11,'Ppto-Mes'!$B$8:$AW$68,F$1,0)</f>
        <v>0</v>
      </c>
      <c r="G11" s="175">
        <f>-VLOOKUP($B11,'Ppto-Mes'!$B$8:$AW$68,G$1,0)</f>
        <v>-998288</v>
      </c>
      <c r="H11" s="175">
        <f>-VLOOKUP($B11,'Ppto-Mes'!$B$8:$AW$68,H$1,0)</f>
        <v>-2853471</v>
      </c>
      <c r="I11" s="175">
        <f t="shared" si="2"/>
        <v>-100671682.03995001</v>
      </c>
      <c r="J11" s="376">
        <f t="shared" si="7"/>
        <v>3811317.9600499868</v>
      </c>
      <c r="K11" s="175">
        <f>VLOOKUP($B11,'Ppto-Mes'!$B$8:$AW$68,K$1,0)</f>
        <v>20371</v>
      </c>
      <c r="L11" s="175">
        <f>-VLOOKUP($B11,'Ppto-Mes'!$B$8:$AW$68,L$1,0)</f>
        <v>0</v>
      </c>
      <c r="M11" s="376">
        <f t="shared" si="3"/>
        <v>3831688.9600499868</v>
      </c>
      <c r="N11" s="175">
        <f>-VLOOKUP($B11,'Ppto-Mes'!$B$8:$AW$68,N$1,0)</f>
        <v>-1791295</v>
      </c>
      <c r="O11" s="376">
        <f t="shared" si="4"/>
        <v>2040393.9600499868</v>
      </c>
      <c r="P11" s="175">
        <f>IF($C11=C10,-VLOOKUP($B11,'Ppto-Mes'!$B$8:$AW$68,P$1,0)-SUMIF($C$6:$C10,$C11,$P$6:$P10),-VLOOKUP($B11,'Ppto-Mes'!$B$8:$AW$68,P$1,0))</f>
        <v>-183000</v>
      </c>
      <c r="Q11" s="376">
        <f t="shared" si="4"/>
        <v>1857393.9600499868</v>
      </c>
      <c r="R11" s="359">
        <f>SUMIF($C$7:$C11,$C11,$Q$7:$Q11)</f>
        <v>7794651.8401999474</v>
      </c>
      <c r="S11" s="175">
        <f>IF($C11=C10,VLOOKUP($B11,'Ppto-Mes'!$B$8:$AW$68,S$1,0)-SUMIF($C$6:$C10,$C11,$S$6:$S10),VLOOKUP($B11,'Ppto-Mes'!$B$8:$AW$68,S$1,0))</f>
        <v>1857393.9600499868</v>
      </c>
      <c r="T11" s="175">
        <f t="shared" si="5"/>
        <v>0</v>
      </c>
      <c r="U11" s="320">
        <f>VLOOKUP($B11,'Ppto-Mes'!$B$8:$AW$68,U$1,0)</f>
        <v>0</v>
      </c>
      <c r="V11" s="320">
        <f>VLOOKUP($B11,'Ppto-Mes'!$B$8:$AW$68,V$1,0)</f>
        <v>0.09</v>
      </c>
      <c r="W11" s="175">
        <f t="shared" si="8"/>
        <v>184000</v>
      </c>
      <c r="X11" s="175">
        <f t="shared" si="6"/>
        <v>1000</v>
      </c>
      <c r="Y11" s="175">
        <f t="shared" si="9"/>
        <v>1857393.9600499868</v>
      </c>
    </row>
    <row r="12" spans="1:25" x14ac:dyDescent="0.35">
      <c r="A12" s="18">
        <v>5</v>
      </c>
      <c r="B12" s="184">
        <v>42155</v>
      </c>
      <c r="C12" s="331">
        <f t="shared" si="1"/>
        <v>2015</v>
      </c>
      <c r="D12" s="175">
        <f>HLOOKUP(YEAR($B12),'Ing Proyect'!$B$6:$G$12,6,0)</f>
        <v>104483000</v>
      </c>
      <c r="E12" s="175">
        <f>-VLOOKUP($B12,'Ppto-Mes'!$B$8:$AW$68,E$1,0)</f>
        <v>-96819923.039950013</v>
      </c>
      <c r="F12" s="175">
        <f>VLOOKUP($B12,'Ppto-Mes'!$B$8:$AW$68,F$1,0)</f>
        <v>0</v>
      </c>
      <c r="G12" s="175">
        <f>-VLOOKUP($B12,'Ppto-Mes'!$B$8:$AW$68,G$1,0)</f>
        <v>-998288</v>
      </c>
      <c r="H12" s="175">
        <f>-VLOOKUP($B12,'Ppto-Mes'!$B$8:$AW$68,H$1,0)</f>
        <v>-2853471</v>
      </c>
      <c r="I12" s="175">
        <f t="shared" si="2"/>
        <v>-100671682.03995001</v>
      </c>
      <c r="J12" s="376">
        <f t="shared" si="7"/>
        <v>3811317.9600499868</v>
      </c>
      <c r="K12" s="175">
        <f>VLOOKUP($B12,'Ppto-Mes'!$B$8:$AW$68,K$1,0)</f>
        <v>44815</v>
      </c>
      <c r="L12" s="175">
        <f>-VLOOKUP($B12,'Ppto-Mes'!$B$8:$AW$68,L$1,0)</f>
        <v>0</v>
      </c>
      <c r="M12" s="376">
        <f t="shared" si="3"/>
        <v>3856132.9600499868</v>
      </c>
      <c r="N12" s="175">
        <f>-VLOOKUP($B12,'Ppto-Mes'!$B$8:$AW$68,N$1,0)</f>
        <v>-1791295</v>
      </c>
      <c r="O12" s="376">
        <f t="shared" si="4"/>
        <v>2064837.9600499868</v>
      </c>
      <c r="P12" s="175">
        <f>IF($C12=C11,-VLOOKUP($B12,'Ppto-Mes'!$B$8:$AW$68,P$1,0)-SUMIF($C$6:$C11,$C12,$P$6:$P11),-VLOOKUP($B12,'Ppto-Mes'!$B$8:$AW$68,P$1,0))</f>
        <v>-186000</v>
      </c>
      <c r="Q12" s="376">
        <f t="shared" si="4"/>
        <v>1878837.9600499868</v>
      </c>
      <c r="R12" s="359">
        <f>SUMIF($C$7:$C12,$C12,$Q$7:$Q12)</f>
        <v>9673489.8002499342</v>
      </c>
      <c r="S12" s="175">
        <f>IF($C12=C11,VLOOKUP($B12,'Ppto-Mes'!$B$8:$AW$68,S$1,0)-SUMIF($C$6:$C11,$C12,$S$6:$S11),VLOOKUP($B12,'Ppto-Mes'!$B$8:$AW$68,S$1,0))</f>
        <v>1878837.9600499868</v>
      </c>
      <c r="T12" s="175">
        <f t="shared" si="5"/>
        <v>0</v>
      </c>
      <c r="U12" s="320">
        <f>VLOOKUP($B12,'Ppto-Mes'!$B$8:$AW$68,U$1,0)</f>
        <v>0</v>
      </c>
      <c r="V12" s="320">
        <f>VLOOKUP($B12,'Ppto-Mes'!$B$8:$AW$68,V$1,0)</f>
        <v>0.09</v>
      </c>
      <c r="W12" s="175">
        <f t="shared" si="8"/>
        <v>186000</v>
      </c>
      <c r="X12" s="175">
        <f t="shared" si="6"/>
        <v>0</v>
      </c>
      <c r="Y12" s="175">
        <f t="shared" si="9"/>
        <v>1878837.9600499868</v>
      </c>
    </row>
    <row r="13" spans="1:25" x14ac:dyDescent="0.35">
      <c r="A13" s="18">
        <v>6</v>
      </c>
      <c r="B13" s="184">
        <v>42185</v>
      </c>
      <c r="C13" s="331">
        <f t="shared" si="1"/>
        <v>2015</v>
      </c>
      <c r="D13" s="175">
        <f>HLOOKUP(YEAR($B13),'Ing Proyect'!$B$6:$G$12,6,0)</f>
        <v>104483000</v>
      </c>
      <c r="E13" s="175">
        <f>-VLOOKUP($B13,'Ppto-Mes'!$B$8:$AW$68,E$1,0)</f>
        <v>-99645267.039950013</v>
      </c>
      <c r="F13" s="175">
        <f>VLOOKUP($B13,'Ppto-Mes'!$B$8:$AW$68,F$1,0)</f>
        <v>2825344</v>
      </c>
      <c r="G13" s="175">
        <f>-VLOOKUP($B13,'Ppto-Mes'!$B$8:$AW$68,G$1,0)</f>
        <v>-998288</v>
      </c>
      <c r="H13" s="175">
        <f>-VLOOKUP($B13,'Ppto-Mes'!$B$8:$AW$68,H$1,0)</f>
        <v>-2853471</v>
      </c>
      <c r="I13" s="175">
        <f t="shared" si="2"/>
        <v>-100671682.03995001</v>
      </c>
      <c r="J13" s="376">
        <f t="shared" si="7"/>
        <v>3811317.9600499868</v>
      </c>
      <c r="K13" s="175">
        <f>VLOOKUP($B13,'Ppto-Mes'!$B$8:$AW$68,K$1,0)</f>
        <v>57038</v>
      </c>
      <c r="L13" s="175">
        <f>-VLOOKUP($B13,'Ppto-Mes'!$B$8:$AW$68,L$1,0)</f>
        <v>0</v>
      </c>
      <c r="M13" s="376">
        <f t="shared" si="3"/>
        <v>3868355.9600499868</v>
      </c>
      <c r="N13" s="175">
        <f>-VLOOKUP($B13,'Ppto-Mes'!$B$8:$AW$68,N$1,0)</f>
        <v>-1791295</v>
      </c>
      <c r="O13" s="376">
        <f t="shared" si="4"/>
        <v>2077060.9600499868</v>
      </c>
      <c r="P13" s="175">
        <f>IF($C13=C12,-VLOOKUP($B13,'Ppto-Mes'!$B$8:$AW$68,P$1,0)-SUMIF($C$6:$C12,$C13,$P$6:$P12),-VLOOKUP($B13,'Ppto-Mes'!$B$8:$AW$68,P$1,0))</f>
        <v>-187000</v>
      </c>
      <c r="Q13" s="376">
        <f t="shared" si="4"/>
        <v>1890060.9600499868</v>
      </c>
      <c r="R13" s="359">
        <f>SUMIF($C$7:$C13,$C13,$Q$7:$Q13)</f>
        <v>11563550.760299921</v>
      </c>
      <c r="S13" s="175">
        <f>IF($C13=C12,VLOOKUP($B13,'Ppto-Mes'!$B$8:$AW$68,S$1,0)-SUMIF($C$6:$C12,$C13,$S$6:$S12),VLOOKUP($B13,'Ppto-Mes'!$B$8:$AW$68,S$1,0))</f>
        <v>1890060.9600499868</v>
      </c>
      <c r="T13" s="175">
        <f t="shared" si="5"/>
        <v>0</v>
      </c>
      <c r="U13" s="320">
        <f>VLOOKUP($B13,'Ppto-Mes'!$B$8:$AW$68,U$1,0)</f>
        <v>0</v>
      </c>
      <c r="V13" s="320">
        <f>VLOOKUP($B13,'Ppto-Mes'!$B$8:$AW$68,V$1,0)</f>
        <v>0.09</v>
      </c>
      <c r="W13" s="175">
        <f t="shared" si="8"/>
        <v>187000</v>
      </c>
      <c r="X13" s="175">
        <f t="shared" si="6"/>
        <v>0</v>
      </c>
      <c r="Y13" s="175">
        <f t="shared" si="9"/>
        <v>1890060.9600499868</v>
      </c>
    </row>
    <row r="14" spans="1:25" x14ac:dyDescent="0.35">
      <c r="A14" s="18">
        <v>7</v>
      </c>
      <c r="B14" s="184">
        <v>42216</v>
      </c>
      <c r="C14" s="331">
        <f t="shared" si="1"/>
        <v>2015</v>
      </c>
      <c r="D14" s="175">
        <f>HLOOKUP(YEAR($B14),'Ing Proyect'!$B$6:$G$12,6,0)</f>
        <v>104483000</v>
      </c>
      <c r="E14" s="175">
        <f>-VLOOKUP($B14,'Ppto-Mes'!$B$8:$AW$68,E$1,0)</f>
        <v>-96819923.039950013</v>
      </c>
      <c r="F14" s="175">
        <f>VLOOKUP($B14,'Ppto-Mes'!$B$8:$AW$68,F$1,0)</f>
        <v>0</v>
      </c>
      <c r="G14" s="175">
        <f>-VLOOKUP($B14,'Ppto-Mes'!$B$8:$AW$68,G$1,0)</f>
        <v>-998288</v>
      </c>
      <c r="H14" s="175">
        <f>-VLOOKUP($B14,'Ppto-Mes'!$B$8:$AW$68,H$1,0)</f>
        <v>-3853471</v>
      </c>
      <c r="I14" s="175">
        <f t="shared" si="2"/>
        <v>-101671682.03995001</v>
      </c>
      <c r="J14" s="376">
        <f t="shared" si="7"/>
        <v>2811317.9600499868</v>
      </c>
      <c r="K14" s="175">
        <f>VLOOKUP($B14,'Ppto-Mes'!$B$8:$AW$68,K$1,0)</f>
        <v>55551</v>
      </c>
      <c r="L14" s="175">
        <f>-VLOOKUP($B14,'Ppto-Mes'!$B$8:$AW$68,L$1,0)</f>
        <v>0</v>
      </c>
      <c r="M14" s="376">
        <f t="shared" si="3"/>
        <v>2866868.9600499868</v>
      </c>
      <c r="N14" s="175">
        <f>-VLOOKUP($B14,'Ppto-Mes'!$B$8:$AW$68,N$1,0)</f>
        <v>-1834743</v>
      </c>
      <c r="O14" s="376">
        <f t="shared" si="4"/>
        <v>1032125.9600499868</v>
      </c>
      <c r="P14" s="175">
        <f>IF($C14=C13,-VLOOKUP($B14,'Ppto-Mes'!$B$8:$AW$68,P$1,0)-SUMIF($C$6:$C13,$C14,$P$6:$P13),-VLOOKUP($B14,'Ppto-Mes'!$B$8:$AW$68,P$1,0))</f>
        <v>-93000</v>
      </c>
      <c r="Q14" s="376">
        <f t="shared" si="4"/>
        <v>939125.96004998684</v>
      </c>
      <c r="R14" s="359">
        <f>SUMIF($C$7:$C14,$C14,$Q$7:$Q14)</f>
        <v>12502676.720349908</v>
      </c>
      <c r="S14" s="175">
        <f>IF($C14=C13,VLOOKUP($B14,'Ppto-Mes'!$B$8:$AW$68,S$1,0)-SUMIF($C$6:$C13,$C14,$S$6:$S13),VLOOKUP($B14,'Ppto-Mes'!$B$8:$AW$68,S$1,0))</f>
        <v>939125.96004998684</v>
      </c>
      <c r="T14" s="175">
        <f t="shared" si="5"/>
        <v>0</v>
      </c>
      <c r="U14" s="320">
        <f>VLOOKUP($B14,'Ppto-Mes'!$B$8:$AW$68,U$1,0)</f>
        <v>0</v>
      </c>
      <c r="V14" s="320">
        <f>VLOOKUP($B14,'Ppto-Mes'!$B$8:$AW$68,V$1,0)</f>
        <v>0.09</v>
      </c>
      <c r="W14" s="175">
        <f t="shared" si="8"/>
        <v>93000</v>
      </c>
      <c r="X14" s="175">
        <f t="shared" si="6"/>
        <v>0</v>
      </c>
      <c r="Y14" s="175">
        <f t="shared" si="9"/>
        <v>939125.96004998684</v>
      </c>
    </row>
    <row r="15" spans="1:25" x14ac:dyDescent="0.35">
      <c r="A15" s="18">
        <v>8</v>
      </c>
      <c r="B15" s="184">
        <v>42247</v>
      </c>
      <c r="C15" s="331">
        <f t="shared" si="1"/>
        <v>2015</v>
      </c>
      <c r="D15" s="175">
        <f>HLOOKUP(YEAR($B15),'Ing Proyect'!$B$6:$G$12,6,0)</f>
        <v>104483000</v>
      </c>
      <c r="E15" s="175">
        <f>-VLOOKUP($B15,'Ppto-Mes'!$B$8:$AW$68,E$1,0)</f>
        <v>-96819923.039950013</v>
      </c>
      <c r="F15" s="175">
        <f>VLOOKUP($B15,'Ppto-Mes'!$B$8:$AW$68,F$1,0)</f>
        <v>0</v>
      </c>
      <c r="G15" s="175">
        <f>-VLOOKUP($B15,'Ppto-Mes'!$B$8:$AW$68,G$1,0)</f>
        <v>-998288</v>
      </c>
      <c r="H15" s="175">
        <f>-VLOOKUP($B15,'Ppto-Mes'!$B$8:$AW$68,H$1,0)</f>
        <v>-3853471</v>
      </c>
      <c r="I15" s="175">
        <f t="shared" si="2"/>
        <v>-101671682.03995001</v>
      </c>
      <c r="J15" s="376">
        <f t="shared" si="7"/>
        <v>2811317.9600499868</v>
      </c>
      <c r="K15" s="175">
        <f>VLOOKUP($B15,'Ppto-Mes'!$B$8:$AW$68,K$1,0)</f>
        <v>59824</v>
      </c>
      <c r="L15" s="175">
        <f>-VLOOKUP($B15,'Ppto-Mes'!$B$8:$AW$68,L$1,0)</f>
        <v>0</v>
      </c>
      <c r="M15" s="376">
        <f t="shared" si="3"/>
        <v>2871141.9600499868</v>
      </c>
      <c r="N15" s="175">
        <f>-VLOOKUP($B15,'Ppto-Mes'!$B$8:$AW$68,N$1,0)</f>
        <v>-1834743</v>
      </c>
      <c r="O15" s="376">
        <f t="shared" si="4"/>
        <v>1036398.9600499868</v>
      </c>
      <c r="P15" s="175">
        <f>IF($C15=C14,-VLOOKUP($B15,'Ppto-Mes'!$B$8:$AW$68,P$1,0)-SUMIF($C$6:$C14,$C15,$P$6:$P14),-VLOOKUP($B15,'Ppto-Mes'!$B$8:$AW$68,P$1,0))</f>
        <v>-93000</v>
      </c>
      <c r="Q15" s="376">
        <f t="shared" si="4"/>
        <v>943398.96004998684</v>
      </c>
      <c r="R15" s="359">
        <f>SUMIF($C$7:$C15,$C15,$Q$7:$Q15)</f>
        <v>13446075.680399895</v>
      </c>
      <c r="S15" s="175">
        <f>IF($C15=C14,VLOOKUP($B15,'Ppto-Mes'!$B$8:$AW$68,S$1,0)-SUMIF($C$6:$C14,$C15,$S$6:$S14),VLOOKUP($B15,'Ppto-Mes'!$B$8:$AW$68,S$1,0))</f>
        <v>943398.96004998684</v>
      </c>
      <c r="T15" s="175">
        <f t="shared" si="5"/>
        <v>0</v>
      </c>
      <c r="U15" s="320">
        <f>VLOOKUP($B15,'Ppto-Mes'!$B$8:$AW$68,U$1,0)</f>
        <v>0</v>
      </c>
      <c r="V15" s="320">
        <f>VLOOKUP($B15,'Ppto-Mes'!$B$8:$AW$68,V$1,0)</f>
        <v>0.09</v>
      </c>
      <c r="W15" s="175">
        <f t="shared" si="8"/>
        <v>94000</v>
      </c>
      <c r="X15" s="175">
        <f t="shared" si="6"/>
        <v>1000</v>
      </c>
      <c r="Y15" s="175">
        <f t="shared" si="9"/>
        <v>943398.96004998684</v>
      </c>
    </row>
    <row r="16" spans="1:25" x14ac:dyDescent="0.35">
      <c r="A16" s="18">
        <v>9</v>
      </c>
      <c r="B16" s="184">
        <v>42277</v>
      </c>
      <c r="C16" s="331">
        <f t="shared" si="1"/>
        <v>2015</v>
      </c>
      <c r="D16" s="175">
        <f>HLOOKUP(YEAR($B16),'Ing Proyect'!$B$6:$G$12,6,0)</f>
        <v>104483000</v>
      </c>
      <c r="E16" s="175">
        <f>-VLOOKUP($B16,'Ppto-Mes'!$B$8:$AW$68,E$1,0)</f>
        <v>-96819923.039950013</v>
      </c>
      <c r="F16" s="175">
        <f>VLOOKUP($B16,'Ppto-Mes'!$B$8:$AW$68,F$1,0)</f>
        <v>0</v>
      </c>
      <c r="G16" s="175">
        <f>-VLOOKUP($B16,'Ppto-Mes'!$B$8:$AW$68,G$1,0)</f>
        <v>-998288</v>
      </c>
      <c r="H16" s="175">
        <f>-VLOOKUP($B16,'Ppto-Mes'!$B$8:$AW$68,H$1,0)</f>
        <v>-3853471</v>
      </c>
      <c r="I16" s="175">
        <f t="shared" si="2"/>
        <v>-101671682.03995001</v>
      </c>
      <c r="J16" s="376">
        <f t="shared" si="7"/>
        <v>2811317.9600499868</v>
      </c>
      <c r="K16" s="175">
        <f>VLOOKUP($B16,'Ppto-Mes'!$B$8:$AW$68,K$1,0)</f>
        <v>85463</v>
      </c>
      <c r="L16" s="175">
        <f>-VLOOKUP($B16,'Ppto-Mes'!$B$8:$AW$68,L$1,0)</f>
        <v>0</v>
      </c>
      <c r="M16" s="376">
        <f t="shared" si="3"/>
        <v>2896780.9600499868</v>
      </c>
      <c r="N16" s="175">
        <f>-VLOOKUP($B16,'Ppto-Mes'!$B$8:$AW$68,N$1,0)</f>
        <v>-1834743</v>
      </c>
      <c r="O16" s="376">
        <f t="shared" si="4"/>
        <v>1062037.9600499868</v>
      </c>
      <c r="P16" s="175">
        <f>IF($C16=C15,-VLOOKUP($B16,'Ppto-Mes'!$B$8:$AW$68,P$1,0)-SUMIF($C$6:$C15,$C16,$P$6:$P15),-VLOOKUP($B16,'Ppto-Mes'!$B$8:$AW$68,P$1,0))</f>
        <v>-96000</v>
      </c>
      <c r="Q16" s="376">
        <f t="shared" si="4"/>
        <v>966037.96004998684</v>
      </c>
      <c r="R16" s="359">
        <f>SUMIF($C$7:$C16,$C16,$Q$7:$Q16)</f>
        <v>14412113.640449882</v>
      </c>
      <c r="S16" s="175">
        <f>IF($C16=C15,VLOOKUP($B16,'Ppto-Mes'!$B$8:$AW$68,S$1,0)-SUMIF($C$6:$C15,$C16,$S$6:$S15),VLOOKUP($B16,'Ppto-Mes'!$B$8:$AW$68,S$1,0))</f>
        <v>966037.96004998684</v>
      </c>
      <c r="T16" s="175">
        <f t="shared" si="5"/>
        <v>0</v>
      </c>
      <c r="U16" s="320">
        <f>VLOOKUP($B16,'Ppto-Mes'!$B$8:$AW$68,U$1,0)</f>
        <v>0</v>
      </c>
      <c r="V16" s="320">
        <f>VLOOKUP($B16,'Ppto-Mes'!$B$8:$AW$68,V$1,0)</f>
        <v>0.09</v>
      </c>
      <c r="W16" s="175">
        <f t="shared" si="8"/>
        <v>96000</v>
      </c>
      <c r="X16" s="175">
        <f t="shared" si="6"/>
        <v>0</v>
      </c>
      <c r="Y16" s="175">
        <f t="shared" si="9"/>
        <v>966037.96004998684</v>
      </c>
    </row>
    <row r="17" spans="1:25" x14ac:dyDescent="0.35">
      <c r="A17" s="18">
        <v>10</v>
      </c>
      <c r="B17" s="184">
        <v>42308</v>
      </c>
      <c r="C17" s="331">
        <f t="shared" si="1"/>
        <v>2015</v>
      </c>
      <c r="D17" s="175">
        <f>HLOOKUP(YEAR($B17),'Ing Proyect'!$B$6:$G$12,6,0)</f>
        <v>104483000</v>
      </c>
      <c r="E17" s="175">
        <f>-VLOOKUP($B17,'Ppto-Mes'!$B$8:$AW$68,E$1,0)</f>
        <v>-96819923.039950013</v>
      </c>
      <c r="F17" s="175">
        <f>VLOOKUP($B17,'Ppto-Mes'!$B$8:$AW$68,F$1,0)</f>
        <v>0</v>
      </c>
      <c r="G17" s="175">
        <f>-VLOOKUP($B17,'Ppto-Mes'!$B$8:$AW$68,G$1,0)</f>
        <v>-998288</v>
      </c>
      <c r="H17" s="175">
        <f>-VLOOKUP($B17,'Ppto-Mes'!$B$8:$AW$68,H$1,0)</f>
        <v>-3853471</v>
      </c>
      <c r="I17" s="175">
        <f t="shared" si="2"/>
        <v>-101671682.03995001</v>
      </c>
      <c r="J17" s="376">
        <f t="shared" si="7"/>
        <v>2811317.9600499868</v>
      </c>
      <c r="K17" s="175">
        <f>VLOOKUP($B17,'Ppto-Mes'!$B$8:$AW$68,K$1,0)</f>
        <v>116264</v>
      </c>
      <c r="L17" s="175">
        <f>-VLOOKUP($B17,'Ppto-Mes'!$B$8:$AW$68,L$1,0)</f>
        <v>0</v>
      </c>
      <c r="M17" s="376">
        <f t="shared" si="3"/>
        <v>2927581.9600499868</v>
      </c>
      <c r="N17" s="175">
        <f>-VLOOKUP($B17,'Ppto-Mes'!$B$8:$AW$68,N$1,0)</f>
        <v>-1878096</v>
      </c>
      <c r="O17" s="376">
        <f t="shared" si="4"/>
        <v>1049485.9600499868</v>
      </c>
      <c r="P17" s="175">
        <f>IF($C17=C16,-VLOOKUP($B17,'Ppto-Mes'!$B$8:$AW$68,P$1,0)-SUMIF($C$6:$C16,$C17,$P$6:$P16),-VLOOKUP($B17,'Ppto-Mes'!$B$8:$AW$68,P$1,0))</f>
        <v>-94000</v>
      </c>
      <c r="Q17" s="376">
        <f t="shared" si="4"/>
        <v>955485.96004998684</v>
      </c>
      <c r="R17" s="359">
        <f>SUMIF($C$7:$C17,$C17,$Q$7:$Q17)</f>
        <v>15367599.600499868</v>
      </c>
      <c r="S17" s="175">
        <f>IF($C17=C16,VLOOKUP($B17,'Ppto-Mes'!$B$8:$AW$68,S$1,0)-SUMIF($C$6:$C16,$C17,$S$6:$S16),VLOOKUP($B17,'Ppto-Mes'!$B$8:$AW$68,S$1,0))</f>
        <v>955485.96004998684</v>
      </c>
      <c r="T17" s="175">
        <f t="shared" si="5"/>
        <v>0</v>
      </c>
      <c r="U17" s="320">
        <f>VLOOKUP($B17,'Ppto-Mes'!$B$8:$AW$68,U$1,0)</f>
        <v>0</v>
      </c>
      <c r="V17" s="320">
        <f>VLOOKUP($B17,'Ppto-Mes'!$B$8:$AW$68,V$1,0)</f>
        <v>0.09</v>
      </c>
      <c r="W17" s="175">
        <f t="shared" si="8"/>
        <v>95000</v>
      </c>
      <c r="X17" s="175">
        <f t="shared" si="6"/>
        <v>1000</v>
      </c>
      <c r="Y17" s="175">
        <f t="shared" si="9"/>
        <v>955485.96004998684</v>
      </c>
    </row>
    <row r="18" spans="1:25" x14ac:dyDescent="0.35">
      <c r="A18" s="18">
        <v>11</v>
      </c>
      <c r="B18" s="184">
        <v>42338</v>
      </c>
      <c r="C18" s="331">
        <f t="shared" si="1"/>
        <v>2015</v>
      </c>
      <c r="D18" s="175">
        <f>HLOOKUP(YEAR($B18),'Ing Proyect'!$B$6:$G$12,6,0)</f>
        <v>104483000</v>
      </c>
      <c r="E18" s="175">
        <f>-VLOOKUP($B18,'Ppto-Mes'!$B$8:$AW$68,E$1,0)</f>
        <v>-96819923.039950013</v>
      </c>
      <c r="F18" s="175">
        <f>VLOOKUP($B18,'Ppto-Mes'!$B$8:$AW$68,F$1,0)</f>
        <v>0</v>
      </c>
      <c r="G18" s="175">
        <f>-VLOOKUP($B18,'Ppto-Mes'!$B$8:$AW$68,G$1,0)</f>
        <v>-998288</v>
      </c>
      <c r="H18" s="175">
        <f>-VLOOKUP($B18,'Ppto-Mes'!$B$8:$AW$68,H$1,0)</f>
        <v>-3853471</v>
      </c>
      <c r="I18" s="175">
        <f t="shared" si="2"/>
        <v>-101671682.03995001</v>
      </c>
      <c r="J18" s="376">
        <f t="shared" si="7"/>
        <v>2811317.9600499868</v>
      </c>
      <c r="K18" s="175">
        <f>VLOOKUP($B18,'Ppto-Mes'!$B$8:$AW$68,K$1,0)</f>
        <v>143094</v>
      </c>
      <c r="L18" s="175">
        <f>-VLOOKUP($B18,'Ppto-Mes'!$B$8:$AW$68,L$1,0)</f>
        <v>0</v>
      </c>
      <c r="M18" s="376">
        <f t="shared" si="3"/>
        <v>2954411.9600499868</v>
      </c>
      <c r="N18" s="175">
        <f>-VLOOKUP($B18,'Ppto-Mes'!$B$8:$AW$68,N$1,0)</f>
        <v>-1878096</v>
      </c>
      <c r="O18" s="376">
        <f t="shared" si="4"/>
        <v>1076315.9600499868</v>
      </c>
      <c r="P18" s="175">
        <f>IF($C18=C17,-VLOOKUP($B18,'Ppto-Mes'!$B$8:$AW$68,P$1,0)-SUMIF($C$6:$C17,$C18,$P$6:$P17),-VLOOKUP($B18,'Ppto-Mes'!$B$8:$AW$68,P$1,0))</f>
        <v>-97000</v>
      </c>
      <c r="Q18" s="376">
        <f t="shared" si="4"/>
        <v>979315.96004998684</v>
      </c>
      <c r="R18" s="359">
        <f>SUMIF($C$7:$C18,$C18,$Q$7:$Q18)</f>
        <v>16346915.560549855</v>
      </c>
      <c r="S18" s="175">
        <f>IF($C18=C17,VLOOKUP($B18,'Ppto-Mes'!$B$8:$AW$68,S$1,0)-SUMIF($C$6:$C17,$C18,$S$6:$S17),VLOOKUP($B18,'Ppto-Mes'!$B$8:$AW$68,S$1,0))</f>
        <v>979315.96004998684</v>
      </c>
      <c r="T18" s="175">
        <f t="shared" si="5"/>
        <v>0</v>
      </c>
      <c r="U18" s="320">
        <f>VLOOKUP($B18,'Ppto-Mes'!$B$8:$AW$68,U$1,0)</f>
        <v>0</v>
      </c>
      <c r="V18" s="320">
        <f>VLOOKUP($B18,'Ppto-Mes'!$B$8:$AW$68,V$1,0)</f>
        <v>0.09</v>
      </c>
      <c r="W18" s="175">
        <f t="shared" si="8"/>
        <v>97000</v>
      </c>
      <c r="X18" s="175">
        <f t="shared" si="6"/>
        <v>0</v>
      </c>
      <c r="Y18" s="175">
        <f t="shared" si="9"/>
        <v>979315.96004998684</v>
      </c>
    </row>
    <row r="19" spans="1:25" x14ac:dyDescent="0.35">
      <c r="A19" s="18">
        <v>12</v>
      </c>
      <c r="B19" s="184">
        <v>42369</v>
      </c>
      <c r="C19" s="331">
        <f t="shared" si="1"/>
        <v>2015</v>
      </c>
      <c r="D19" s="175">
        <f>HLOOKUP(YEAR($B19),'Ing Proyect'!$B$6:$G$12,6,0)</f>
        <v>104483000</v>
      </c>
      <c r="E19" s="175">
        <f>-VLOOKUP($B19,'Ppto-Mes'!$B$8:$AW$68,E$1,0)</f>
        <v>-99645267.039950013</v>
      </c>
      <c r="F19" s="175">
        <f>VLOOKUP($B19,'Ppto-Mes'!$B$8:$AW$68,F$1,0)</f>
        <v>2825344</v>
      </c>
      <c r="G19" s="175">
        <f>-VLOOKUP($B19,'Ppto-Mes'!$B$8:$AW$68,G$1,0)</f>
        <v>-998288</v>
      </c>
      <c r="H19" s="175">
        <f>-VLOOKUP($B19,'Ppto-Mes'!$B$8:$AW$68,H$1,0)</f>
        <v>-3853471</v>
      </c>
      <c r="I19" s="175">
        <f t="shared" si="2"/>
        <v>-101671682.03995001</v>
      </c>
      <c r="J19" s="376">
        <f t="shared" si="7"/>
        <v>2811317.9600499868</v>
      </c>
      <c r="K19" s="175">
        <f>VLOOKUP($B19,'Ppto-Mes'!$B$8:$AW$68,K$1,0)</f>
        <v>156509</v>
      </c>
      <c r="L19" s="175">
        <f>-VLOOKUP($B19,'Ppto-Mes'!$B$8:$AW$68,L$1,0)</f>
        <v>0</v>
      </c>
      <c r="M19" s="376">
        <f t="shared" si="3"/>
        <v>2967826.9600499868</v>
      </c>
      <c r="N19" s="175">
        <f>-VLOOKUP($B19,'Ppto-Mes'!$B$8:$AW$68,N$1,0)</f>
        <v>-1878096</v>
      </c>
      <c r="O19" s="376">
        <f t="shared" si="4"/>
        <v>1089730.9600499868</v>
      </c>
      <c r="P19" s="175">
        <f>IF($C19=C18,-VLOOKUP($B19,'Ppto-Mes'!$B$8:$AW$68,P$1,0)-SUMIF($C$6:$C18,$C19,$P$6:$P18),-VLOOKUP($B19,'Ppto-Mes'!$B$8:$AW$68,P$1,0))</f>
        <v>-98000</v>
      </c>
      <c r="Q19" s="376">
        <f t="shared" si="4"/>
        <v>991730.96004998684</v>
      </c>
      <c r="R19" s="359">
        <f>SUMIF($C$7:$C19,$C19,$Q$7:$Q19)</f>
        <v>17338646.520599842</v>
      </c>
      <c r="S19" s="175">
        <f>IF($C19=C18,VLOOKUP($B19,'Ppto-Mes'!$B$8:$AW$68,S$1,0)-SUMIF($C$6:$C18,$C19,$S$6:$S18),VLOOKUP($B19,'Ppto-Mes'!$B$8:$AW$68,S$1,0))</f>
        <v>991730.96004998684</v>
      </c>
      <c r="T19" s="175">
        <f t="shared" si="5"/>
        <v>0</v>
      </c>
      <c r="U19" s="320">
        <f>VLOOKUP($B19,'Ppto-Mes'!$B$8:$AW$68,U$1,0)</f>
        <v>0</v>
      </c>
      <c r="V19" s="320">
        <f>VLOOKUP($B19,'Ppto-Mes'!$B$8:$AW$68,V$1,0)</f>
        <v>0.09</v>
      </c>
      <c r="W19" s="175">
        <f t="shared" si="8"/>
        <v>99000</v>
      </c>
      <c r="X19" s="175">
        <f t="shared" si="6"/>
        <v>1000</v>
      </c>
      <c r="Y19" s="175">
        <f t="shared" si="9"/>
        <v>991730.96004998684</v>
      </c>
    </row>
    <row r="20" spans="1:25" x14ac:dyDescent="0.35">
      <c r="A20" s="18">
        <v>13</v>
      </c>
      <c r="B20" s="184">
        <v>42400</v>
      </c>
      <c r="C20" s="331">
        <f t="shared" si="1"/>
        <v>2016</v>
      </c>
      <c r="D20" s="175">
        <f>HLOOKUP(YEAR($B20),'Ing Proyect'!$B$6:$G$12,6,0)</f>
        <v>119393000</v>
      </c>
      <c r="E20" s="175">
        <f>-VLOOKUP($B20,'Ppto-Mes'!$B$8:$AW$68,E$1,0)</f>
        <v>-116582462.86380002</v>
      </c>
      <c r="F20" s="175">
        <f>VLOOKUP($B20,'Ppto-Mes'!$B$8:$AW$68,F$1,0)</f>
        <v>6328770</v>
      </c>
      <c r="G20" s="175">
        <f>-VLOOKUP($B20,'Ppto-Mes'!$B$8:$AW$68,G$1,0)</f>
        <v>-1088696</v>
      </c>
      <c r="H20" s="175">
        <f>-VLOOKUP($B20,'Ppto-Mes'!$B$8:$AW$68,H$1,0)</f>
        <v>-2878472</v>
      </c>
      <c r="I20" s="175">
        <f t="shared" si="2"/>
        <v>-114220860.86380002</v>
      </c>
      <c r="J20" s="376">
        <f t="shared" si="7"/>
        <v>5172139.136199981</v>
      </c>
      <c r="K20" s="175">
        <f>VLOOKUP($B20,'Ppto-Mes'!$B$8:$AW$68,K$1,0)</f>
        <v>102736</v>
      </c>
      <c r="L20" s="175">
        <f>-VLOOKUP($B20,'Ppto-Mes'!$B$8:$AW$68,L$1,0)</f>
        <v>0</v>
      </c>
      <c r="M20" s="376">
        <f t="shared" si="3"/>
        <v>5274875.136199981</v>
      </c>
      <c r="N20" s="175">
        <f>-VLOOKUP($B20,'Ppto-Mes'!$B$8:$AW$68,N$1,0)</f>
        <v>-1921357</v>
      </c>
      <c r="O20" s="376">
        <f t="shared" si="4"/>
        <v>3353518.136199981</v>
      </c>
      <c r="P20" s="175">
        <f>IF($C20=C19,-VLOOKUP($B20,'Ppto-Mes'!$B$8:$AW$68,P$1,0)-SUMIF($C$6:$C19,$C20,$P$6:$P19),-VLOOKUP($B20,'Ppto-Mes'!$B$8:$AW$68,P$1,0))</f>
        <v>-302000</v>
      </c>
      <c r="Q20" s="376">
        <f t="shared" si="4"/>
        <v>3051518.136199981</v>
      </c>
      <c r="R20" s="359">
        <f>SUMIF($C$7:$C20,$C20,$Q$7:$Q20)</f>
        <v>3051518.136199981</v>
      </c>
      <c r="S20" s="175">
        <f>IF($C20=C19,VLOOKUP($B20,'Ppto-Mes'!$B$8:$AW$68,S$1,0)-SUMIF($C$6:$C19,$C20,$S$6:$S19),VLOOKUP($B20,'Ppto-Mes'!$B$8:$AW$68,S$1,0))</f>
        <v>3051518.136199981</v>
      </c>
      <c r="T20" s="175">
        <f t="shared" si="5"/>
        <v>0</v>
      </c>
      <c r="U20" s="320">
        <f>VLOOKUP($B20,'Ppto-Mes'!$B$8:$AW$68,U$1,0)</f>
        <v>0</v>
      </c>
      <c r="V20" s="320">
        <f>VLOOKUP($B20,'Ppto-Mes'!$B$8:$AW$68,V$1,0)</f>
        <v>0.09</v>
      </c>
      <c r="W20" s="175">
        <f t="shared" si="8"/>
        <v>302000</v>
      </c>
      <c r="X20" s="175">
        <f t="shared" si="6"/>
        <v>0</v>
      </c>
      <c r="Y20" s="175">
        <f t="shared" si="9"/>
        <v>3051518.136199981</v>
      </c>
    </row>
    <row r="21" spans="1:25" x14ac:dyDescent="0.35">
      <c r="A21" s="18">
        <v>14</v>
      </c>
      <c r="B21" s="184">
        <v>42429</v>
      </c>
      <c r="C21" s="331">
        <f t="shared" si="1"/>
        <v>2016</v>
      </c>
      <c r="D21" s="175">
        <f>HLOOKUP(YEAR($B21),'Ing Proyect'!$B$6:$G$12,6,0)</f>
        <v>119393000</v>
      </c>
      <c r="E21" s="175">
        <f>-VLOOKUP($B21,'Ppto-Mes'!$B$8:$AW$68,E$1,0)</f>
        <v>-110253692.86380002</v>
      </c>
      <c r="F21" s="175">
        <f>VLOOKUP($B21,'Ppto-Mes'!$B$8:$AW$68,F$1,0)</f>
        <v>0</v>
      </c>
      <c r="G21" s="175">
        <f>-VLOOKUP($B21,'Ppto-Mes'!$B$8:$AW$68,G$1,0)</f>
        <v>-1088696</v>
      </c>
      <c r="H21" s="175">
        <f>-VLOOKUP($B21,'Ppto-Mes'!$B$8:$AW$68,H$1,0)</f>
        <v>-2878471</v>
      </c>
      <c r="I21" s="175">
        <f t="shared" si="2"/>
        <v>-114220859.86380002</v>
      </c>
      <c r="J21" s="376">
        <f t="shared" si="7"/>
        <v>5172140.136199981</v>
      </c>
      <c r="K21" s="175">
        <f>VLOOKUP($B21,'Ppto-Mes'!$B$8:$AW$68,K$1,0)</f>
        <v>23349</v>
      </c>
      <c r="L21" s="175">
        <f>-VLOOKUP($B21,'Ppto-Mes'!$B$8:$AW$68,L$1,0)</f>
        <v>0</v>
      </c>
      <c r="M21" s="376">
        <f t="shared" si="3"/>
        <v>5195489.136199981</v>
      </c>
      <c r="N21" s="175">
        <f>-VLOOKUP($B21,'Ppto-Mes'!$B$8:$AW$68,N$1,0)</f>
        <v>-1841300</v>
      </c>
      <c r="O21" s="376">
        <f t="shared" si="4"/>
        <v>3354189.136199981</v>
      </c>
      <c r="P21" s="175">
        <f>IF($C21=C20,-VLOOKUP($B21,'Ppto-Mes'!$B$8:$AW$68,P$1,0)-SUMIF($C$6:$C20,$C21,$P$6:$P20),-VLOOKUP($B21,'Ppto-Mes'!$B$8:$AW$68,P$1,0))</f>
        <v>-302000</v>
      </c>
      <c r="Q21" s="376">
        <f t="shared" si="4"/>
        <v>3052189.136199981</v>
      </c>
      <c r="R21" s="359">
        <f>SUMIF($C$7:$C21,$C21,$Q$7:$Q21)</f>
        <v>6103707.2723999619</v>
      </c>
      <c r="S21" s="175">
        <f>IF($C21=C20,VLOOKUP($B21,'Ppto-Mes'!$B$8:$AW$68,S$1,0)-SUMIF($C$6:$C20,$C21,$S$6:$S20),VLOOKUP($B21,'Ppto-Mes'!$B$8:$AW$68,S$1,0))</f>
        <v>3052189.136199981</v>
      </c>
      <c r="T21" s="175">
        <f t="shared" si="5"/>
        <v>0</v>
      </c>
      <c r="U21" s="320">
        <f>VLOOKUP($B21,'Ppto-Mes'!$B$8:$AW$68,U$1,0)</f>
        <v>0</v>
      </c>
      <c r="V21" s="320">
        <f>VLOOKUP($B21,'Ppto-Mes'!$B$8:$AW$68,V$1,0)</f>
        <v>0.09</v>
      </c>
      <c r="W21" s="175">
        <f t="shared" si="8"/>
        <v>302000</v>
      </c>
      <c r="X21" s="175">
        <f t="shared" si="6"/>
        <v>0</v>
      </c>
      <c r="Y21" s="175">
        <f t="shared" si="9"/>
        <v>3052189.136199981</v>
      </c>
    </row>
    <row r="22" spans="1:25" x14ac:dyDescent="0.35">
      <c r="A22" s="18">
        <v>15</v>
      </c>
      <c r="B22" s="184">
        <v>42460</v>
      </c>
      <c r="C22" s="331">
        <f t="shared" si="1"/>
        <v>2016</v>
      </c>
      <c r="D22" s="175">
        <f>HLOOKUP(YEAR($B22),'Ing Proyect'!$B$6:$G$12,6,0)</f>
        <v>119393000</v>
      </c>
      <c r="E22" s="175">
        <f>-VLOOKUP($B22,'Ppto-Mes'!$B$8:$AW$68,E$1,0)</f>
        <v>-110253692.86380002</v>
      </c>
      <c r="F22" s="175">
        <f>VLOOKUP($B22,'Ppto-Mes'!$B$8:$AW$68,F$1,0)</f>
        <v>0</v>
      </c>
      <c r="G22" s="175">
        <f>-VLOOKUP($B22,'Ppto-Mes'!$B$8:$AW$68,G$1,0)</f>
        <v>-1088696</v>
      </c>
      <c r="H22" s="175">
        <f>-VLOOKUP($B22,'Ppto-Mes'!$B$8:$AW$68,H$1,0)</f>
        <v>-2878472</v>
      </c>
      <c r="I22" s="175">
        <f t="shared" si="2"/>
        <v>-114220860.86380002</v>
      </c>
      <c r="J22" s="376">
        <f t="shared" si="7"/>
        <v>5172139.136199981</v>
      </c>
      <c r="K22" s="175">
        <f>VLOOKUP($B22,'Ppto-Mes'!$B$8:$AW$68,K$1,0)</f>
        <v>18679</v>
      </c>
      <c r="L22" s="175">
        <f>-VLOOKUP($B22,'Ppto-Mes'!$B$8:$AW$68,L$1,0)</f>
        <v>0</v>
      </c>
      <c r="M22" s="376">
        <f t="shared" si="3"/>
        <v>5190818.136199981</v>
      </c>
      <c r="N22" s="175">
        <f>-VLOOKUP($B22,'Ppto-Mes'!$B$8:$AW$68,N$1,0)</f>
        <v>-1761244</v>
      </c>
      <c r="O22" s="376">
        <f t="shared" si="4"/>
        <v>3429574.136199981</v>
      </c>
      <c r="P22" s="175">
        <f>IF($C22=C21,-VLOOKUP($B22,'Ppto-Mes'!$B$8:$AW$68,P$1,0)-SUMIF($C$6:$C21,$C22,$P$6:$P21),-VLOOKUP($B22,'Ppto-Mes'!$B$8:$AW$68,P$1,0))</f>
        <v>-309000</v>
      </c>
      <c r="Q22" s="376">
        <f t="shared" si="4"/>
        <v>3120574.136199981</v>
      </c>
      <c r="R22" s="359">
        <f>SUMIF($C$7:$C22,$C22,$Q$7:$Q22)</f>
        <v>9224281.4085999429</v>
      </c>
      <c r="S22" s="175">
        <f>IF($C22=C21,VLOOKUP($B22,'Ppto-Mes'!$B$8:$AW$68,S$1,0)-SUMIF($C$6:$C21,$C22,$S$6:$S21),VLOOKUP($B22,'Ppto-Mes'!$B$8:$AW$68,S$1,0))</f>
        <v>3120574.136199981</v>
      </c>
      <c r="T22" s="175">
        <f t="shared" si="5"/>
        <v>0</v>
      </c>
      <c r="U22" s="320">
        <f>VLOOKUP($B22,'Ppto-Mes'!$B$8:$AW$68,U$1,0)</f>
        <v>0</v>
      </c>
      <c r="V22" s="320">
        <f>VLOOKUP($B22,'Ppto-Mes'!$B$8:$AW$68,V$1,0)</f>
        <v>0.09</v>
      </c>
      <c r="W22" s="175">
        <f t="shared" si="8"/>
        <v>309000</v>
      </c>
      <c r="X22" s="175">
        <f t="shared" si="6"/>
        <v>0</v>
      </c>
      <c r="Y22" s="175">
        <f t="shared" si="9"/>
        <v>3120574.136199981</v>
      </c>
    </row>
    <row r="23" spans="1:25" x14ac:dyDescent="0.35">
      <c r="A23" s="18">
        <v>16</v>
      </c>
      <c r="B23" s="184">
        <v>42490</v>
      </c>
      <c r="C23" s="331">
        <f t="shared" si="1"/>
        <v>2016</v>
      </c>
      <c r="D23" s="175">
        <f>HLOOKUP(YEAR($B23),'Ing Proyect'!$B$6:$G$12,6,0)</f>
        <v>119393000</v>
      </c>
      <c r="E23" s="175">
        <f>-VLOOKUP($B23,'Ppto-Mes'!$B$8:$AW$68,E$1,0)</f>
        <v>-110253692.86380002</v>
      </c>
      <c r="F23" s="175">
        <f>VLOOKUP($B23,'Ppto-Mes'!$B$8:$AW$68,F$1,0)</f>
        <v>0</v>
      </c>
      <c r="G23" s="175">
        <f>-VLOOKUP($B23,'Ppto-Mes'!$B$8:$AW$68,G$1,0)</f>
        <v>-1088696</v>
      </c>
      <c r="H23" s="175">
        <f>-VLOOKUP($B23,'Ppto-Mes'!$B$8:$AW$68,H$1,0)</f>
        <v>-2878471</v>
      </c>
      <c r="I23" s="175">
        <f t="shared" si="2"/>
        <v>-114220859.86380002</v>
      </c>
      <c r="J23" s="376">
        <f t="shared" si="7"/>
        <v>5172140.136199981</v>
      </c>
      <c r="K23" s="175">
        <f>VLOOKUP($B23,'Ppto-Mes'!$B$8:$AW$68,K$1,0)</f>
        <v>8943</v>
      </c>
      <c r="L23" s="175">
        <f>-VLOOKUP($B23,'Ppto-Mes'!$B$8:$AW$68,L$1,0)</f>
        <v>0</v>
      </c>
      <c r="M23" s="376">
        <f t="shared" si="3"/>
        <v>5181083.136199981</v>
      </c>
      <c r="N23" s="175">
        <f>-VLOOKUP($B23,'Ppto-Mes'!$B$8:$AW$68,N$1,0)</f>
        <v>-1643334</v>
      </c>
      <c r="O23" s="376">
        <f t="shared" si="4"/>
        <v>3537749.136199981</v>
      </c>
      <c r="P23" s="175">
        <f>IF($C23=C22,-VLOOKUP($B23,'Ppto-Mes'!$B$8:$AW$68,P$1,0)-SUMIF($C$6:$C22,$C23,$P$6:$P22),-VLOOKUP($B23,'Ppto-Mes'!$B$8:$AW$68,P$1,0))</f>
        <v>-318000</v>
      </c>
      <c r="Q23" s="376">
        <f t="shared" si="4"/>
        <v>3219749.136199981</v>
      </c>
      <c r="R23" s="359">
        <f>SUMIF($C$7:$C23,$C23,$Q$7:$Q23)</f>
        <v>12444030.544799924</v>
      </c>
      <c r="S23" s="175">
        <f>IF($C23=C22,VLOOKUP($B23,'Ppto-Mes'!$B$8:$AW$68,S$1,0)-SUMIF($C$6:$C22,$C23,$S$6:$S22),VLOOKUP($B23,'Ppto-Mes'!$B$8:$AW$68,S$1,0))</f>
        <v>3219749.136199981</v>
      </c>
      <c r="T23" s="175">
        <f t="shared" si="5"/>
        <v>0</v>
      </c>
      <c r="U23" s="320">
        <f>VLOOKUP($B23,'Ppto-Mes'!$B$8:$AW$68,U$1,0)</f>
        <v>0</v>
      </c>
      <c r="V23" s="320">
        <f>VLOOKUP($B23,'Ppto-Mes'!$B$8:$AW$68,V$1,0)</f>
        <v>0.09</v>
      </c>
      <c r="W23" s="175">
        <f t="shared" si="8"/>
        <v>319000</v>
      </c>
      <c r="X23" s="175">
        <f t="shared" si="6"/>
        <v>1000</v>
      </c>
      <c r="Y23" s="175">
        <f t="shared" si="9"/>
        <v>3219749.136199981</v>
      </c>
    </row>
    <row r="24" spans="1:25" x14ac:dyDescent="0.35">
      <c r="A24" s="18">
        <v>17</v>
      </c>
      <c r="B24" s="184">
        <v>42521</v>
      </c>
      <c r="C24" s="331">
        <f t="shared" si="1"/>
        <v>2016</v>
      </c>
      <c r="D24" s="175">
        <f>HLOOKUP(YEAR($B24),'Ing Proyect'!$B$6:$G$12,6,0)</f>
        <v>119393000</v>
      </c>
      <c r="E24" s="175">
        <f>-VLOOKUP($B24,'Ppto-Mes'!$B$8:$AW$68,E$1,0)</f>
        <v>-110253692.86380002</v>
      </c>
      <c r="F24" s="175">
        <f>VLOOKUP($B24,'Ppto-Mes'!$B$8:$AW$68,F$1,0)</f>
        <v>0</v>
      </c>
      <c r="G24" s="175">
        <f>-VLOOKUP($B24,'Ppto-Mes'!$B$8:$AW$68,G$1,0)</f>
        <v>-1088696</v>
      </c>
      <c r="H24" s="175">
        <f>-VLOOKUP($B24,'Ppto-Mes'!$B$8:$AW$68,H$1,0)</f>
        <v>-2878472</v>
      </c>
      <c r="I24" s="175">
        <f t="shared" si="2"/>
        <v>-114220860.86380002</v>
      </c>
      <c r="J24" s="376">
        <f t="shared" si="7"/>
        <v>5172139.136199981</v>
      </c>
      <c r="K24" s="175">
        <f>VLOOKUP($B24,'Ppto-Mes'!$B$8:$AW$68,K$1,0)</f>
        <v>0</v>
      </c>
      <c r="L24" s="175">
        <f>-VLOOKUP($B24,'Ppto-Mes'!$B$8:$AW$68,L$1,0)</f>
        <v>0</v>
      </c>
      <c r="M24" s="376">
        <f t="shared" si="3"/>
        <v>5172139.136199981</v>
      </c>
      <c r="N24" s="175">
        <f>-VLOOKUP($B24,'Ppto-Mes'!$B$8:$AW$68,N$1,0)</f>
        <v>-1565080</v>
      </c>
      <c r="O24" s="376">
        <f t="shared" si="4"/>
        <v>3607059.136199981</v>
      </c>
      <c r="P24" s="175">
        <f>IF($C24=C23,-VLOOKUP($B24,'Ppto-Mes'!$B$8:$AW$68,P$1,0)-SUMIF($C$6:$C23,$C24,$P$6:$P23),-VLOOKUP($B24,'Ppto-Mes'!$B$8:$AW$68,P$1,0))</f>
        <v>-325000</v>
      </c>
      <c r="Q24" s="376">
        <f t="shared" si="4"/>
        <v>3282059.136199981</v>
      </c>
      <c r="R24" s="359">
        <f>SUMIF($C$7:$C24,$C24,$Q$7:$Q24)</f>
        <v>15726089.680999905</v>
      </c>
      <c r="S24" s="175">
        <f>IF($C24=C23,VLOOKUP($B24,'Ppto-Mes'!$B$8:$AW$68,S$1,0)-SUMIF($C$6:$C23,$C24,$S$6:$S23),VLOOKUP($B24,'Ppto-Mes'!$B$8:$AW$68,S$1,0))</f>
        <v>3282059.136199981</v>
      </c>
      <c r="T24" s="175">
        <f t="shared" si="5"/>
        <v>0</v>
      </c>
      <c r="U24" s="320">
        <f>VLOOKUP($B24,'Ppto-Mes'!$B$8:$AW$68,U$1,0)</f>
        <v>0</v>
      </c>
      <c r="V24" s="320">
        <f>VLOOKUP($B24,'Ppto-Mes'!$B$8:$AW$68,V$1,0)</f>
        <v>0.09</v>
      </c>
      <c r="W24" s="175">
        <f t="shared" si="8"/>
        <v>325000</v>
      </c>
      <c r="X24" s="175">
        <f t="shared" si="6"/>
        <v>0</v>
      </c>
      <c r="Y24" s="175">
        <f t="shared" si="9"/>
        <v>3282059.136199981</v>
      </c>
    </row>
    <row r="25" spans="1:25" x14ac:dyDescent="0.35">
      <c r="A25" s="18">
        <v>18</v>
      </c>
      <c r="B25" s="184">
        <v>42551</v>
      </c>
      <c r="C25" s="331">
        <f t="shared" si="1"/>
        <v>2016</v>
      </c>
      <c r="D25" s="175">
        <f>HLOOKUP(YEAR($B25),'Ing Proyect'!$B$6:$G$12,6,0)</f>
        <v>119393000</v>
      </c>
      <c r="E25" s="175">
        <f>-VLOOKUP($B25,'Ppto-Mes'!$B$8:$AW$68,E$1,0)</f>
        <v>-113334907.86380002</v>
      </c>
      <c r="F25" s="175">
        <f>VLOOKUP($B25,'Ppto-Mes'!$B$8:$AW$68,F$1,0)</f>
        <v>3081215</v>
      </c>
      <c r="G25" s="175">
        <f>-VLOOKUP($B25,'Ppto-Mes'!$B$8:$AW$68,G$1,0)</f>
        <v>-1088696</v>
      </c>
      <c r="H25" s="175">
        <f>-VLOOKUP($B25,'Ppto-Mes'!$B$8:$AW$68,H$1,0)</f>
        <v>-2878471</v>
      </c>
      <c r="I25" s="175">
        <f t="shared" si="2"/>
        <v>-114220859.86380002</v>
      </c>
      <c r="J25" s="376">
        <f t="shared" si="7"/>
        <v>5172140.136199981</v>
      </c>
      <c r="K25" s="175">
        <f>VLOOKUP($B25,'Ppto-Mes'!$B$8:$AW$68,K$1,0)</f>
        <v>0</v>
      </c>
      <c r="L25" s="175">
        <f>-VLOOKUP($B25,'Ppto-Mes'!$B$8:$AW$68,L$1,0)</f>
        <v>0</v>
      </c>
      <c r="M25" s="376">
        <f t="shared" si="3"/>
        <v>5172140.136199981</v>
      </c>
      <c r="N25" s="175">
        <f>-VLOOKUP($B25,'Ppto-Mes'!$B$8:$AW$68,N$1,0)</f>
        <v>-1533105</v>
      </c>
      <c r="O25" s="376">
        <f t="shared" si="4"/>
        <v>3639035.136199981</v>
      </c>
      <c r="P25" s="175">
        <f>IF($C25=C24,-VLOOKUP($B25,'Ppto-Mes'!$B$8:$AW$68,P$1,0)-SUMIF($C$6:$C24,$C25,$P$6:$P24),-VLOOKUP($B25,'Ppto-Mes'!$B$8:$AW$68,P$1,0))</f>
        <v>-327000</v>
      </c>
      <c r="Q25" s="376">
        <f t="shared" si="4"/>
        <v>3312035.136199981</v>
      </c>
      <c r="R25" s="359">
        <f>SUMIF($C$7:$C25,$C25,$Q$7:$Q25)</f>
        <v>19038124.817199886</v>
      </c>
      <c r="S25" s="175">
        <f>IF($C25=C24,VLOOKUP($B25,'Ppto-Mes'!$B$8:$AW$68,S$1,0)-SUMIF($C$6:$C24,$C25,$S$6:$S24),VLOOKUP($B25,'Ppto-Mes'!$B$8:$AW$68,S$1,0))</f>
        <v>3312035.136199981</v>
      </c>
      <c r="T25" s="175">
        <f t="shared" si="5"/>
        <v>0</v>
      </c>
      <c r="U25" s="320">
        <f>VLOOKUP($B25,'Ppto-Mes'!$B$8:$AW$68,U$1,0)</f>
        <v>0</v>
      </c>
      <c r="V25" s="320">
        <f>VLOOKUP($B25,'Ppto-Mes'!$B$8:$AW$68,V$1,0)</f>
        <v>0.09</v>
      </c>
      <c r="W25" s="175">
        <f t="shared" si="8"/>
        <v>328000</v>
      </c>
      <c r="X25" s="175">
        <f t="shared" si="6"/>
        <v>1000</v>
      </c>
      <c r="Y25" s="175">
        <f t="shared" si="9"/>
        <v>3312035.136199981</v>
      </c>
    </row>
    <row r="26" spans="1:25" x14ac:dyDescent="0.35">
      <c r="A26" s="18">
        <v>19</v>
      </c>
      <c r="B26" s="184">
        <v>42582</v>
      </c>
      <c r="C26" s="331">
        <f t="shared" si="1"/>
        <v>2016</v>
      </c>
      <c r="D26" s="175">
        <f>HLOOKUP(YEAR($B26),'Ing Proyect'!$B$6:$G$12,6,0)</f>
        <v>119393000</v>
      </c>
      <c r="E26" s="175">
        <f>-VLOOKUP($B26,'Ppto-Mes'!$B$8:$AW$68,E$1,0)</f>
        <v>-110253692.86380002</v>
      </c>
      <c r="F26" s="175">
        <f>VLOOKUP($B26,'Ppto-Mes'!$B$8:$AW$68,F$1,0)</f>
        <v>0</v>
      </c>
      <c r="G26" s="175">
        <f>-VLOOKUP($B26,'Ppto-Mes'!$B$8:$AW$68,G$1,0)</f>
        <v>-1088696</v>
      </c>
      <c r="H26" s="175">
        <f>-VLOOKUP($B26,'Ppto-Mes'!$B$8:$AW$68,H$1,0)</f>
        <v>-2428472</v>
      </c>
      <c r="I26" s="175">
        <f t="shared" si="2"/>
        <v>-113770860.86380002</v>
      </c>
      <c r="J26" s="376">
        <f t="shared" si="7"/>
        <v>5622139.136199981</v>
      </c>
      <c r="K26" s="175">
        <f>VLOOKUP($B26,'Ppto-Mes'!$B$8:$AW$68,K$1,0)</f>
        <v>0</v>
      </c>
      <c r="L26" s="175">
        <f>-VLOOKUP($B26,'Ppto-Mes'!$B$8:$AW$68,L$1,0)</f>
        <v>0</v>
      </c>
      <c r="M26" s="376">
        <f t="shared" si="3"/>
        <v>5622139.136199981</v>
      </c>
      <c r="N26" s="175">
        <f>-VLOOKUP($B26,'Ppto-Mes'!$B$8:$AW$68,N$1,0)</f>
        <v>-1478346</v>
      </c>
      <c r="O26" s="376">
        <f t="shared" si="4"/>
        <v>4143793.136199981</v>
      </c>
      <c r="P26" s="175">
        <f>IF($C26=C25,-VLOOKUP($B26,'Ppto-Mes'!$B$8:$AW$68,P$1,0)-SUMIF($C$6:$C25,$C26,$P$6:$P25),-VLOOKUP($B26,'Ppto-Mes'!$B$8:$AW$68,P$1,0))</f>
        <v>-373000</v>
      </c>
      <c r="Q26" s="376">
        <f t="shared" si="4"/>
        <v>3770793.136199981</v>
      </c>
      <c r="R26" s="359">
        <f>SUMIF($C$7:$C26,$C26,$Q$7:$Q26)</f>
        <v>22808917.953399867</v>
      </c>
      <c r="S26" s="175">
        <f>IF($C26=C25,VLOOKUP($B26,'Ppto-Mes'!$B$8:$AW$68,S$1,0)-SUMIF($C$6:$C25,$C26,$S$6:$S25),VLOOKUP($B26,'Ppto-Mes'!$B$8:$AW$68,S$1,0))</f>
        <v>3770793.136199981</v>
      </c>
      <c r="T26" s="175">
        <f t="shared" si="5"/>
        <v>0</v>
      </c>
      <c r="U26" s="320">
        <f>VLOOKUP($B26,'Ppto-Mes'!$B$8:$AW$68,U$1,0)</f>
        <v>0</v>
      </c>
      <c r="V26" s="320">
        <f>VLOOKUP($B26,'Ppto-Mes'!$B$8:$AW$68,V$1,0)</f>
        <v>0.09</v>
      </c>
      <c r="W26" s="175">
        <f t="shared" si="8"/>
        <v>373000</v>
      </c>
      <c r="X26" s="175">
        <f t="shared" si="6"/>
        <v>0</v>
      </c>
      <c r="Y26" s="175">
        <f t="shared" si="9"/>
        <v>3770793.136199981</v>
      </c>
    </row>
    <row r="27" spans="1:25" x14ac:dyDescent="0.35">
      <c r="A27" s="18">
        <v>20</v>
      </c>
      <c r="B27" s="184">
        <v>42613</v>
      </c>
      <c r="C27" s="331">
        <f t="shared" si="1"/>
        <v>2016</v>
      </c>
      <c r="D27" s="175">
        <f>HLOOKUP(YEAR($B27),'Ing Proyect'!$B$6:$G$12,6,0)</f>
        <v>119393000</v>
      </c>
      <c r="E27" s="175">
        <f>-VLOOKUP($B27,'Ppto-Mes'!$B$8:$AW$68,E$1,0)</f>
        <v>-110253692.86380002</v>
      </c>
      <c r="F27" s="175">
        <f>VLOOKUP($B27,'Ppto-Mes'!$B$8:$AW$68,F$1,0)</f>
        <v>0</v>
      </c>
      <c r="G27" s="175">
        <f>-VLOOKUP($B27,'Ppto-Mes'!$B$8:$AW$68,G$1,0)</f>
        <v>-1088696</v>
      </c>
      <c r="H27" s="175">
        <f>-VLOOKUP($B27,'Ppto-Mes'!$B$8:$AW$68,H$1,0)</f>
        <v>-2428471</v>
      </c>
      <c r="I27" s="175">
        <f t="shared" si="2"/>
        <v>-113770859.86380002</v>
      </c>
      <c r="J27" s="376">
        <f t="shared" si="7"/>
        <v>5622140.136199981</v>
      </c>
      <c r="K27" s="175">
        <f>VLOOKUP($B27,'Ppto-Mes'!$B$8:$AW$68,K$1,0)</f>
        <v>0</v>
      </c>
      <c r="L27" s="175">
        <f>-VLOOKUP($B27,'Ppto-Mes'!$B$8:$AW$68,L$1,0)</f>
        <v>0</v>
      </c>
      <c r="M27" s="376">
        <f t="shared" si="3"/>
        <v>5622140.136199981</v>
      </c>
      <c r="N27" s="175">
        <f>-VLOOKUP($B27,'Ppto-Mes'!$B$8:$AW$68,N$1,0)</f>
        <v>-1356436</v>
      </c>
      <c r="O27" s="376">
        <f t="shared" si="4"/>
        <v>4265704.136199981</v>
      </c>
      <c r="P27" s="175">
        <f>IF($C27=C26,-VLOOKUP($B27,'Ppto-Mes'!$B$8:$AW$68,P$1,0)-SUMIF($C$6:$C26,$C27,$P$6:$P26),-VLOOKUP($B27,'Ppto-Mes'!$B$8:$AW$68,P$1,0))</f>
        <v>-384000</v>
      </c>
      <c r="Q27" s="376">
        <f t="shared" si="4"/>
        <v>3881704.136199981</v>
      </c>
      <c r="R27" s="359">
        <f>SUMIF($C$7:$C27,$C27,$Q$7:$Q27)</f>
        <v>26690622.089599848</v>
      </c>
      <c r="S27" s="175">
        <f>IF($C27=C26,VLOOKUP($B27,'Ppto-Mes'!$B$8:$AW$68,S$1,0)-SUMIF($C$6:$C26,$C27,$S$6:$S26),VLOOKUP($B27,'Ppto-Mes'!$B$8:$AW$68,S$1,0))</f>
        <v>3881704.136199981</v>
      </c>
      <c r="T27" s="175">
        <f t="shared" si="5"/>
        <v>0</v>
      </c>
      <c r="U27" s="320">
        <f>VLOOKUP($B27,'Ppto-Mes'!$B$8:$AW$68,U$1,0)</f>
        <v>0</v>
      </c>
      <c r="V27" s="320">
        <f>VLOOKUP($B27,'Ppto-Mes'!$B$8:$AW$68,V$1,0)</f>
        <v>0.09</v>
      </c>
      <c r="W27" s="175">
        <f t="shared" si="8"/>
        <v>384000</v>
      </c>
      <c r="X27" s="175">
        <f t="shared" si="6"/>
        <v>0</v>
      </c>
      <c r="Y27" s="175">
        <f t="shared" si="9"/>
        <v>3881704.136199981</v>
      </c>
    </row>
    <row r="28" spans="1:25" x14ac:dyDescent="0.35">
      <c r="A28" s="18">
        <v>21</v>
      </c>
      <c r="B28" s="184">
        <v>42643</v>
      </c>
      <c r="C28" s="331">
        <f t="shared" si="1"/>
        <v>2016</v>
      </c>
      <c r="D28" s="175">
        <f>HLOOKUP(YEAR($B28),'Ing Proyect'!$B$6:$G$12,6,0)</f>
        <v>119393000</v>
      </c>
      <c r="E28" s="175">
        <f>-VLOOKUP($B28,'Ppto-Mes'!$B$8:$AW$68,E$1,0)</f>
        <v>-110253692.86380002</v>
      </c>
      <c r="F28" s="175">
        <f>VLOOKUP($B28,'Ppto-Mes'!$B$8:$AW$68,F$1,0)</f>
        <v>0</v>
      </c>
      <c r="G28" s="175">
        <f>-VLOOKUP($B28,'Ppto-Mes'!$B$8:$AW$68,G$1,0)</f>
        <v>-1088696</v>
      </c>
      <c r="H28" s="175">
        <f>-VLOOKUP($B28,'Ppto-Mes'!$B$8:$AW$68,H$1,0)</f>
        <v>-2428475</v>
      </c>
      <c r="I28" s="175">
        <f t="shared" si="2"/>
        <v>-113770863.86380002</v>
      </c>
      <c r="J28" s="376">
        <f t="shared" si="7"/>
        <v>5622136.136199981</v>
      </c>
      <c r="K28" s="175">
        <f>VLOOKUP($B28,'Ppto-Mes'!$B$8:$AW$68,K$1,0)</f>
        <v>0</v>
      </c>
      <c r="L28" s="175">
        <f>-VLOOKUP($B28,'Ppto-Mes'!$B$8:$AW$68,L$1,0)</f>
        <v>0</v>
      </c>
      <c r="M28" s="376">
        <f t="shared" si="3"/>
        <v>5622136.136199981</v>
      </c>
      <c r="N28" s="175">
        <f>-VLOOKUP($B28,'Ppto-Mes'!$B$8:$AW$68,N$1,0)</f>
        <v>-1348181</v>
      </c>
      <c r="O28" s="376">
        <f t="shared" si="4"/>
        <v>4273955.136199981</v>
      </c>
      <c r="P28" s="175">
        <f>IF($C28=C27,-VLOOKUP($B28,'Ppto-Mes'!$B$8:$AW$68,P$1,0)-SUMIF($C$6:$C27,$C28,$P$6:$P27),-VLOOKUP($B28,'Ppto-Mes'!$B$8:$AW$68,P$1,0))</f>
        <v>-385000</v>
      </c>
      <c r="Q28" s="376">
        <f t="shared" si="4"/>
        <v>3888955.136199981</v>
      </c>
      <c r="R28" s="359">
        <f>SUMIF($C$7:$C28,$C28,$Q$7:$Q28)</f>
        <v>30579577.225799829</v>
      </c>
      <c r="S28" s="175">
        <f>IF($C28=C27,VLOOKUP($B28,'Ppto-Mes'!$B$8:$AW$68,S$1,0)-SUMIF($C$6:$C27,$C28,$S$6:$S27),VLOOKUP($B28,'Ppto-Mes'!$B$8:$AW$68,S$1,0))</f>
        <v>3888955.136199981</v>
      </c>
      <c r="T28" s="175">
        <f t="shared" si="5"/>
        <v>0</v>
      </c>
      <c r="U28" s="320">
        <f>VLOOKUP($B28,'Ppto-Mes'!$B$8:$AW$68,U$1,0)</f>
        <v>0</v>
      </c>
      <c r="V28" s="320">
        <f>VLOOKUP($B28,'Ppto-Mes'!$B$8:$AW$68,V$1,0)</f>
        <v>0.09</v>
      </c>
      <c r="W28" s="175">
        <f t="shared" si="8"/>
        <v>385000</v>
      </c>
      <c r="X28" s="175">
        <f t="shared" si="6"/>
        <v>0</v>
      </c>
      <c r="Y28" s="175">
        <f t="shared" si="9"/>
        <v>3888955.136199981</v>
      </c>
    </row>
    <row r="29" spans="1:25" x14ac:dyDescent="0.35">
      <c r="A29" s="18">
        <v>22</v>
      </c>
      <c r="B29" s="184">
        <v>42674</v>
      </c>
      <c r="C29" s="331">
        <f t="shared" si="1"/>
        <v>2016</v>
      </c>
      <c r="D29" s="175">
        <f>HLOOKUP(YEAR($B29),'Ing Proyect'!$B$6:$G$12,6,0)</f>
        <v>119393000</v>
      </c>
      <c r="E29" s="175">
        <f>-VLOOKUP($B29,'Ppto-Mes'!$B$8:$AW$68,E$1,0)</f>
        <v>-110253692.86380002</v>
      </c>
      <c r="F29" s="175">
        <f>VLOOKUP($B29,'Ppto-Mes'!$B$8:$AW$68,F$1,0)</f>
        <v>0</v>
      </c>
      <c r="G29" s="175">
        <f>-VLOOKUP($B29,'Ppto-Mes'!$B$8:$AW$68,G$1,0)</f>
        <v>-1088696</v>
      </c>
      <c r="H29" s="175">
        <f>-VLOOKUP($B29,'Ppto-Mes'!$B$8:$AW$68,H$1,0)</f>
        <v>-2428471</v>
      </c>
      <c r="I29" s="175">
        <f t="shared" si="2"/>
        <v>-113770859.86380002</v>
      </c>
      <c r="J29" s="376">
        <f t="shared" si="7"/>
        <v>5622140.136199981</v>
      </c>
      <c r="K29" s="175">
        <f>VLOOKUP($B29,'Ppto-Mes'!$B$8:$AW$68,K$1,0)</f>
        <v>0</v>
      </c>
      <c r="L29" s="175">
        <f>-VLOOKUP($B29,'Ppto-Mes'!$B$8:$AW$68,L$1,0)</f>
        <v>0</v>
      </c>
      <c r="M29" s="376">
        <f t="shared" si="3"/>
        <v>5622140.136199981</v>
      </c>
      <c r="N29" s="175">
        <f>-VLOOKUP($B29,'Ppto-Mes'!$B$8:$AW$68,N$1,0)</f>
        <v>-1186523</v>
      </c>
      <c r="O29" s="376">
        <f t="shared" si="4"/>
        <v>4435617.136199981</v>
      </c>
      <c r="P29" s="175">
        <f>IF($C29=C28,-VLOOKUP($B29,'Ppto-Mes'!$B$8:$AW$68,P$1,0)-SUMIF($C$6:$C28,$C29,$P$6:$P28),-VLOOKUP($B29,'Ppto-Mes'!$B$8:$AW$68,P$1,0))</f>
        <v>-399000</v>
      </c>
      <c r="Q29" s="376">
        <f t="shared" si="4"/>
        <v>4036617.136199981</v>
      </c>
      <c r="R29" s="359">
        <f>SUMIF($C$7:$C29,$C29,$Q$7:$Q29)</f>
        <v>34616194.36199981</v>
      </c>
      <c r="S29" s="175">
        <f>IF($C29=C28,VLOOKUP($B29,'Ppto-Mes'!$B$8:$AW$68,S$1,0)-SUMIF($C$6:$C28,$C29,$S$6:$S28),VLOOKUP($B29,'Ppto-Mes'!$B$8:$AW$68,S$1,0))</f>
        <v>4036617.136199981</v>
      </c>
      <c r="T29" s="175">
        <f t="shared" si="5"/>
        <v>0</v>
      </c>
      <c r="U29" s="320">
        <f>VLOOKUP($B29,'Ppto-Mes'!$B$8:$AW$68,U$1,0)</f>
        <v>0</v>
      </c>
      <c r="V29" s="320">
        <f>VLOOKUP($B29,'Ppto-Mes'!$B$8:$AW$68,V$1,0)</f>
        <v>0.09</v>
      </c>
      <c r="W29" s="175">
        <f t="shared" si="8"/>
        <v>400000</v>
      </c>
      <c r="X29" s="175">
        <f t="shared" si="6"/>
        <v>1000</v>
      </c>
      <c r="Y29" s="175">
        <f t="shared" si="9"/>
        <v>4036617.136199981</v>
      </c>
    </row>
    <row r="30" spans="1:25" x14ac:dyDescent="0.35">
      <c r="A30" s="18">
        <v>23</v>
      </c>
      <c r="B30" s="184">
        <v>42704</v>
      </c>
      <c r="C30" s="331">
        <f t="shared" si="1"/>
        <v>2016</v>
      </c>
      <c r="D30" s="175">
        <f>HLOOKUP(YEAR($B30),'Ing Proyect'!$B$6:$G$12,6,0)</f>
        <v>119393000</v>
      </c>
      <c r="E30" s="175">
        <f>-VLOOKUP($B30,'Ppto-Mes'!$B$8:$AW$68,E$1,0)</f>
        <v>-110253692.86380002</v>
      </c>
      <c r="F30" s="175">
        <f>VLOOKUP($B30,'Ppto-Mes'!$B$8:$AW$68,F$1,0)</f>
        <v>0</v>
      </c>
      <c r="G30" s="175">
        <f>-VLOOKUP($B30,'Ppto-Mes'!$B$8:$AW$68,G$1,0)</f>
        <v>-1088696</v>
      </c>
      <c r="H30" s="175">
        <f>-VLOOKUP($B30,'Ppto-Mes'!$B$8:$AW$68,H$1,0)</f>
        <v>-2428475</v>
      </c>
      <c r="I30" s="175">
        <f t="shared" si="2"/>
        <v>-113770863.86380002</v>
      </c>
      <c r="J30" s="376">
        <f t="shared" si="7"/>
        <v>5622136.136199981</v>
      </c>
      <c r="K30" s="175">
        <f>VLOOKUP($B30,'Ppto-Mes'!$B$8:$AW$68,K$1,0)</f>
        <v>0</v>
      </c>
      <c r="L30" s="175">
        <f>-VLOOKUP($B30,'Ppto-Mes'!$B$8:$AW$68,L$1,0)</f>
        <v>0</v>
      </c>
      <c r="M30" s="376">
        <f t="shared" si="3"/>
        <v>5622136.136199981</v>
      </c>
      <c r="N30" s="175">
        <f>-VLOOKUP($B30,'Ppto-Mes'!$B$8:$AW$68,N$1,0)</f>
        <v>-1178851</v>
      </c>
      <c r="O30" s="376">
        <f t="shared" si="4"/>
        <v>4443285.136199981</v>
      </c>
      <c r="P30" s="175">
        <f>IF($C30=C29,-VLOOKUP($B30,'Ppto-Mes'!$B$8:$AW$68,P$1,0)-SUMIF($C$6:$C29,$C30,$P$6:$P29),-VLOOKUP($B30,'Ppto-Mes'!$B$8:$AW$68,P$1,0))</f>
        <v>-400000</v>
      </c>
      <c r="Q30" s="376">
        <f t="shared" si="4"/>
        <v>4043285.136199981</v>
      </c>
      <c r="R30" s="359">
        <f>SUMIF($C$7:$C30,$C30,$Q$7:$Q30)</f>
        <v>38659479.498199791</v>
      </c>
      <c r="S30" s="175">
        <f>IF($C30=C29,VLOOKUP($B30,'Ppto-Mes'!$B$8:$AW$68,S$1,0)-SUMIF($C$6:$C29,$C30,$S$6:$S29),VLOOKUP($B30,'Ppto-Mes'!$B$8:$AW$68,S$1,0))</f>
        <v>4043285.136199981</v>
      </c>
      <c r="T30" s="175">
        <f t="shared" si="5"/>
        <v>0</v>
      </c>
      <c r="U30" s="320">
        <f>VLOOKUP($B30,'Ppto-Mes'!$B$8:$AW$68,U$1,0)</f>
        <v>0</v>
      </c>
      <c r="V30" s="320">
        <f>VLOOKUP($B30,'Ppto-Mes'!$B$8:$AW$68,V$1,0)</f>
        <v>0.09</v>
      </c>
      <c r="W30" s="175">
        <f t="shared" si="8"/>
        <v>400000</v>
      </c>
      <c r="X30" s="175">
        <f t="shared" si="6"/>
        <v>0</v>
      </c>
      <c r="Y30" s="175">
        <f t="shared" si="9"/>
        <v>4043285.136199981</v>
      </c>
    </row>
    <row r="31" spans="1:25" x14ac:dyDescent="0.35">
      <c r="A31" s="18">
        <v>24</v>
      </c>
      <c r="B31" s="184">
        <v>42735</v>
      </c>
      <c r="C31" s="331">
        <f t="shared" si="1"/>
        <v>2016</v>
      </c>
      <c r="D31" s="175">
        <f>HLOOKUP(YEAR($B31),'Ing Proyect'!$B$6:$G$12,6,0)</f>
        <v>119393000</v>
      </c>
      <c r="E31" s="175">
        <f>-VLOOKUP($B31,'Ppto-Mes'!$B$8:$AW$68,E$1,0)</f>
        <v>-113334907.86380002</v>
      </c>
      <c r="F31" s="175">
        <f>VLOOKUP($B31,'Ppto-Mes'!$B$8:$AW$68,F$1,0)</f>
        <v>3081215</v>
      </c>
      <c r="G31" s="175">
        <f>-VLOOKUP($B31,'Ppto-Mes'!$B$8:$AW$68,G$1,0)</f>
        <v>-1088696</v>
      </c>
      <c r="H31" s="175">
        <f>-VLOOKUP($B31,'Ppto-Mes'!$B$8:$AW$68,H$1,0)</f>
        <v>-2428471</v>
      </c>
      <c r="I31" s="175">
        <f t="shared" si="2"/>
        <v>-113770859.86380002</v>
      </c>
      <c r="J31" s="376">
        <f t="shared" si="7"/>
        <v>5622140.136199981</v>
      </c>
      <c r="K31" s="175">
        <f>VLOOKUP($B31,'Ppto-Mes'!$B$8:$AW$68,K$1,0)</f>
        <v>0</v>
      </c>
      <c r="L31" s="175">
        <f>-VLOOKUP($B31,'Ppto-Mes'!$B$8:$AW$68,L$1,0)</f>
        <v>0</v>
      </c>
      <c r="M31" s="376">
        <f t="shared" si="3"/>
        <v>5622140.136199981</v>
      </c>
      <c r="N31" s="175">
        <f>-VLOOKUP($B31,'Ppto-Mes'!$B$8:$AW$68,N$1,0)</f>
        <v>-1081892</v>
      </c>
      <c r="O31" s="376">
        <f t="shared" si="4"/>
        <v>4540248.136199981</v>
      </c>
      <c r="P31" s="175">
        <f>IF($C31=C30,-VLOOKUP($B31,'Ppto-Mes'!$B$8:$AW$68,P$1,0)-SUMIF($C$6:$C30,$C31,$P$6:$P30),-VLOOKUP($B31,'Ppto-Mes'!$B$8:$AW$68,P$1,0))</f>
        <v>-409000</v>
      </c>
      <c r="Q31" s="376">
        <f t="shared" si="4"/>
        <v>4131248.136199981</v>
      </c>
      <c r="R31" s="359">
        <f>SUMIF($C$7:$C31,$C31,$Q$7:$Q31)</f>
        <v>42790727.634399772</v>
      </c>
      <c r="S31" s="175">
        <f>IF($C31=C30,VLOOKUP($B31,'Ppto-Mes'!$B$8:$AW$68,S$1,0)-SUMIF($C$6:$C30,$C31,$S$6:$S30),VLOOKUP($B31,'Ppto-Mes'!$B$8:$AW$68,S$1,0))</f>
        <v>4131248.136199981</v>
      </c>
      <c r="T31" s="175">
        <f t="shared" si="5"/>
        <v>0</v>
      </c>
      <c r="U31" s="320">
        <f>VLOOKUP($B31,'Ppto-Mes'!$B$8:$AW$68,U$1,0)</f>
        <v>0</v>
      </c>
      <c r="V31" s="320">
        <f>VLOOKUP($B31,'Ppto-Mes'!$B$8:$AW$68,V$1,0)</f>
        <v>0.09</v>
      </c>
      <c r="W31" s="175">
        <f t="shared" si="8"/>
        <v>409000</v>
      </c>
      <c r="X31" s="175">
        <f t="shared" si="6"/>
        <v>0</v>
      </c>
      <c r="Y31" s="175">
        <f t="shared" si="9"/>
        <v>4131248.136199981</v>
      </c>
    </row>
    <row r="32" spans="1:25" x14ac:dyDescent="0.35">
      <c r="A32" s="18">
        <v>25</v>
      </c>
      <c r="B32" s="184">
        <v>42766</v>
      </c>
      <c r="C32" s="331">
        <f t="shared" si="1"/>
        <v>2017</v>
      </c>
      <c r="D32" s="175">
        <f>HLOOKUP(YEAR($B32),'Ing Proyect'!$B$6:$G$12,6,0)</f>
        <v>136718000</v>
      </c>
      <c r="E32" s="175">
        <f>-VLOOKUP($B32,'Ppto-Mes'!$B$8:$AW$68,E$1,0)</f>
        <v>-133518685.103875</v>
      </c>
      <c r="F32" s="175">
        <f>VLOOKUP($B32,'Ppto-Mes'!$B$8:$AW$68,F$1,0)</f>
        <v>6901921</v>
      </c>
      <c r="G32" s="175">
        <f>-VLOOKUP($B32,'Ppto-Mes'!$B$8:$AW$68,G$1,0)</f>
        <v>-1191194</v>
      </c>
      <c r="H32" s="175">
        <f>-VLOOKUP($B32,'Ppto-Mes'!$B$8:$AW$68,H$1,0)</f>
        <v>-2930572</v>
      </c>
      <c r="I32" s="175">
        <f t="shared" si="2"/>
        <v>-130738530.103875</v>
      </c>
      <c r="J32" s="376">
        <f t="shared" si="7"/>
        <v>5979469.8961250037</v>
      </c>
      <c r="K32" s="175">
        <f>VLOOKUP($B32,'Ppto-Mes'!$B$8:$AW$68,K$1,0)</f>
        <v>0</v>
      </c>
      <c r="L32" s="175">
        <f>-VLOOKUP($B32,'Ppto-Mes'!$B$8:$AW$68,L$1,0)</f>
        <v>0</v>
      </c>
      <c r="M32" s="376">
        <f t="shared" si="3"/>
        <v>5979469.8961250037</v>
      </c>
      <c r="N32" s="175">
        <f>-VLOOKUP($B32,'Ppto-Mes'!$B$8:$AW$68,N$1,0)</f>
        <v>-1781141</v>
      </c>
      <c r="O32" s="376">
        <f t="shared" si="4"/>
        <v>4198328.8961250037</v>
      </c>
      <c r="P32" s="175">
        <f>IF($C32=C31,-VLOOKUP($B32,'Ppto-Mes'!$B$8:$AW$68,P$1,0)-SUMIF($C$6:$C31,$C32,$P$6:$P31),-VLOOKUP($B32,'Ppto-Mes'!$B$8:$AW$68,P$1,0))</f>
        <v>-641000</v>
      </c>
      <c r="Q32" s="376">
        <f t="shared" si="4"/>
        <v>3557328.8961250037</v>
      </c>
      <c r="R32" s="359">
        <f>SUMIF($C$7:$C32,$C32,$Q$7:$Q32)</f>
        <v>3557328.8961250037</v>
      </c>
      <c r="S32" s="175">
        <f>IF($C32=C31,VLOOKUP($B32,'Ppto-Mes'!$B$8:$AW$68,S$1,0)-SUMIF($C$6:$C31,$C32,$S$6:$S31),VLOOKUP($B32,'Ppto-Mes'!$B$8:$AW$68,S$1,0))</f>
        <v>3557328.8961250037</v>
      </c>
      <c r="T32" s="175">
        <f t="shared" si="5"/>
        <v>0</v>
      </c>
      <c r="U32" s="320">
        <f>VLOOKUP($B32,'Ppto-Mes'!$B$8:$AW$68,U$1,0)</f>
        <v>6.25E-2</v>
      </c>
      <c r="V32" s="320">
        <f>VLOOKUP($B32,'Ppto-Mes'!$B$8:$AW$68,V$1,0)</f>
        <v>0.09</v>
      </c>
      <c r="W32" s="175">
        <f t="shared" si="8"/>
        <v>641000</v>
      </c>
      <c r="X32" s="175">
        <f t="shared" si="6"/>
        <v>0</v>
      </c>
      <c r="Y32" s="175">
        <f t="shared" si="9"/>
        <v>3557328.8961250037</v>
      </c>
    </row>
    <row r="33" spans="1:25" x14ac:dyDescent="0.35">
      <c r="A33" s="18">
        <v>26</v>
      </c>
      <c r="B33" s="184">
        <v>42794</v>
      </c>
      <c r="C33" s="331">
        <f t="shared" si="1"/>
        <v>2017</v>
      </c>
      <c r="D33" s="175">
        <f>HLOOKUP(YEAR($B33),'Ing Proyect'!$B$6:$G$12,6,0)</f>
        <v>136718000</v>
      </c>
      <c r="E33" s="175">
        <f>-VLOOKUP($B33,'Ppto-Mes'!$B$8:$AW$68,E$1,0)</f>
        <v>-126616764.103875</v>
      </c>
      <c r="F33" s="175">
        <f>VLOOKUP($B33,'Ppto-Mes'!$B$8:$AW$68,F$1,0)</f>
        <v>0</v>
      </c>
      <c r="G33" s="175">
        <f>-VLOOKUP($B33,'Ppto-Mes'!$B$8:$AW$68,G$1,0)</f>
        <v>-1191194</v>
      </c>
      <c r="H33" s="175">
        <f>-VLOOKUP($B33,'Ppto-Mes'!$B$8:$AW$68,H$1,0)</f>
        <v>-2930568</v>
      </c>
      <c r="I33" s="175">
        <f t="shared" si="2"/>
        <v>-130738526.103875</v>
      </c>
      <c r="J33" s="376">
        <f t="shared" si="7"/>
        <v>5979473.8961250037</v>
      </c>
      <c r="K33" s="175">
        <f>VLOOKUP($B33,'Ppto-Mes'!$B$8:$AW$68,K$1,0)</f>
        <v>0</v>
      </c>
      <c r="L33" s="175">
        <f>-VLOOKUP($B33,'Ppto-Mes'!$B$8:$AW$68,L$1,0)</f>
        <v>0</v>
      </c>
      <c r="M33" s="376">
        <f t="shared" si="3"/>
        <v>5979473.8961250037</v>
      </c>
      <c r="N33" s="175">
        <f>-VLOOKUP($B33,'Ppto-Mes'!$B$8:$AW$68,N$1,0)</f>
        <v>-1159155</v>
      </c>
      <c r="O33" s="376">
        <f t="shared" si="4"/>
        <v>4820318.8961250037</v>
      </c>
      <c r="P33" s="175">
        <f>IF($C33=C32,-VLOOKUP($B33,'Ppto-Mes'!$B$8:$AW$68,P$1,0)-SUMIF($C$6:$C32,$C33,$P$6:$P32),-VLOOKUP($B33,'Ppto-Mes'!$B$8:$AW$68,P$1,0))</f>
        <v>-735000</v>
      </c>
      <c r="Q33" s="376">
        <f t="shared" si="4"/>
        <v>4085318.8961250037</v>
      </c>
      <c r="R33" s="359">
        <f>SUMIF($C$7:$C33,$C33,$Q$7:$Q33)</f>
        <v>7642647.7922500074</v>
      </c>
      <c r="S33" s="175">
        <f>IF($C33=C32,VLOOKUP($B33,'Ppto-Mes'!$B$8:$AW$68,S$1,0)-SUMIF($C$6:$C32,$C33,$S$6:$S32),VLOOKUP($B33,'Ppto-Mes'!$B$8:$AW$68,S$1,0))</f>
        <v>4085318.8961250037</v>
      </c>
      <c r="T33" s="175">
        <f t="shared" si="5"/>
        <v>0</v>
      </c>
      <c r="U33" s="320">
        <f>VLOOKUP($B33,'Ppto-Mes'!$B$8:$AW$68,U$1,0)</f>
        <v>6.25E-2</v>
      </c>
      <c r="V33" s="320">
        <f>VLOOKUP($B33,'Ppto-Mes'!$B$8:$AW$68,V$1,0)</f>
        <v>0.09</v>
      </c>
      <c r="W33" s="175">
        <f t="shared" si="8"/>
        <v>736000</v>
      </c>
      <c r="X33" s="175">
        <f t="shared" si="6"/>
        <v>1000</v>
      </c>
      <c r="Y33" s="175">
        <f t="shared" si="9"/>
        <v>4085318.8961250037</v>
      </c>
    </row>
    <row r="34" spans="1:25" x14ac:dyDescent="0.35">
      <c r="A34" s="18">
        <v>27</v>
      </c>
      <c r="B34" s="184">
        <v>42825</v>
      </c>
      <c r="C34" s="331">
        <f t="shared" si="1"/>
        <v>2017</v>
      </c>
      <c r="D34" s="175">
        <f>HLOOKUP(YEAR($B34),'Ing Proyect'!$B$6:$G$12,6,0)</f>
        <v>136718000</v>
      </c>
      <c r="E34" s="175">
        <f>-VLOOKUP($B34,'Ppto-Mes'!$B$8:$AW$68,E$1,0)</f>
        <v>-126616764.103875</v>
      </c>
      <c r="F34" s="175">
        <f>VLOOKUP($B34,'Ppto-Mes'!$B$8:$AW$68,F$1,0)</f>
        <v>0</v>
      </c>
      <c r="G34" s="175">
        <f>-VLOOKUP($B34,'Ppto-Mes'!$B$8:$AW$68,G$1,0)</f>
        <v>-1191194</v>
      </c>
      <c r="H34" s="175">
        <f>-VLOOKUP($B34,'Ppto-Mes'!$B$8:$AW$68,H$1,0)</f>
        <v>-2930572</v>
      </c>
      <c r="I34" s="175">
        <f t="shared" si="2"/>
        <v>-130738530.103875</v>
      </c>
      <c r="J34" s="376">
        <f t="shared" si="7"/>
        <v>5979469.8961250037</v>
      </c>
      <c r="K34" s="175">
        <f>VLOOKUP($B34,'Ppto-Mes'!$B$8:$AW$68,K$1,0)</f>
        <v>0</v>
      </c>
      <c r="L34" s="175">
        <f>-VLOOKUP($B34,'Ppto-Mes'!$B$8:$AW$68,L$1,0)</f>
        <v>0</v>
      </c>
      <c r="M34" s="376">
        <f t="shared" si="3"/>
        <v>5979469.8961250037</v>
      </c>
      <c r="N34" s="175">
        <f>-VLOOKUP($B34,'Ppto-Mes'!$B$8:$AW$68,N$1,0)</f>
        <v>-1628246</v>
      </c>
      <c r="O34" s="376">
        <f t="shared" si="4"/>
        <v>4351223.8961250037</v>
      </c>
      <c r="P34" s="175">
        <f>IF($C34=C33,-VLOOKUP($B34,'Ppto-Mes'!$B$8:$AW$68,P$1,0)-SUMIF($C$6:$C33,$C34,$P$6:$P33),-VLOOKUP($B34,'Ppto-Mes'!$B$8:$AW$68,P$1,0))</f>
        <v>-664000</v>
      </c>
      <c r="Q34" s="376">
        <f t="shared" si="4"/>
        <v>3687223.8961250037</v>
      </c>
      <c r="R34" s="359">
        <f>SUMIF($C$7:$C34,$C34,$Q$7:$Q34)</f>
        <v>11329871.688375011</v>
      </c>
      <c r="S34" s="175">
        <f>IF($C34=C33,VLOOKUP($B34,'Ppto-Mes'!$B$8:$AW$68,S$1,0)-SUMIF($C$6:$C33,$C34,$S$6:$S33),VLOOKUP($B34,'Ppto-Mes'!$B$8:$AW$68,S$1,0))</f>
        <v>3687223.8961250037</v>
      </c>
      <c r="T34" s="175">
        <f t="shared" si="5"/>
        <v>0</v>
      </c>
      <c r="U34" s="320">
        <f>VLOOKUP($B34,'Ppto-Mes'!$B$8:$AW$68,U$1,0)</f>
        <v>6.25E-2</v>
      </c>
      <c r="V34" s="320">
        <f>VLOOKUP($B34,'Ppto-Mes'!$B$8:$AW$68,V$1,0)</f>
        <v>0.09</v>
      </c>
      <c r="W34" s="175">
        <f t="shared" si="8"/>
        <v>664000</v>
      </c>
      <c r="X34" s="175">
        <f t="shared" si="6"/>
        <v>0</v>
      </c>
      <c r="Y34" s="175">
        <f t="shared" si="9"/>
        <v>3687223.8961250037</v>
      </c>
    </row>
    <row r="35" spans="1:25" x14ac:dyDescent="0.35">
      <c r="A35" s="18">
        <v>28</v>
      </c>
      <c r="B35" s="184">
        <v>42855</v>
      </c>
      <c r="C35" s="331">
        <f t="shared" si="1"/>
        <v>2017</v>
      </c>
      <c r="D35" s="175">
        <f>HLOOKUP(YEAR($B35),'Ing Proyect'!$B$6:$G$12,6,0)</f>
        <v>136718000</v>
      </c>
      <c r="E35" s="175">
        <f>-VLOOKUP($B35,'Ppto-Mes'!$B$8:$AW$68,E$1,0)</f>
        <v>-126616764.103875</v>
      </c>
      <c r="F35" s="175">
        <f>VLOOKUP($B35,'Ppto-Mes'!$B$8:$AW$68,F$1,0)</f>
        <v>0</v>
      </c>
      <c r="G35" s="175">
        <f>-VLOOKUP($B35,'Ppto-Mes'!$B$8:$AW$68,G$1,0)</f>
        <v>-1191194</v>
      </c>
      <c r="H35" s="175">
        <f>-VLOOKUP($B35,'Ppto-Mes'!$B$8:$AW$68,H$1,0)</f>
        <v>-2930568</v>
      </c>
      <c r="I35" s="175">
        <f t="shared" si="2"/>
        <v>-130738526.103875</v>
      </c>
      <c r="J35" s="376">
        <f t="shared" si="7"/>
        <v>5979473.8961250037</v>
      </c>
      <c r="K35" s="175">
        <f>VLOOKUP($B35,'Ppto-Mes'!$B$8:$AW$68,K$1,0)</f>
        <v>0</v>
      </c>
      <c r="L35" s="175">
        <f>-VLOOKUP($B35,'Ppto-Mes'!$B$8:$AW$68,L$1,0)</f>
        <v>0</v>
      </c>
      <c r="M35" s="376">
        <f t="shared" si="3"/>
        <v>5979473.8961250037</v>
      </c>
      <c r="N35" s="175">
        <f>-VLOOKUP($B35,'Ppto-Mes'!$B$8:$AW$68,N$1,0)</f>
        <v>-984236</v>
      </c>
      <c r="O35" s="376">
        <f t="shared" si="4"/>
        <v>4995237.8961250037</v>
      </c>
      <c r="P35" s="175">
        <f>IF($C35=C34,-VLOOKUP($B35,'Ppto-Mes'!$B$8:$AW$68,P$1,0)-SUMIF($C$6:$C34,$C35,$P$6:$P34),-VLOOKUP($B35,'Ppto-Mes'!$B$8:$AW$68,P$1,0))</f>
        <v>-761000</v>
      </c>
      <c r="Q35" s="376">
        <f t="shared" si="4"/>
        <v>4234237.8961250037</v>
      </c>
      <c r="R35" s="359">
        <f>SUMIF($C$7:$C35,$C35,$Q$7:$Q35)</f>
        <v>15564109.584500015</v>
      </c>
      <c r="S35" s="175">
        <f>IF($C35=C34,VLOOKUP($B35,'Ppto-Mes'!$B$8:$AW$68,S$1,0)-SUMIF($C$6:$C34,$C35,$S$6:$S34),VLOOKUP($B35,'Ppto-Mes'!$B$8:$AW$68,S$1,0))</f>
        <v>4234237.8961250037</v>
      </c>
      <c r="T35" s="175">
        <f t="shared" si="5"/>
        <v>0</v>
      </c>
      <c r="U35" s="320">
        <f>VLOOKUP($B35,'Ppto-Mes'!$B$8:$AW$68,U$1,0)</f>
        <v>6.25E-2</v>
      </c>
      <c r="V35" s="320">
        <f>VLOOKUP($B35,'Ppto-Mes'!$B$8:$AW$68,V$1,0)</f>
        <v>0.09</v>
      </c>
      <c r="W35" s="175">
        <f t="shared" si="8"/>
        <v>762000</v>
      </c>
      <c r="X35" s="175">
        <f t="shared" si="6"/>
        <v>1000</v>
      </c>
      <c r="Y35" s="175">
        <f t="shared" si="9"/>
        <v>4234237.8961250037</v>
      </c>
    </row>
    <row r="36" spans="1:25" x14ac:dyDescent="0.35">
      <c r="A36" s="18">
        <v>29</v>
      </c>
      <c r="B36" s="184">
        <v>42886</v>
      </c>
      <c r="C36" s="331">
        <f t="shared" si="1"/>
        <v>2017</v>
      </c>
      <c r="D36" s="175">
        <f>HLOOKUP(YEAR($B36),'Ing Proyect'!$B$6:$G$12,6,0)</f>
        <v>136718000</v>
      </c>
      <c r="E36" s="175">
        <f>-VLOOKUP($B36,'Ppto-Mes'!$B$8:$AW$68,E$1,0)</f>
        <v>-126616764.103875</v>
      </c>
      <c r="F36" s="175">
        <f>VLOOKUP($B36,'Ppto-Mes'!$B$8:$AW$68,F$1,0)</f>
        <v>0</v>
      </c>
      <c r="G36" s="175">
        <f>-VLOOKUP($B36,'Ppto-Mes'!$B$8:$AW$68,G$1,0)</f>
        <v>-1191194</v>
      </c>
      <c r="H36" s="175">
        <f>-VLOOKUP($B36,'Ppto-Mes'!$B$8:$AW$68,H$1,0)</f>
        <v>-2930572</v>
      </c>
      <c r="I36" s="175">
        <f t="shared" si="2"/>
        <v>-130738530.103875</v>
      </c>
      <c r="J36" s="376">
        <f t="shared" si="7"/>
        <v>5979469.8961250037</v>
      </c>
      <c r="K36" s="175">
        <f>VLOOKUP($B36,'Ppto-Mes'!$B$8:$AW$68,K$1,0)</f>
        <v>0</v>
      </c>
      <c r="L36" s="175">
        <f>-VLOOKUP($B36,'Ppto-Mes'!$B$8:$AW$68,L$1,0)</f>
        <v>0</v>
      </c>
      <c r="M36" s="376">
        <f t="shared" si="3"/>
        <v>5979469.8961250037</v>
      </c>
      <c r="N36" s="175">
        <f>-VLOOKUP($B36,'Ppto-Mes'!$B$8:$AW$68,N$1,0)</f>
        <v>-1478795</v>
      </c>
      <c r="O36" s="376">
        <f t="shared" si="4"/>
        <v>4500674.8961250037</v>
      </c>
      <c r="P36" s="175">
        <f>IF($C36=C35,-VLOOKUP($B36,'Ppto-Mes'!$B$8:$AW$68,P$1,0)-SUMIF($C$6:$C35,$C36,$P$6:$P35),-VLOOKUP($B36,'Ppto-Mes'!$B$8:$AW$68,P$1,0))</f>
        <v>-687000</v>
      </c>
      <c r="Q36" s="376">
        <f t="shared" si="4"/>
        <v>3813674.8961250037</v>
      </c>
      <c r="R36" s="359">
        <f>SUMIF($C$7:$C36,$C36,$Q$7:$Q36)</f>
        <v>19377784.480625018</v>
      </c>
      <c r="S36" s="175">
        <f>IF($C36=C35,VLOOKUP($B36,'Ppto-Mes'!$B$8:$AW$68,S$1,0)-SUMIF($C$6:$C35,$C36,$S$6:$S35),VLOOKUP($B36,'Ppto-Mes'!$B$8:$AW$68,S$1,0))</f>
        <v>3813674.8961250037</v>
      </c>
      <c r="T36" s="175">
        <f t="shared" si="5"/>
        <v>0</v>
      </c>
      <c r="U36" s="320">
        <f>VLOOKUP($B36,'Ppto-Mes'!$B$8:$AW$68,U$1,0)</f>
        <v>6.25E-2</v>
      </c>
      <c r="V36" s="320">
        <f>VLOOKUP($B36,'Ppto-Mes'!$B$8:$AW$68,V$1,0)</f>
        <v>0.09</v>
      </c>
      <c r="W36" s="175">
        <f t="shared" si="8"/>
        <v>687000</v>
      </c>
      <c r="X36" s="175">
        <f t="shared" si="6"/>
        <v>0</v>
      </c>
      <c r="Y36" s="175">
        <f t="shared" si="9"/>
        <v>3813674.8961250037</v>
      </c>
    </row>
    <row r="37" spans="1:25" x14ac:dyDescent="0.35">
      <c r="A37" s="18">
        <v>30</v>
      </c>
      <c r="B37" s="184">
        <v>42916</v>
      </c>
      <c r="C37" s="331">
        <f t="shared" si="1"/>
        <v>2017</v>
      </c>
      <c r="D37" s="175">
        <f>HLOOKUP(YEAR($B37),'Ing Proyect'!$B$6:$G$12,6,0)</f>
        <v>136718000</v>
      </c>
      <c r="E37" s="175">
        <f>-VLOOKUP($B37,'Ppto-Mes'!$B$8:$AW$68,E$1,0)</f>
        <v>-129988069.103875</v>
      </c>
      <c r="F37" s="175">
        <f>VLOOKUP($B37,'Ppto-Mes'!$B$8:$AW$68,F$1,0)</f>
        <v>3371305</v>
      </c>
      <c r="G37" s="175">
        <f>-VLOOKUP($B37,'Ppto-Mes'!$B$8:$AW$68,G$1,0)</f>
        <v>-1191194</v>
      </c>
      <c r="H37" s="175">
        <f>-VLOOKUP($B37,'Ppto-Mes'!$B$8:$AW$68,H$1,0)</f>
        <v>-2930568</v>
      </c>
      <c r="I37" s="175">
        <f t="shared" si="2"/>
        <v>-130738526.103875</v>
      </c>
      <c r="J37" s="376">
        <f t="shared" si="7"/>
        <v>5979473.8961250037</v>
      </c>
      <c r="K37" s="175">
        <f>VLOOKUP($B37,'Ppto-Mes'!$B$8:$AW$68,K$1,0)</f>
        <v>0</v>
      </c>
      <c r="L37" s="175">
        <f>-VLOOKUP($B37,'Ppto-Mes'!$B$8:$AW$68,L$1,0)</f>
        <v>0</v>
      </c>
      <c r="M37" s="376">
        <f t="shared" si="3"/>
        <v>5979473.8961250037</v>
      </c>
      <c r="N37" s="175">
        <f>-VLOOKUP($B37,'Ppto-Mes'!$B$8:$AW$68,N$1,0)</f>
        <v>-857282</v>
      </c>
      <c r="O37" s="376">
        <f t="shared" si="4"/>
        <v>5122191.8961250037</v>
      </c>
      <c r="P37" s="175">
        <f>IF($C37=C36,-VLOOKUP($B37,'Ppto-Mes'!$B$8:$AW$68,P$1,0)-SUMIF($C$6:$C36,$C37,$P$6:$P36),-VLOOKUP($B37,'Ppto-Mes'!$B$8:$AW$68,P$1,0))</f>
        <v>-781000</v>
      </c>
      <c r="Q37" s="376">
        <f t="shared" si="4"/>
        <v>4341191.8961250037</v>
      </c>
      <c r="R37" s="359">
        <f>SUMIF($C$7:$C37,$C37,$Q$7:$Q37)</f>
        <v>23718976.376750022</v>
      </c>
      <c r="S37" s="175">
        <f>IF($C37=C36,VLOOKUP($B37,'Ppto-Mes'!$B$8:$AW$68,S$1,0)-SUMIF($C$6:$C36,$C37,$S$6:$S36),VLOOKUP($B37,'Ppto-Mes'!$B$8:$AW$68,S$1,0))</f>
        <v>4341191.8961250037</v>
      </c>
      <c r="T37" s="175">
        <f t="shared" si="5"/>
        <v>0</v>
      </c>
      <c r="U37" s="320">
        <f>VLOOKUP($B37,'Ppto-Mes'!$B$8:$AW$68,U$1,0)</f>
        <v>6.25E-2</v>
      </c>
      <c r="V37" s="320">
        <f>VLOOKUP($B37,'Ppto-Mes'!$B$8:$AW$68,V$1,0)</f>
        <v>0.09</v>
      </c>
      <c r="W37" s="175">
        <f t="shared" si="8"/>
        <v>782000</v>
      </c>
      <c r="X37" s="175">
        <f t="shared" si="6"/>
        <v>1000</v>
      </c>
      <c r="Y37" s="175">
        <f t="shared" si="9"/>
        <v>4341191.8961250037</v>
      </c>
    </row>
    <row r="38" spans="1:25" x14ac:dyDescent="0.35">
      <c r="A38" s="18">
        <v>31</v>
      </c>
      <c r="B38" s="184">
        <v>42947</v>
      </c>
      <c r="C38" s="331">
        <f t="shared" si="1"/>
        <v>2017</v>
      </c>
      <c r="D38" s="175">
        <f>HLOOKUP(YEAR($B38),'Ing Proyect'!$B$6:$G$12,6,0)</f>
        <v>136718000</v>
      </c>
      <c r="E38" s="175">
        <f>-VLOOKUP($B38,'Ppto-Mes'!$B$8:$AW$68,E$1,0)</f>
        <v>-126616764.103875</v>
      </c>
      <c r="F38" s="175">
        <f>VLOOKUP($B38,'Ppto-Mes'!$B$8:$AW$68,F$1,0)</f>
        <v>0</v>
      </c>
      <c r="G38" s="175">
        <f>-VLOOKUP($B38,'Ppto-Mes'!$B$8:$AW$68,G$1,0)</f>
        <v>-1191194</v>
      </c>
      <c r="H38" s="175">
        <f>-VLOOKUP($B38,'Ppto-Mes'!$B$8:$AW$68,H$1,0)</f>
        <v>-2985572</v>
      </c>
      <c r="I38" s="175">
        <f t="shared" si="2"/>
        <v>-130793530.103875</v>
      </c>
      <c r="J38" s="376">
        <f t="shared" si="7"/>
        <v>5924469.8961250037</v>
      </c>
      <c r="K38" s="175">
        <f>VLOOKUP($B38,'Ppto-Mes'!$B$8:$AW$68,K$1,0)</f>
        <v>0</v>
      </c>
      <c r="L38" s="175">
        <f>-VLOOKUP($B38,'Ppto-Mes'!$B$8:$AW$68,L$1,0)</f>
        <v>0</v>
      </c>
      <c r="M38" s="376">
        <f t="shared" si="3"/>
        <v>5924469.8961250037</v>
      </c>
      <c r="N38" s="175">
        <f>-VLOOKUP($B38,'Ppto-Mes'!$B$8:$AW$68,N$1,0)</f>
        <v>-1411985</v>
      </c>
      <c r="O38" s="376">
        <f t="shared" si="4"/>
        <v>4512484.8961250037</v>
      </c>
      <c r="P38" s="175">
        <f>IF($C38=C37,-VLOOKUP($B38,'Ppto-Mes'!$B$8:$AW$68,P$1,0)-SUMIF($C$6:$C37,$C38,$P$6:$P37),-VLOOKUP($B38,'Ppto-Mes'!$B$8:$AW$68,P$1,0))</f>
        <v>-689000</v>
      </c>
      <c r="Q38" s="376">
        <f t="shared" si="4"/>
        <v>3823484.8961250037</v>
      </c>
      <c r="R38" s="359">
        <f>SUMIF($C$7:$C38,$C38,$Q$7:$Q38)</f>
        <v>27542461.272875026</v>
      </c>
      <c r="S38" s="175">
        <f>IF($C38=C37,VLOOKUP($B38,'Ppto-Mes'!$B$8:$AW$68,S$1,0)-SUMIF($C$6:$C37,$C38,$S$6:$S37),VLOOKUP($B38,'Ppto-Mes'!$B$8:$AW$68,S$1,0))</f>
        <v>3823484.8961250037</v>
      </c>
      <c r="T38" s="175">
        <f t="shared" si="5"/>
        <v>0</v>
      </c>
      <c r="U38" s="320">
        <f>VLOOKUP($B38,'Ppto-Mes'!$B$8:$AW$68,U$1,0)</f>
        <v>6.25E-2</v>
      </c>
      <c r="V38" s="320">
        <f>VLOOKUP($B38,'Ppto-Mes'!$B$8:$AW$68,V$1,0)</f>
        <v>0.09</v>
      </c>
      <c r="W38" s="175">
        <f t="shared" si="8"/>
        <v>689000</v>
      </c>
      <c r="X38" s="175">
        <f t="shared" si="6"/>
        <v>0</v>
      </c>
      <c r="Y38" s="175">
        <f t="shared" si="9"/>
        <v>3823484.8961250037</v>
      </c>
    </row>
    <row r="39" spans="1:25" x14ac:dyDescent="0.35">
      <c r="A39" s="18">
        <v>32</v>
      </c>
      <c r="B39" s="184">
        <v>42978</v>
      </c>
      <c r="C39" s="331">
        <f t="shared" si="1"/>
        <v>2017</v>
      </c>
      <c r="D39" s="175">
        <f>HLOOKUP(YEAR($B39),'Ing Proyect'!$B$6:$G$12,6,0)</f>
        <v>136718000</v>
      </c>
      <c r="E39" s="175">
        <f>-VLOOKUP($B39,'Ppto-Mes'!$B$8:$AW$68,E$1,0)</f>
        <v>-126616764.103875</v>
      </c>
      <c r="F39" s="175">
        <f>VLOOKUP($B39,'Ppto-Mes'!$B$8:$AW$68,F$1,0)</f>
        <v>0</v>
      </c>
      <c r="G39" s="175">
        <f>-VLOOKUP($B39,'Ppto-Mes'!$B$8:$AW$68,G$1,0)</f>
        <v>-1191194</v>
      </c>
      <c r="H39" s="175">
        <f>-VLOOKUP($B39,'Ppto-Mes'!$B$8:$AW$68,H$1,0)</f>
        <v>-2985568</v>
      </c>
      <c r="I39" s="175">
        <f t="shared" si="2"/>
        <v>-130793526.103875</v>
      </c>
      <c r="J39" s="376">
        <f t="shared" si="7"/>
        <v>5924473.8961250037</v>
      </c>
      <c r="K39" s="175">
        <f>VLOOKUP($B39,'Ppto-Mes'!$B$8:$AW$68,K$1,0)</f>
        <v>0</v>
      </c>
      <c r="L39" s="175">
        <f>-VLOOKUP($B39,'Ppto-Mes'!$B$8:$AW$68,L$1,0)</f>
        <v>0</v>
      </c>
      <c r="M39" s="376">
        <f t="shared" si="3"/>
        <v>5924473.8961250037</v>
      </c>
      <c r="N39" s="175">
        <f>-VLOOKUP($B39,'Ppto-Mes'!$B$8:$AW$68,N$1,0)</f>
        <v>-692783</v>
      </c>
      <c r="O39" s="376">
        <f t="shared" si="4"/>
        <v>5231690.8961250037</v>
      </c>
      <c r="P39" s="175">
        <f>IF($C39=C38,-VLOOKUP($B39,'Ppto-Mes'!$B$8:$AW$68,P$1,0)-SUMIF($C$6:$C38,$C39,$P$6:$P38),-VLOOKUP($B39,'Ppto-Mes'!$B$8:$AW$68,P$1,0))</f>
        <v>-797000</v>
      </c>
      <c r="Q39" s="376">
        <f t="shared" si="4"/>
        <v>4434690.8961250037</v>
      </c>
      <c r="R39" s="359">
        <f>SUMIF($C$7:$C39,$C39,$Q$7:$Q39)</f>
        <v>31977152.16900003</v>
      </c>
      <c r="S39" s="175">
        <f>IF($C39=C38,VLOOKUP($B39,'Ppto-Mes'!$B$8:$AW$68,S$1,0)-SUMIF($C$6:$C38,$C39,$S$6:$S38),VLOOKUP($B39,'Ppto-Mes'!$B$8:$AW$68,S$1,0))</f>
        <v>4434690.8961250037</v>
      </c>
      <c r="T39" s="175">
        <f t="shared" si="5"/>
        <v>0</v>
      </c>
      <c r="U39" s="320">
        <f>VLOOKUP($B39,'Ppto-Mes'!$B$8:$AW$68,U$1,0)</f>
        <v>6.25E-2</v>
      </c>
      <c r="V39" s="320">
        <f>VLOOKUP($B39,'Ppto-Mes'!$B$8:$AW$68,V$1,0)</f>
        <v>0.09</v>
      </c>
      <c r="W39" s="175">
        <f t="shared" si="8"/>
        <v>798000</v>
      </c>
      <c r="X39" s="175">
        <f t="shared" si="6"/>
        <v>1000</v>
      </c>
      <c r="Y39" s="175">
        <f t="shared" si="9"/>
        <v>4434690.8961250037</v>
      </c>
    </row>
    <row r="40" spans="1:25" x14ac:dyDescent="0.35">
      <c r="A40" s="18">
        <v>33</v>
      </c>
      <c r="B40" s="184">
        <v>43008</v>
      </c>
      <c r="C40" s="331">
        <f t="shared" si="1"/>
        <v>2017</v>
      </c>
      <c r="D40" s="175">
        <f>HLOOKUP(YEAR($B40),'Ing Proyect'!$B$6:$G$12,6,0)</f>
        <v>136718000</v>
      </c>
      <c r="E40" s="175">
        <f>-VLOOKUP($B40,'Ppto-Mes'!$B$8:$AW$68,E$1,0)</f>
        <v>-126616764.103875</v>
      </c>
      <c r="F40" s="175">
        <f>VLOOKUP($B40,'Ppto-Mes'!$B$8:$AW$68,F$1,0)</f>
        <v>0</v>
      </c>
      <c r="G40" s="175">
        <f>-VLOOKUP($B40,'Ppto-Mes'!$B$8:$AW$68,G$1,0)</f>
        <v>-1191194</v>
      </c>
      <c r="H40" s="175">
        <f>-VLOOKUP($B40,'Ppto-Mes'!$B$8:$AW$68,H$1,0)</f>
        <v>-2985572</v>
      </c>
      <c r="I40" s="175">
        <f t="shared" si="2"/>
        <v>-130793530.103875</v>
      </c>
      <c r="J40" s="376">
        <f t="shared" si="7"/>
        <v>5924469.8961250037</v>
      </c>
      <c r="K40" s="175">
        <f>VLOOKUP($B40,'Ppto-Mes'!$B$8:$AW$68,K$1,0)</f>
        <v>0</v>
      </c>
      <c r="L40" s="175">
        <f>-VLOOKUP($B40,'Ppto-Mes'!$B$8:$AW$68,L$1,0)</f>
        <v>0</v>
      </c>
      <c r="M40" s="376">
        <f t="shared" si="3"/>
        <v>5924469.8961250037</v>
      </c>
      <c r="N40" s="175">
        <f>-VLOOKUP($B40,'Ppto-Mes'!$B$8:$AW$68,N$1,0)</f>
        <v>-1266339</v>
      </c>
      <c r="O40" s="376">
        <f t="shared" si="4"/>
        <v>4658130.8961250037</v>
      </c>
      <c r="P40" s="175">
        <f>IF($C40=C39,-VLOOKUP($B40,'Ppto-Mes'!$B$8:$AW$68,P$1,0)-SUMIF($C$6:$C39,$C40,$P$6:$P39),-VLOOKUP($B40,'Ppto-Mes'!$B$8:$AW$68,P$1,0))</f>
        <v>-711000</v>
      </c>
      <c r="Q40" s="376">
        <f t="shared" si="4"/>
        <v>3947130.8961250037</v>
      </c>
      <c r="R40" s="359">
        <f>SUMIF($C$7:$C40,$C40,$Q$7:$Q40)</f>
        <v>35924283.065125033</v>
      </c>
      <c r="S40" s="175">
        <f>IF($C40=C39,VLOOKUP($B40,'Ppto-Mes'!$B$8:$AW$68,S$1,0)-SUMIF($C$6:$C39,$C40,$S$6:$S39),VLOOKUP($B40,'Ppto-Mes'!$B$8:$AW$68,S$1,0))</f>
        <v>3947130.8961250037</v>
      </c>
      <c r="T40" s="175">
        <f t="shared" si="5"/>
        <v>0</v>
      </c>
      <c r="U40" s="320">
        <f>VLOOKUP($B40,'Ppto-Mes'!$B$8:$AW$68,U$1,0)</f>
        <v>6.25E-2</v>
      </c>
      <c r="V40" s="320">
        <f>VLOOKUP($B40,'Ppto-Mes'!$B$8:$AW$68,V$1,0)</f>
        <v>0.09</v>
      </c>
      <c r="W40" s="175">
        <f t="shared" si="8"/>
        <v>711000</v>
      </c>
      <c r="X40" s="175">
        <f t="shared" si="6"/>
        <v>0</v>
      </c>
      <c r="Y40" s="175">
        <f t="shared" si="9"/>
        <v>3947130.8961250037</v>
      </c>
    </row>
    <row r="41" spans="1:25" x14ac:dyDescent="0.35">
      <c r="A41" s="18">
        <v>34</v>
      </c>
      <c r="B41" s="184">
        <v>43039</v>
      </c>
      <c r="C41" s="331">
        <f t="shared" si="1"/>
        <v>2017</v>
      </c>
      <c r="D41" s="175">
        <f>HLOOKUP(YEAR($B41),'Ing Proyect'!$B$6:$G$12,6,0)</f>
        <v>136718000</v>
      </c>
      <c r="E41" s="175">
        <f>-VLOOKUP($B41,'Ppto-Mes'!$B$8:$AW$68,E$1,0)</f>
        <v>-126616764.103875</v>
      </c>
      <c r="F41" s="175">
        <f>VLOOKUP($B41,'Ppto-Mes'!$B$8:$AW$68,F$1,0)</f>
        <v>0</v>
      </c>
      <c r="G41" s="175">
        <f>-VLOOKUP($B41,'Ppto-Mes'!$B$8:$AW$68,G$1,0)</f>
        <v>-1191194</v>
      </c>
      <c r="H41" s="175">
        <f>-VLOOKUP($B41,'Ppto-Mes'!$B$8:$AW$68,H$1,0)</f>
        <v>-2985568</v>
      </c>
      <c r="I41" s="175">
        <f t="shared" si="2"/>
        <v>-130793526.103875</v>
      </c>
      <c r="J41" s="376">
        <f t="shared" si="7"/>
        <v>5924473.8961250037</v>
      </c>
      <c r="K41" s="175">
        <f>VLOOKUP($B41,'Ppto-Mes'!$B$8:$AW$68,K$1,0)</f>
        <v>0</v>
      </c>
      <c r="L41" s="175">
        <f>-VLOOKUP($B41,'Ppto-Mes'!$B$8:$AW$68,L$1,0)</f>
        <v>0</v>
      </c>
      <c r="M41" s="376">
        <f t="shared" si="3"/>
        <v>5924473.8961250037</v>
      </c>
      <c r="N41" s="175">
        <f>-VLOOKUP($B41,'Ppto-Mes'!$B$8:$AW$68,N$1,0)</f>
        <v>-535514</v>
      </c>
      <c r="O41" s="376">
        <f t="shared" si="4"/>
        <v>5388959.8961250037</v>
      </c>
      <c r="P41" s="175">
        <f>IF($C41=C40,-VLOOKUP($B41,'Ppto-Mes'!$B$8:$AW$68,P$1,0)-SUMIF($C$6:$C40,$C41,$P$6:$P40),-VLOOKUP($B41,'Ppto-Mes'!$B$8:$AW$68,P$1,0))</f>
        <v>-822000</v>
      </c>
      <c r="Q41" s="376">
        <f t="shared" si="4"/>
        <v>4566959.8961250037</v>
      </c>
      <c r="R41" s="359">
        <f>SUMIF($C$7:$C41,$C41,$Q$7:$Q41)</f>
        <v>40491242.961250037</v>
      </c>
      <c r="S41" s="175">
        <f>IF($C41=C40,VLOOKUP($B41,'Ppto-Mes'!$B$8:$AW$68,S$1,0)-SUMIF($C$6:$C40,$C41,$S$6:$S40),VLOOKUP($B41,'Ppto-Mes'!$B$8:$AW$68,S$1,0))</f>
        <v>4566959.8961250037</v>
      </c>
      <c r="T41" s="175">
        <f t="shared" si="5"/>
        <v>0</v>
      </c>
      <c r="U41" s="320">
        <f>VLOOKUP($B41,'Ppto-Mes'!$B$8:$AW$68,U$1,0)</f>
        <v>6.25E-2</v>
      </c>
      <c r="V41" s="320">
        <f>VLOOKUP($B41,'Ppto-Mes'!$B$8:$AW$68,V$1,0)</f>
        <v>0.09</v>
      </c>
      <c r="W41" s="175">
        <f t="shared" si="8"/>
        <v>822000</v>
      </c>
      <c r="X41" s="175">
        <f t="shared" si="6"/>
        <v>0</v>
      </c>
      <c r="Y41" s="175">
        <f t="shared" si="9"/>
        <v>4566959.8961250037</v>
      </c>
    </row>
    <row r="42" spans="1:25" x14ac:dyDescent="0.35">
      <c r="A42" s="18">
        <v>35</v>
      </c>
      <c r="B42" s="184">
        <v>43069</v>
      </c>
      <c r="C42" s="331">
        <f t="shared" si="1"/>
        <v>2017</v>
      </c>
      <c r="D42" s="175">
        <f>HLOOKUP(YEAR($B42),'Ing Proyect'!$B$6:$G$12,6,0)</f>
        <v>136718000</v>
      </c>
      <c r="E42" s="175">
        <f>-VLOOKUP($B42,'Ppto-Mes'!$B$8:$AW$68,E$1,0)</f>
        <v>-126616764.103875</v>
      </c>
      <c r="F42" s="175">
        <f>VLOOKUP($B42,'Ppto-Mes'!$B$8:$AW$68,F$1,0)</f>
        <v>0</v>
      </c>
      <c r="G42" s="175">
        <f>-VLOOKUP($B42,'Ppto-Mes'!$B$8:$AW$68,G$1,0)</f>
        <v>-1191194</v>
      </c>
      <c r="H42" s="175">
        <f>-VLOOKUP($B42,'Ppto-Mes'!$B$8:$AW$68,H$1,0)</f>
        <v>-2985572</v>
      </c>
      <c r="I42" s="175">
        <f t="shared" si="2"/>
        <v>-130793530.103875</v>
      </c>
      <c r="J42" s="376">
        <f t="shared" si="7"/>
        <v>5924469.8961250037</v>
      </c>
      <c r="K42" s="175">
        <f>VLOOKUP($B42,'Ppto-Mes'!$B$8:$AW$68,K$1,0)</f>
        <v>0</v>
      </c>
      <c r="L42" s="175">
        <f>-VLOOKUP($B42,'Ppto-Mes'!$B$8:$AW$68,L$1,0)</f>
        <v>0</v>
      </c>
      <c r="M42" s="376">
        <f t="shared" si="3"/>
        <v>5924469.8961250037</v>
      </c>
      <c r="N42" s="175">
        <f>-VLOOKUP($B42,'Ppto-Mes'!$B$8:$AW$68,N$1,0)</f>
        <v>-1098761</v>
      </c>
      <c r="O42" s="376">
        <f t="shared" si="4"/>
        <v>4825708.8961250037</v>
      </c>
      <c r="P42" s="175">
        <f>IF($C42=C41,-VLOOKUP($B42,'Ppto-Mes'!$B$8:$AW$68,P$1,0)-SUMIF($C$6:$C41,$C42,$P$6:$P41),-VLOOKUP($B42,'Ppto-Mes'!$B$8:$AW$68,P$1,0))</f>
        <v>-735000</v>
      </c>
      <c r="Q42" s="376">
        <f t="shared" si="4"/>
        <v>4090708.8961250037</v>
      </c>
      <c r="R42" s="359">
        <f>SUMIF($C$7:$C42,$C42,$Q$7:$Q42)</f>
        <v>44581951.857375041</v>
      </c>
      <c r="S42" s="175">
        <f>IF($C42=C41,VLOOKUP($B42,'Ppto-Mes'!$B$8:$AW$68,S$1,0)-SUMIF($C$6:$C41,$C42,$S$6:$S41),VLOOKUP($B42,'Ppto-Mes'!$B$8:$AW$68,S$1,0))</f>
        <v>4090708.8961250037</v>
      </c>
      <c r="T42" s="175">
        <f t="shared" si="5"/>
        <v>0</v>
      </c>
      <c r="U42" s="320">
        <f>VLOOKUP($B42,'Ppto-Mes'!$B$8:$AW$68,U$1,0)</f>
        <v>6.25E-2</v>
      </c>
      <c r="V42" s="320">
        <f>VLOOKUP($B42,'Ppto-Mes'!$B$8:$AW$68,V$1,0)</f>
        <v>0.09</v>
      </c>
      <c r="W42" s="175">
        <f t="shared" si="8"/>
        <v>736000</v>
      </c>
      <c r="X42" s="175">
        <f t="shared" si="6"/>
        <v>1000</v>
      </c>
      <c r="Y42" s="175">
        <f t="shared" si="9"/>
        <v>4090708.8961250037</v>
      </c>
    </row>
    <row r="43" spans="1:25" x14ac:dyDescent="0.35">
      <c r="A43" s="18">
        <v>36</v>
      </c>
      <c r="B43" s="184">
        <v>43100</v>
      </c>
      <c r="C43" s="331">
        <f t="shared" si="1"/>
        <v>2017</v>
      </c>
      <c r="D43" s="175">
        <f>HLOOKUP(YEAR($B43),'Ing Proyect'!$B$6:$G$12,6,0)</f>
        <v>136718000</v>
      </c>
      <c r="E43" s="175">
        <f>-VLOOKUP($B43,'Ppto-Mes'!$B$8:$AW$68,E$1,0)</f>
        <v>-129988069.103875</v>
      </c>
      <c r="F43" s="175">
        <f>VLOOKUP($B43,'Ppto-Mes'!$B$8:$AW$68,F$1,0)</f>
        <v>3371305</v>
      </c>
      <c r="G43" s="175">
        <f>-VLOOKUP($B43,'Ppto-Mes'!$B$8:$AW$68,G$1,0)</f>
        <v>-1191194</v>
      </c>
      <c r="H43" s="175">
        <f>-VLOOKUP($B43,'Ppto-Mes'!$B$8:$AW$68,H$1,0)</f>
        <v>-2985568</v>
      </c>
      <c r="I43" s="175">
        <f t="shared" si="2"/>
        <v>-130793526.103875</v>
      </c>
      <c r="J43" s="376">
        <f t="shared" si="7"/>
        <v>5924473.8961250037</v>
      </c>
      <c r="K43" s="175">
        <f>VLOOKUP($B43,'Ppto-Mes'!$B$8:$AW$68,K$1,0)</f>
        <v>0</v>
      </c>
      <c r="L43" s="175">
        <f>-VLOOKUP($B43,'Ppto-Mes'!$B$8:$AW$68,L$1,0)</f>
        <v>0</v>
      </c>
      <c r="M43" s="376">
        <f t="shared" si="3"/>
        <v>5924473.8961250037</v>
      </c>
      <c r="N43" s="175">
        <f>-VLOOKUP($B43,'Ppto-Mes'!$B$8:$AW$68,N$1,0)</f>
        <v>-415006</v>
      </c>
      <c r="O43" s="376">
        <f t="shared" si="4"/>
        <v>5509467.8961250037</v>
      </c>
      <c r="P43" s="175">
        <f>IF($C43=C42,-VLOOKUP($B43,'Ppto-Mes'!$B$8:$AW$68,P$1,0)-SUMIF($C$6:$C42,$C43,$P$6:$P42),-VLOOKUP($B43,'Ppto-Mes'!$B$8:$AW$68,P$1,0))</f>
        <v>-841000</v>
      </c>
      <c r="Q43" s="376">
        <f t="shared" si="4"/>
        <v>4668467.8961250037</v>
      </c>
      <c r="R43" s="359">
        <f>SUMIF($C$7:$C43,$C43,$Q$7:$Q43)</f>
        <v>49250419.753500044</v>
      </c>
      <c r="S43" s="175">
        <f>IF($C43=C42,VLOOKUP($B43,'Ppto-Mes'!$B$8:$AW$68,S$1,0)-SUMIF($C$6:$C42,$C43,$S$6:$S42),VLOOKUP($B43,'Ppto-Mes'!$B$8:$AW$68,S$1,0))</f>
        <v>4668467.8961250037</v>
      </c>
      <c r="T43" s="175">
        <f t="shared" si="5"/>
        <v>0</v>
      </c>
      <c r="U43" s="320">
        <f>VLOOKUP($B43,'Ppto-Mes'!$B$8:$AW$68,U$1,0)</f>
        <v>6.25E-2</v>
      </c>
      <c r="V43" s="320">
        <f>VLOOKUP($B43,'Ppto-Mes'!$B$8:$AW$68,V$1,0)</f>
        <v>0.09</v>
      </c>
      <c r="W43" s="175">
        <f t="shared" si="8"/>
        <v>841000</v>
      </c>
      <c r="X43" s="175">
        <f t="shared" si="6"/>
        <v>0</v>
      </c>
      <c r="Y43" s="175">
        <f t="shared" si="9"/>
        <v>4668467.8961250037</v>
      </c>
    </row>
    <row r="44" spans="1:25" x14ac:dyDescent="0.35">
      <c r="A44" s="18">
        <v>37</v>
      </c>
      <c r="B44" s="184">
        <v>43131</v>
      </c>
      <c r="C44" s="331">
        <f t="shared" si="1"/>
        <v>2018</v>
      </c>
      <c r="D44" s="175">
        <f>HLOOKUP(YEAR($B44),'Ing Proyect'!$B$6:$G$12,6,0)</f>
        <v>156674000</v>
      </c>
      <c r="E44" s="175">
        <f>-VLOOKUP($B44,'Ppto-Mes'!$B$8:$AW$68,E$1,0)</f>
        <v>-152589787.48720002</v>
      </c>
      <c r="F44" s="175">
        <f>VLOOKUP($B44,'Ppto-Mes'!$B$8:$AW$68,F$1,0)</f>
        <v>7551722</v>
      </c>
      <c r="G44" s="175">
        <f>-VLOOKUP($B44,'Ppto-Mes'!$B$8:$AW$68,G$1,0)</f>
        <v>-1306793</v>
      </c>
      <c r="H44" s="175">
        <f>-VLOOKUP($B44,'Ppto-Mes'!$B$8:$AW$68,H$1,0)</f>
        <v>-2647765</v>
      </c>
      <c r="I44" s="175">
        <f t="shared" si="2"/>
        <v>-148992623.48720002</v>
      </c>
      <c r="J44" s="376">
        <f t="shared" si="7"/>
        <v>7681376.5127999783</v>
      </c>
      <c r="K44" s="175">
        <f>VLOOKUP($B44,'Ppto-Mes'!$B$8:$AW$68,K$1,0)</f>
        <v>0</v>
      </c>
      <c r="L44" s="175">
        <f>-VLOOKUP($B44,'Ppto-Mes'!$B$8:$AW$68,L$1,0)</f>
        <v>0</v>
      </c>
      <c r="M44" s="376">
        <f t="shared" si="3"/>
        <v>7681376.5127999783</v>
      </c>
      <c r="N44" s="175">
        <f>-VLOOKUP($B44,'Ppto-Mes'!$B$8:$AW$68,N$1,0)</f>
        <v>-1303715</v>
      </c>
      <c r="O44" s="376">
        <f t="shared" si="4"/>
        <v>6377661.5127999783</v>
      </c>
      <c r="P44" s="175">
        <f>IF($C44=C43,-VLOOKUP($B44,'Ppto-Mes'!$B$8:$AW$68,P$1,0)-SUMIF($C$6:$C43,$C44,$P$6:$P43),-VLOOKUP($B44,'Ppto-Mes'!$B$8:$AW$68,P$1,0))</f>
        <v>-1372000</v>
      </c>
      <c r="Q44" s="376">
        <f t="shared" si="4"/>
        <v>5005661.5127999783</v>
      </c>
      <c r="R44" s="359">
        <f>SUMIF($C$7:$C44,$C44,$Q$7:$Q44)</f>
        <v>5005661.5127999783</v>
      </c>
      <c r="S44" s="175">
        <f>IF($C44=C43,VLOOKUP($B44,'Ppto-Mes'!$B$8:$AW$68,S$1,0)-SUMIF($C$6:$C43,$C44,$S$6:$S43),VLOOKUP($B44,'Ppto-Mes'!$B$8:$AW$68,S$1,0))</f>
        <v>5005661.5127999783</v>
      </c>
      <c r="T44" s="175">
        <f t="shared" si="5"/>
        <v>0</v>
      </c>
      <c r="U44" s="320">
        <f>VLOOKUP($B44,'Ppto-Mes'!$B$8:$AW$68,U$1,0)</f>
        <v>0.125</v>
      </c>
      <c r="V44" s="320">
        <f>VLOOKUP($B44,'Ppto-Mes'!$B$8:$AW$68,V$1,0)</f>
        <v>0.09</v>
      </c>
      <c r="W44" s="175">
        <f t="shared" si="8"/>
        <v>1372000</v>
      </c>
      <c r="X44" s="175">
        <f t="shared" si="6"/>
        <v>0</v>
      </c>
      <c r="Y44" s="175">
        <f t="shared" si="9"/>
        <v>5005661.5127999783</v>
      </c>
    </row>
    <row r="45" spans="1:25" x14ac:dyDescent="0.35">
      <c r="A45" s="18">
        <v>38</v>
      </c>
      <c r="B45" s="184">
        <v>43159</v>
      </c>
      <c r="C45" s="331">
        <f t="shared" si="1"/>
        <v>2018</v>
      </c>
      <c r="D45" s="175">
        <f>HLOOKUP(YEAR($B45),'Ing Proyect'!$B$6:$G$12,6,0)</f>
        <v>156674000</v>
      </c>
      <c r="E45" s="175">
        <f>-VLOOKUP($B45,'Ppto-Mes'!$B$8:$AW$68,E$1,0)</f>
        <v>-145038065.48720002</v>
      </c>
      <c r="F45" s="175">
        <f>VLOOKUP($B45,'Ppto-Mes'!$B$8:$AW$68,F$1,0)</f>
        <v>0</v>
      </c>
      <c r="G45" s="175">
        <f>-VLOOKUP($B45,'Ppto-Mes'!$B$8:$AW$68,G$1,0)</f>
        <v>-1306793</v>
      </c>
      <c r="H45" s="175">
        <f>-VLOOKUP($B45,'Ppto-Mes'!$B$8:$AW$68,H$1,0)</f>
        <v>-2647763</v>
      </c>
      <c r="I45" s="175">
        <f t="shared" si="2"/>
        <v>-148992621.48720002</v>
      </c>
      <c r="J45" s="376">
        <f t="shared" si="7"/>
        <v>7681378.5127999783</v>
      </c>
      <c r="K45" s="175">
        <f>VLOOKUP($B45,'Ppto-Mes'!$B$8:$AW$68,K$1,0)</f>
        <v>0</v>
      </c>
      <c r="L45" s="175">
        <f>-VLOOKUP($B45,'Ppto-Mes'!$B$8:$AW$68,L$1,0)</f>
        <v>0</v>
      </c>
      <c r="M45" s="376">
        <f t="shared" si="3"/>
        <v>7681378.5127999783</v>
      </c>
      <c r="N45" s="175">
        <f>-VLOOKUP($B45,'Ppto-Mes'!$B$8:$AW$68,N$1,0)</f>
        <v>-449179</v>
      </c>
      <c r="O45" s="376">
        <f t="shared" si="4"/>
        <v>7232199.5127999783</v>
      </c>
      <c r="P45" s="175">
        <f>IF($C45=C44,-VLOOKUP($B45,'Ppto-Mes'!$B$8:$AW$68,P$1,0)-SUMIF($C$6:$C44,$C45,$P$6:$P44),-VLOOKUP($B45,'Ppto-Mes'!$B$8:$AW$68,P$1,0))</f>
        <v>-1555000</v>
      </c>
      <c r="Q45" s="376">
        <f t="shared" si="4"/>
        <v>5677199.5127999783</v>
      </c>
      <c r="R45" s="359">
        <f>SUMIF($C$7:$C45,$C45,$Q$7:$Q45)</f>
        <v>10682861.025599957</v>
      </c>
      <c r="S45" s="175">
        <f>IF($C45=C44,VLOOKUP($B45,'Ppto-Mes'!$B$8:$AW$68,S$1,0)-SUMIF($C$6:$C44,$C45,$S$6:$S44),VLOOKUP($B45,'Ppto-Mes'!$B$8:$AW$68,S$1,0))</f>
        <v>5677199.5127999783</v>
      </c>
      <c r="T45" s="175">
        <f t="shared" si="5"/>
        <v>0</v>
      </c>
      <c r="U45" s="320">
        <f>VLOOKUP($B45,'Ppto-Mes'!$B$8:$AW$68,U$1,0)</f>
        <v>0.125</v>
      </c>
      <c r="V45" s="320">
        <f>VLOOKUP($B45,'Ppto-Mes'!$B$8:$AW$68,V$1,0)</f>
        <v>0.09</v>
      </c>
      <c r="W45" s="175">
        <f t="shared" si="8"/>
        <v>1555000</v>
      </c>
      <c r="X45" s="175">
        <f t="shared" si="6"/>
        <v>0</v>
      </c>
      <c r="Y45" s="175">
        <f t="shared" si="9"/>
        <v>5677199.5127999783</v>
      </c>
    </row>
    <row r="46" spans="1:25" x14ac:dyDescent="0.35">
      <c r="A46" s="18">
        <v>39</v>
      </c>
      <c r="B46" s="184">
        <v>43190</v>
      </c>
      <c r="C46" s="331">
        <f t="shared" si="1"/>
        <v>2018</v>
      </c>
      <c r="D46" s="175">
        <f>HLOOKUP(YEAR($B46),'Ing Proyect'!$B$6:$G$12,6,0)</f>
        <v>156674000</v>
      </c>
      <c r="E46" s="175">
        <f>-VLOOKUP($B46,'Ppto-Mes'!$B$8:$AW$68,E$1,0)</f>
        <v>-145038065.48720002</v>
      </c>
      <c r="F46" s="175">
        <f>VLOOKUP($B46,'Ppto-Mes'!$B$8:$AW$68,F$1,0)</f>
        <v>0</v>
      </c>
      <c r="G46" s="175">
        <f>-VLOOKUP($B46,'Ppto-Mes'!$B$8:$AW$68,G$1,0)</f>
        <v>-1306793</v>
      </c>
      <c r="H46" s="175">
        <f>-VLOOKUP($B46,'Ppto-Mes'!$B$8:$AW$68,H$1,0)</f>
        <v>-2647765</v>
      </c>
      <c r="I46" s="175">
        <f t="shared" si="2"/>
        <v>-148992623.48720002</v>
      </c>
      <c r="J46" s="376">
        <f t="shared" si="7"/>
        <v>7681376.5127999783</v>
      </c>
      <c r="K46" s="175">
        <f>VLOOKUP($B46,'Ppto-Mes'!$B$8:$AW$68,K$1,0)</f>
        <v>0</v>
      </c>
      <c r="L46" s="175">
        <f>-VLOOKUP($B46,'Ppto-Mes'!$B$8:$AW$68,L$1,0)</f>
        <v>0</v>
      </c>
      <c r="M46" s="376">
        <f t="shared" si="3"/>
        <v>7681376.5127999783</v>
      </c>
      <c r="N46" s="175">
        <f>-VLOOKUP($B46,'Ppto-Mes'!$B$8:$AW$68,N$1,0)</f>
        <v>-1194159</v>
      </c>
      <c r="O46" s="376">
        <f t="shared" si="4"/>
        <v>6487217.5127999783</v>
      </c>
      <c r="P46" s="175">
        <f>IF($C46=C45,-VLOOKUP($B46,'Ppto-Mes'!$B$8:$AW$68,P$1,0)-SUMIF($C$6:$C45,$C46,$P$6:$P45),-VLOOKUP($B46,'Ppto-Mes'!$B$8:$AW$68,P$1,0))</f>
        <v>-1395000</v>
      </c>
      <c r="Q46" s="376">
        <f t="shared" si="4"/>
        <v>5092217.5127999783</v>
      </c>
      <c r="R46" s="359">
        <f>SUMIF($C$7:$C46,$C46,$Q$7:$Q46)</f>
        <v>15775078.538399935</v>
      </c>
      <c r="S46" s="175">
        <f>IF($C46=C45,VLOOKUP($B46,'Ppto-Mes'!$B$8:$AW$68,S$1,0)-SUMIF($C$6:$C45,$C46,$S$6:$S45),VLOOKUP($B46,'Ppto-Mes'!$B$8:$AW$68,S$1,0))</f>
        <v>5092217.5127999783</v>
      </c>
      <c r="T46" s="175">
        <f t="shared" si="5"/>
        <v>0</v>
      </c>
      <c r="U46" s="320">
        <f>VLOOKUP($B46,'Ppto-Mes'!$B$8:$AW$68,U$1,0)</f>
        <v>0.125</v>
      </c>
      <c r="V46" s="320">
        <f>VLOOKUP($B46,'Ppto-Mes'!$B$8:$AW$68,V$1,0)</f>
        <v>0.09</v>
      </c>
      <c r="W46" s="175">
        <f t="shared" si="8"/>
        <v>1395000</v>
      </c>
      <c r="X46" s="175">
        <f t="shared" si="6"/>
        <v>0</v>
      </c>
      <c r="Y46" s="175">
        <f t="shared" si="9"/>
        <v>5092217.5127999783</v>
      </c>
    </row>
    <row r="47" spans="1:25" x14ac:dyDescent="0.35">
      <c r="A47" s="18">
        <v>40</v>
      </c>
      <c r="B47" s="184">
        <v>43220</v>
      </c>
      <c r="C47" s="331">
        <f t="shared" si="1"/>
        <v>2018</v>
      </c>
      <c r="D47" s="175">
        <f>HLOOKUP(YEAR($B47),'Ing Proyect'!$B$6:$G$12,6,0)</f>
        <v>156674000</v>
      </c>
      <c r="E47" s="175">
        <f>-VLOOKUP($B47,'Ppto-Mes'!$B$8:$AW$68,E$1,0)</f>
        <v>-145038065.48720002</v>
      </c>
      <c r="F47" s="175">
        <f>VLOOKUP($B47,'Ppto-Mes'!$B$8:$AW$68,F$1,0)</f>
        <v>0</v>
      </c>
      <c r="G47" s="175">
        <f>-VLOOKUP($B47,'Ppto-Mes'!$B$8:$AW$68,G$1,0)</f>
        <v>-1306793</v>
      </c>
      <c r="H47" s="175">
        <f>-VLOOKUP($B47,'Ppto-Mes'!$B$8:$AW$68,H$1,0)</f>
        <v>-2647763</v>
      </c>
      <c r="I47" s="175">
        <f t="shared" si="2"/>
        <v>-148992621.48720002</v>
      </c>
      <c r="J47" s="376">
        <f t="shared" si="7"/>
        <v>7681378.5127999783</v>
      </c>
      <c r="K47" s="175">
        <f>VLOOKUP($B47,'Ppto-Mes'!$B$8:$AW$68,K$1,0)</f>
        <v>0</v>
      </c>
      <c r="L47" s="175">
        <f>-VLOOKUP($B47,'Ppto-Mes'!$B$8:$AW$68,L$1,0)</f>
        <v>0</v>
      </c>
      <c r="M47" s="376">
        <f t="shared" si="3"/>
        <v>7681378.5127999783</v>
      </c>
      <c r="N47" s="175">
        <f>-VLOOKUP($B47,'Ppto-Mes'!$B$8:$AW$68,N$1,0)</f>
        <v>-322500</v>
      </c>
      <c r="O47" s="376">
        <f t="shared" si="4"/>
        <v>7358878.5127999783</v>
      </c>
      <c r="P47" s="175">
        <f>IF($C47=C46,-VLOOKUP($B47,'Ppto-Mes'!$B$8:$AW$68,P$1,0)-SUMIF($C$6:$C46,$C47,$P$6:$P46),-VLOOKUP($B47,'Ppto-Mes'!$B$8:$AW$68,P$1,0))</f>
        <v>-1582000</v>
      </c>
      <c r="Q47" s="376">
        <f t="shared" si="4"/>
        <v>5776878.5127999783</v>
      </c>
      <c r="R47" s="359">
        <f>SUMIF($C$7:$C47,$C47,$Q$7:$Q47)</f>
        <v>21551957.051199913</v>
      </c>
      <c r="S47" s="175">
        <f>IF($C47=C46,VLOOKUP($B47,'Ppto-Mes'!$B$8:$AW$68,S$1,0)-SUMIF($C$6:$C46,$C47,$S$6:$S46),VLOOKUP($B47,'Ppto-Mes'!$B$8:$AW$68,S$1,0))</f>
        <v>5776878.5127999783</v>
      </c>
      <c r="T47" s="175">
        <f t="shared" si="5"/>
        <v>0</v>
      </c>
      <c r="U47" s="320">
        <f>VLOOKUP($B47,'Ppto-Mes'!$B$8:$AW$68,U$1,0)</f>
        <v>0.125</v>
      </c>
      <c r="V47" s="320">
        <f>VLOOKUP($B47,'Ppto-Mes'!$B$8:$AW$68,V$1,0)</f>
        <v>0.09</v>
      </c>
      <c r="W47" s="175">
        <f t="shared" si="8"/>
        <v>1583000</v>
      </c>
      <c r="X47" s="175">
        <f t="shared" si="6"/>
        <v>1000</v>
      </c>
      <c r="Y47" s="175">
        <f t="shared" si="9"/>
        <v>5776878.5127999783</v>
      </c>
    </row>
    <row r="48" spans="1:25" x14ac:dyDescent="0.35">
      <c r="A48" s="18">
        <v>41</v>
      </c>
      <c r="B48" s="184">
        <v>43251</v>
      </c>
      <c r="C48" s="331">
        <f t="shared" si="1"/>
        <v>2018</v>
      </c>
      <c r="D48" s="175">
        <f>HLOOKUP(YEAR($B48),'Ing Proyect'!$B$6:$G$12,6,0)</f>
        <v>156674000</v>
      </c>
      <c r="E48" s="175">
        <f>-VLOOKUP($B48,'Ppto-Mes'!$B$8:$AW$68,E$1,0)</f>
        <v>-145038065.48720002</v>
      </c>
      <c r="F48" s="175">
        <f>VLOOKUP($B48,'Ppto-Mes'!$B$8:$AW$68,F$1,0)</f>
        <v>0</v>
      </c>
      <c r="G48" s="175">
        <f>-VLOOKUP($B48,'Ppto-Mes'!$B$8:$AW$68,G$1,0)</f>
        <v>-1306793</v>
      </c>
      <c r="H48" s="175">
        <f>-VLOOKUP($B48,'Ppto-Mes'!$B$8:$AW$68,H$1,0)</f>
        <v>-2647765</v>
      </c>
      <c r="I48" s="175">
        <f t="shared" si="2"/>
        <v>-148992623.48720002</v>
      </c>
      <c r="J48" s="376">
        <f t="shared" si="7"/>
        <v>7681376.5127999783</v>
      </c>
      <c r="K48" s="175">
        <f>VLOOKUP($B48,'Ppto-Mes'!$B$8:$AW$68,K$1,0)</f>
        <v>0</v>
      </c>
      <c r="L48" s="175">
        <f>-VLOOKUP($B48,'Ppto-Mes'!$B$8:$AW$68,L$1,0)</f>
        <v>0</v>
      </c>
      <c r="M48" s="376">
        <f t="shared" si="3"/>
        <v>7681376.5127999783</v>
      </c>
      <c r="N48" s="175">
        <f>-VLOOKUP($B48,'Ppto-Mes'!$B$8:$AW$68,N$1,0)</f>
        <v>-1107252</v>
      </c>
      <c r="O48" s="376">
        <f t="shared" si="4"/>
        <v>6574124.5127999783</v>
      </c>
      <c r="P48" s="175">
        <f>IF($C48=C47,-VLOOKUP($B48,'Ppto-Mes'!$B$8:$AW$68,P$1,0)-SUMIF($C$6:$C47,$C48,$P$6:$P47),-VLOOKUP($B48,'Ppto-Mes'!$B$8:$AW$68,P$1,0))</f>
        <v>-1413000</v>
      </c>
      <c r="Q48" s="376">
        <f t="shared" si="4"/>
        <v>5161124.5127999783</v>
      </c>
      <c r="R48" s="359">
        <f>SUMIF($C$7:$C48,$C48,$Q$7:$Q48)</f>
        <v>26713081.563999891</v>
      </c>
      <c r="S48" s="175">
        <f>IF($C48=C47,VLOOKUP($B48,'Ppto-Mes'!$B$8:$AW$68,S$1,0)-SUMIF($C$6:$C47,$C48,$S$6:$S47),VLOOKUP($B48,'Ppto-Mes'!$B$8:$AW$68,S$1,0))</f>
        <v>5161124.5127999783</v>
      </c>
      <c r="T48" s="175">
        <f t="shared" si="5"/>
        <v>0</v>
      </c>
      <c r="U48" s="320">
        <f>VLOOKUP($B48,'Ppto-Mes'!$B$8:$AW$68,U$1,0)</f>
        <v>0.125</v>
      </c>
      <c r="V48" s="320">
        <f>VLOOKUP($B48,'Ppto-Mes'!$B$8:$AW$68,V$1,0)</f>
        <v>0.09</v>
      </c>
      <c r="W48" s="175">
        <f t="shared" si="8"/>
        <v>1414000</v>
      </c>
      <c r="X48" s="175">
        <f t="shared" si="6"/>
        <v>1000</v>
      </c>
      <c r="Y48" s="175">
        <f t="shared" si="9"/>
        <v>5161124.5127999783</v>
      </c>
    </row>
    <row r="49" spans="1:25" x14ac:dyDescent="0.35">
      <c r="A49" s="18">
        <v>42</v>
      </c>
      <c r="B49" s="184">
        <v>43281</v>
      </c>
      <c r="C49" s="331">
        <f t="shared" si="1"/>
        <v>2018</v>
      </c>
      <c r="D49" s="175">
        <f>HLOOKUP(YEAR($B49),'Ing Proyect'!$B$6:$G$12,6,0)</f>
        <v>156674000</v>
      </c>
      <c r="E49" s="175">
        <f>-VLOOKUP($B49,'Ppto-Mes'!$B$8:$AW$68,E$1,0)</f>
        <v>-148736537.48720002</v>
      </c>
      <c r="F49" s="175">
        <f>VLOOKUP($B49,'Ppto-Mes'!$B$8:$AW$68,F$1,0)</f>
        <v>3698472</v>
      </c>
      <c r="G49" s="175">
        <f>-VLOOKUP($B49,'Ppto-Mes'!$B$8:$AW$68,G$1,0)</f>
        <v>-1306793</v>
      </c>
      <c r="H49" s="175">
        <f>-VLOOKUP($B49,'Ppto-Mes'!$B$8:$AW$68,H$1,0)</f>
        <v>-2647763</v>
      </c>
      <c r="I49" s="175">
        <f t="shared" si="2"/>
        <v>-148992621.48720002</v>
      </c>
      <c r="J49" s="376">
        <f t="shared" si="7"/>
        <v>7681378.5127999783</v>
      </c>
      <c r="K49" s="175">
        <f>VLOOKUP($B49,'Ppto-Mes'!$B$8:$AW$68,K$1,0)</f>
        <v>0</v>
      </c>
      <c r="L49" s="175">
        <f>-VLOOKUP($B49,'Ppto-Mes'!$B$8:$AW$68,L$1,0)</f>
        <v>0</v>
      </c>
      <c r="M49" s="376">
        <f t="shared" si="3"/>
        <v>7681378.5127999783</v>
      </c>
      <c r="N49" s="175">
        <f>-VLOOKUP($B49,'Ppto-Mes'!$B$8:$AW$68,N$1,0)</f>
        <v>-225750</v>
      </c>
      <c r="O49" s="376">
        <f t="shared" si="4"/>
        <v>7455628.5127999783</v>
      </c>
      <c r="P49" s="175">
        <f>IF($C49=C48,-VLOOKUP($B49,'Ppto-Mes'!$B$8:$AW$68,P$1,0)-SUMIF($C$6:$C48,$C49,$P$6:$P48),-VLOOKUP($B49,'Ppto-Mes'!$B$8:$AW$68,P$1,0))</f>
        <v>-1603000</v>
      </c>
      <c r="Q49" s="376">
        <f t="shared" si="4"/>
        <v>5852628.5127999783</v>
      </c>
      <c r="R49" s="359">
        <f>SUMIF($C$7:$C49,$C49,$Q$7:$Q49)</f>
        <v>32565710.07679987</v>
      </c>
      <c r="S49" s="175">
        <f>IF($C49=C48,VLOOKUP($B49,'Ppto-Mes'!$B$8:$AW$68,S$1,0)-SUMIF($C$6:$C48,$C49,$S$6:$S48),VLOOKUP($B49,'Ppto-Mes'!$B$8:$AW$68,S$1,0))</f>
        <v>5852628.5127999783</v>
      </c>
      <c r="T49" s="175">
        <f t="shared" si="5"/>
        <v>0</v>
      </c>
      <c r="U49" s="320">
        <f>VLOOKUP($B49,'Ppto-Mes'!$B$8:$AW$68,U$1,0)</f>
        <v>0.125</v>
      </c>
      <c r="V49" s="320">
        <f>VLOOKUP($B49,'Ppto-Mes'!$B$8:$AW$68,V$1,0)</f>
        <v>0.09</v>
      </c>
      <c r="W49" s="175">
        <f t="shared" si="8"/>
        <v>1603000</v>
      </c>
      <c r="X49" s="175">
        <f t="shared" si="6"/>
        <v>0</v>
      </c>
      <c r="Y49" s="175">
        <f t="shared" si="9"/>
        <v>5852628.5127999783</v>
      </c>
    </row>
    <row r="50" spans="1:25" x14ac:dyDescent="0.35">
      <c r="A50" s="18">
        <v>43</v>
      </c>
      <c r="B50" s="184">
        <v>43312</v>
      </c>
      <c r="C50" s="331">
        <f t="shared" si="1"/>
        <v>2018</v>
      </c>
      <c r="D50" s="175">
        <f>HLOOKUP(YEAR($B50),'Ing Proyect'!$B$6:$G$12,6,0)</f>
        <v>156674000</v>
      </c>
      <c r="E50" s="175">
        <f>-VLOOKUP($B50,'Ppto-Mes'!$B$8:$AW$68,E$1,0)</f>
        <v>-145038065.48720002</v>
      </c>
      <c r="F50" s="175">
        <f>VLOOKUP($B50,'Ppto-Mes'!$B$8:$AW$68,F$1,0)</f>
        <v>0</v>
      </c>
      <c r="G50" s="175">
        <f>-VLOOKUP($B50,'Ppto-Mes'!$B$8:$AW$68,G$1,0)</f>
        <v>-1306793</v>
      </c>
      <c r="H50" s="175">
        <f>-VLOOKUP($B50,'Ppto-Mes'!$B$8:$AW$68,H$1,0)</f>
        <v>-2708265</v>
      </c>
      <c r="I50" s="175">
        <f t="shared" si="2"/>
        <v>-149053123.48720002</v>
      </c>
      <c r="J50" s="376">
        <f t="shared" si="7"/>
        <v>7620876.5127999783</v>
      </c>
      <c r="K50" s="175">
        <f>VLOOKUP($B50,'Ppto-Mes'!$B$8:$AW$68,K$1,0)</f>
        <v>0</v>
      </c>
      <c r="L50" s="175">
        <f>-VLOOKUP($B50,'Ppto-Mes'!$B$8:$AW$68,L$1,0)</f>
        <v>0</v>
      </c>
      <c r="M50" s="376">
        <f t="shared" si="3"/>
        <v>7620876.5127999783</v>
      </c>
      <c r="N50" s="175">
        <f>-VLOOKUP($B50,'Ppto-Mes'!$B$8:$AW$68,N$1,0)</f>
        <v>-1139502</v>
      </c>
      <c r="O50" s="376">
        <f t="shared" si="4"/>
        <v>6481374.5127999783</v>
      </c>
      <c r="P50" s="175">
        <f>IF($C50=C49,-VLOOKUP($B50,'Ppto-Mes'!$B$8:$AW$68,P$1,0)-SUMIF($C$6:$C49,$C50,$P$6:$P49),-VLOOKUP($B50,'Ppto-Mes'!$B$8:$AW$68,P$1,0))</f>
        <v>-1394000</v>
      </c>
      <c r="Q50" s="376">
        <f t="shared" si="4"/>
        <v>5087374.5127999783</v>
      </c>
      <c r="R50" s="359">
        <f>SUMIF($C$7:$C50,$C50,$Q$7:$Q50)</f>
        <v>37653084.589599848</v>
      </c>
      <c r="S50" s="175">
        <f>IF($C50=C49,VLOOKUP($B50,'Ppto-Mes'!$B$8:$AW$68,S$1,0)-SUMIF($C$6:$C49,$C50,$S$6:$S49),VLOOKUP($B50,'Ppto-Mes'!$B$8:$AW$68,S$1,0))</f>
        <v>5087374.5127999783</v>
      </c>
      <c r="T50" s="175">
        <f t="shared" si="5"/>
        <v>0</v>
      </c>
      <c r="U50" s="320">
        <f>VLOOKUP($B50,'Ppto-Mes'!$B$8:$AW$68,U$1,0)</f>
        <v>0.125</v>
      </c>
      <c r="V50" s="320">
        <f>VLOOKUP($B50,'Ppto-Mes'!$B$8:$AW$68,V$1,0)</f>
        <v>0.09</v>
      </c>
      <c r="W50" s="175">
        <f t="shared" si="8"/>
        <v>1394000</v>
      </c>
      <c r="X50" s="175">
        <f t="shared" si="6"/>
        <v>0</v>
      </c>
      <c r="Y50" s="175">
        <f t="shared" si="9"/>
        <v>5087374.5127999783</v>
      </c>
    </row>
    <row r="51" spans="1:25" x14ac:dyDescent="0.35">
      <c r="A51" s="18">
        <v>44</v>
      </c>
      <c r="B51" s="184">
        <v>43343</v>
      </c>
      <c r="C51" s="331">
        <f t="shared" si="1"/>
        <v>2018</v>
      </c>
      <c r="D51" s="175">
        <f>HLOOKUP(YEAR($B51),'Ing Proyect'!$B$6:$G$12,6,0)</f>
        <v>156674000</v>
      </c>
      <c r="E51" s="175">
        <f>-VLOOKUP($B51,'Ppto-Mes'!$B$8:$AW$68,E$1,0)</f>
        <v>-145038065.48720002</v>
      </c>
      <c r="F51" s="175">
        <f>VLOOKUP($B51,'Ppto-Mes'!$B$8:$AW$68,F$1,0)</f>
        <v>0</v>
      </c>
      <c r="G51" s="175">
        <f>-VLOOKUP($B51,'Ppto-Mes'!$B$8:$AW$68,G$1,0)</f>
        <v>-1306793</v>
      </c>
      <c r="H51" s="175">
        <f>-VLOOKUP($B51,'Ppto-Mes'!$B$8:$AW$68,H$1,0)</f>
        <v>-2708263</v>
      </c>
      <c r="I51" s="175">
        <f t="shared" si="2"/>
        <v>-149053121.48720002</v>
      </c>
      <c r="J51" s="376">
        <f t="shared" si="7"/>
        <v>7620878.5127999783</v>
      </c>
      <c r="K51" s="175">
        <f>VLOOKUP($B51,'Ppto-Mes'!$B$8:$AW$68,K$1,0)</f>
        <v>0</v>
      </c>
      <c r="L51" s="175">
        <f>-VLOOKUP($B51,'Ppto-Mes'!$B$8:$AW$68,L$1,0)</f>
        <v>0</v>
      </c>
      <c r="M51" s="376">
        <f t="shared" si="3"/>
        <v>7620878.5127999783</v>
      </c>
      <c r="N51" s="175">
        <f>-VLOOKUP($B51,'Ppto-Mes'!$B$8:$AW$68,N$1,0)</f>
        <v>-107500</v>
      </c>
      <c r="O51" s="376">
        <f t="shared" si="4"/>
        <v>7513378.5127999783</v>
      </c>
      <c r="P51" s="175">
        <f>IF($C51=C50,-VLOOKUP($B51,'Ppto-Mes'!$B$8:$AW$68,P$1,0)-SUMIF($C$6:$C50,$C51,$P$6:$P50),-VLOOKUP($B51,'Ppto-Mes'!$B$8:$AW$68,P$1,0))</f>
        <v>-1616000</v>
      </c>
      <c r="Q51" s="376">
        <f t="shared" si="4"/>
        <v>5897378.5127999783</v>
      </c>
      <c r="R51" s="359">
        <f>SUMIF($C$7:$C51,$C51,$Q$7:$Q51)</f>
        <v>43550463.102399826</v>
      </c>
      <c r="S51" s="175">
        <f>IF($C51=C50,VLOOKUP($B51,'Ppto-Mes'!$B$8:$AW$68,S$1,0)-SUMIF($C$6:$C50,$C51,$S$6:$S50),VLOOKUP($B51,'Ppto-Mes'!$B$8:$AW$68,S$1,0))</f>
        <v>5897378.5127999783</v>
      </c>
      <c r="T51" s="175">
        <f t="shared" si="5"/>
        <v>0</v>
      </c>
      <c r="U51" s="320">
        <f>VLOOKUP($B51,'Ppto-Mes'!$B$8:$AW$68,U$1,0)</f>
        <v>0.125</v>
      </c>
      <c r="V51" s="320">
        <f>VLOOKUP($B51,'Ppto-Mes'!$B$8:$AW$68,V$1,0)</f>
        <v>0.09</v>
      </c>
      <c r="W51" s="175">
        <f t="shared" si="8"/>
        <v>1616000</v>
      </c>
      <c r="X51" s="175">
        <f t="shared" si="6"/>
        <v>0</v>
      </c>
      <c r="Y51" s="175">
        <f t="shared" si="9"/>
        <v>5897378.5127999783</v>
      </c>
    </row>
    <row r="52" spans="1:25" x14ac:dyDescent="0.35">
      <c r="A52" s="18">
        <v>45</v>
      </c>
      <c r="B52" s="184">
        <v>43373</v>
      </c>
      <c r="C52" s="331">
        <f t="shared" si="1"/>
        <v>2018</v>
      </c>
      <c r="D52" s="175">
        <f>HLOOKUP(YEAR($B52),'Ing Proyect'!$B$6:$G$12,6,0)</f>
        <v>156674000</v>
      </c>
      <c r="E52" s="175">
        <f>-VLOOKUP($B52,'Ppto-Mes'!$B$8:$AW$68,E$1,0)</f>
        <v>-145038065.48720002</v>
      </c>
      <c r="F52" s="175">
        <f>VLOOKUP($B52,'Ppto-Mes'!$B$8:$AW$68,F$1,0)</f>
        <v>0</v>
      </c>
      <c r="G52" s="175">
        <f>-VLOOKUP($B52,'Ppto-Mes'!$B$8:$AW$68,G$1,0)</f>
        <v>-1306793</v>
      </c>
      <c r="H52" s="175">
        <f>-VLOOKUP($B52,'Ppto-Mes'!$B$8:$AW$68,H$1,0)</f>
        <v>-2708266</v>
      </c>
      <c r="I52" s="175">
        <f t="shared" si="2"/>
        <v>-149053124.48720002</v>
      </c>
      <c r="J52" s="376">
        <f t="shared" si="7"/>
        <v>7620875.5127999783</v>
      </c>
      <c r="K52" s="175">
        <f>VLOOKUP($B52,'Ppto-Mes'!$B$8:$AW$68,K$1,0)</f>
        <v>0</v>
      </c>
      <c r="L52" s="175">
        <f>-VLOOKUP($B52,'Ppto-Mes'!$B$8:$AW$68,L$1,0)</f>
        <v>0</v>
      </c>
      <c r="M52" s="376">
        <f t="shared" si="3"/>
        <v>7620875.5127999783</v>
      </c>
      <c r="N52" s="175">
        <f>-VLOOKUP($B52,'Ppto-Mes'!$B$8:$AW$68,N$1,0)</f>
        <v>-1021252</v>
      </c>
      <c r="O52" s="376">
        <f t="shared" si="4"/>
        <v>6599623.5127999783</v>
      </c>
      <c r="P52" s="175">
        <f>IF($C52=C51,-VLOOKUP($B52,'Ppto-Mes'!$B$8:$AW$68,P$1,0)-SUMIF($C$6:$C51,$C52,$P$6:$P51),-VLOOKUP($B52,'Ppto-Mes'!$B$8:$AW$68,P$1,0))</f>
        <v>-1419000</v>
      </c>
      <c r="Q52" s="376">
        <f t="shared" si="4"/>
        <v>5180623.5127999783</v>
      </c>
      <c r="R52" s="359">
        <f>SUMIF($C$7:$C52,$C52,$Q$7:$Q52)</f>
        <v>48731086.615199804</v>
      </c>
      <c r="S52" s="175">
        <f>IF($C52=C51,VLOOKUP($B52,'Ppto-Mes'!$B$8:$AW$68,S$1,0)-SUMIF($C$6:$C51,$C52,$S$6:$S51),VLOOKUP($B52,'Ppto-Mes'!$B$8:$AW$68,S$1,0))</f>
        <v>5180623.5127999783</v>
      </c>
      <c r="T52" s="175">
        <f t="shared" si="5"/>
        <v>0</v>
      </c>
      <c r="U52" s="320">
        <f>VLOOKUP($B52,'Ppto-Mes'!$B$8:$AW$68,U$1,0)</f>
        <v>0.125</v>
      </c>
      <c r="V52" s="320">
        <f>VLOOKUP($B52,'Ppto-Mes'!$B$8:$AW$68,V$1,0)</f>
        <v>0.09</v>
      </c>
      <c r="W52" s="175">
        <f t="shared" si="8"/>
        <v>1419000</v>
      </c>
      <c r="X52" s="175">
        <f t="shared" si="6"/>
        <v>0</v>
      </c>
      <c r="Y52" s="175">
        <f t="shared" si="9"/>
        <v>5180623.5127999783</v>
      </c>
    </row>
    <row r="53" spans="1:25" x14ac:dyDescent="0.35">
      <c r="A53" s="18">
        <v>46</v>
      </c>
      <c r="B53" s="184">
        <v>43404</v>
      </c>
      <c r="C53" s="331">
        <f t="shared" si="1"/>
        <v>2018</v>
      </c>
      <c r="D53" s="175">
        <f>HLOOKUP(YEAR($B53),'Ing Proyect'!$B$6:$G$12,6,0)</f>
        <v>156674000</v>
      </c>
      <c r="E53" s="175">
        <f>-VLOOKUP($B53,'Ppto-Mes'!$B$8:$AW$68,E$1,0)</f>
        <v>-145038065.48720002</v>
      </c>
      <c r="F53" s="175">
        <f>VLOOKUP($B53,'Ppto-Mes'!$B$8:$AW$68,F$1,0)</f>
        <v>0</v>
      </c>
      <c r="G53" s="175">
        <f>-VLOOKUP($B53,'Ppto-Mes'!$B$8:$AW$68,G$1,0)</f>
        <v>-1306793</v>
      </c>
      <c r="H53" s="175">
        <f>-VLOOKUP($B53,'Ppto-Mes'!$B$8:$AW$68,H$1,0)</f>
        <v>-2708263</v>
      </c>
      <c r="I53" s="175">
        <f t="shared" si="2"/>
        <v>-149053121.48720002</v>
      </c>
      <c r="J53" s="376">
        <f t="shared" si="7"/>
        <v>7620878.5127999783</v>
      </c>
      <c r="K53" s="175">
        <f>VLOOKUP($B53,'Ppto-Mes'!$B$8:$AW$68,K$1,0)</f>
        <v>0</v>
      </c>
      <c r="L53" s="175">
        <f>-VLOOKUP($B53,'Ppto-Mes'!$B$8:$AW$68,L$1,0)</f>
        <v>0</v>
      </c>
      <c r="M53" s="376">
        <f t="shared" si="3"/>
        <v>7620878.5127999783</v>
      </c>
      <c r="N53" s="175">
        <f>-VLOOKUP($B53,'Ppto-Mes'!$B$8:$AW$68,N$1,0)</f>
        <v>0</v>
      </c>
      <c r="O53" s="376">
        <f t="shared" si="4"/>
        <v>7620878.5127999783</v>
      </c>
      <c r="P53" s="175">
        <f>IF($C53=C52,-VLOOKUP($B53,'Ppto-Mes'!$B$8:$AW$68,P$1,0)-SUMIF($C$6:$C52,$C53,$P$6:$P52),-VLOOKUP($B53,'Ppto-Mes'!$B$8:$AW$68,P$1,0))</f>
        <v>-1638000</v>
      </c>
      <c r="Q53" s="376">
        <f t="shared" si="4"/>
        <v>5982878.5127999783</v>
      </c>
      <c r="R53" s="359">
        <f>SUMIF($C$7:$C53,$C53,$Q$7:$Q53)</f>
        <v>54713965.127999783</v>
      </c>
      <c r="S53" s="175">
        <f>IF($C53=C52,VLOOKUP($B53,'Ppto-Mes'!$B$8:$AW$68,S$1,0)-SUMIF($C$6:$C52,$C53,$S$6:$S52),VLOOKUP($B53,'Ppto-Mes'!$B$8:$AW$68,S$1,0))</f>
        <v>5982878.5127999783</v>
      </c>
      <c r="T53" s="175">
        <f t="shared" si="5"/>
        <v>0</v>
      </c>
      <c r="U53" s="320">
        <f>VLOOKUP($B53,'Ppto-Mes'!$B$8:$AW$68,U$1,0)</f>
        <v>0.125</v>
      </c>
      <c r="V53" s="320">
        <f>VLOOKUP($B53,'Ppto-Mes'!$B$8:$AW$68,V$1,0)</f>
        <v>0.09</v>
      </c>
      <c r="W53" s="175">
        <f t="shared" si="8"/>
        <v>1639000</v>
      </c>
      <c r="X53" s="175">
        <f t="shared" si="6"/>
        <v>1000</v>
      </c>
      <c r="Y53" s="175">
        <f t="shared" si="9"/>
        <v>5982878.5127999783</v>
      </c>
    </row>
    <row r="54" spans="1:25" x14ac:dyDescent="0.35">
      <c r="A54" s="18">
        <v>47</v>
      </c>
      <c r="B54" s="184">
        <v>43434</v>
      </c>
      <c r="C54" s="331">
        <f t="shared" si="1"/>
        <v>2018</v>
      </c>
      <c r="D54" s="175">
        <f>HLOOKUP(YEAR($B54),'Ing Proyect'!$B$6:$G$12,6,0)</f>
        <v>156674000</v>
      </c>
      <c r="E54" s="175">
        <f>-VLOOKUP($B54,'Ppto-Mes'!$B$8:$AW$68,E$1,0)</f>
        <v>-145038065.48720002</v>
      </c>
      <c r="F54" s="175">
        <f>VLOOKUP($B54,'Ppto-Mes'!$B$8:$AW$68,F$1,0)</f>
        <v>0</v>
      </c>
      <c r="G54" s="175">
        <f>-VLOOKUP($B54,'Ppto-Mes'!$B$8:$AW$68,G$1,0)</f>
        <v>-1306793</v>
      </c>
      <c r="H54" s="175">
        <f>-VLOOKUP($B54,'Ppto-Mes'!$B$8:$AW$68,H$1,0)</f>
        <v>-2708266</v>
      </c>
      <c r="I54" s="175">
        <f t="shared" si="2"/>
        <v>-149053124.48720002</v>
      </c>
      <c r="J54" s="376">
        <f t="shared" si="7"/>
        <v>7620875.5127999783</v>
      </c>
      <c r="K54" s="175">
        <f>VLOOKUP($B54,'Ppto-Mes'!$B$8:$AW$68,K$1,0)</f>
        <v>0</v>
      </c>
      <c r="L54" s="175">
        <f>-VLOOKUP($B54,'Ppto-Mes'!$B$8:$AW$68,L$1,0)</f>
        <v>0</v>
      </c>
      <c r="M54" s="376">
        <f t="shared" si="3"/>
        <v>7620875.5127999783</v>
      </c>
      <c r="N54" s="175">
        <f>-VLOOKUP($B54,'Ppto-Mes'!$B$8:$AW$68,N$1,0)</f>
        <v>-892251</v>
      </c>
      <c r="O54" s="376">
        <f t="shared" si="4"/>
        <v>6728624.5127999783</v>
      </c>
      <c r="P54" s="175">
        <f>IF($C54=C53,-VLOOKUP($B54,'Ppto-Mes'!$B$8:$AW$68,P$1,0)-SUMIF($C$6:$C53,$C54,$P$6:$P53),-VLOOKUP($B54,'Ppto-Mes'!$B$8:$AW$68,P$1,0))</f>
        <v>-1446000</v>
      </c>
      <c r="Q54" s="376">
        <f t="shared" si="4"/>
        <v>5282624.5127999783</v>
      </c>
      <c r="R54" s="359">
        <f>SUMIF($C$7:$C54,$C54,$Q$7:$Q54)</f>
        <v>59996589.640799761</v>
      </c>
      <c r="S54" s="175">
        <f>IF($C54=C53,VLOOKUP($B54,'Ppto-Mes'!$B$8:$AW$68,S$1,0)-SUMIF($C$6:$C53,$C54,$S$6:$S53),VLOOKUP($B54,'Ppto-Mes'!$B$8:$AW$68,S$1,0))</f>
        <v>5282624.5127999783</v>
      </c>
      <c r="T54" s="175">
        <f t="shared" si="5"/>
        <v>0</v>
      </c>
      <c r="U54" s="320">
        <f>VLOOKUP($B54,'Ppto-Mes'!$B$8:$AW$68,U$1,0)</f>
        <v>0.125</v>
      </c>
      <c r="V54" s="320">
        <f>VLOOKUP($B54,'Ppto-Mes'!$B$8:$AW$68,V$1,0)</f>
        <v>0.09</v>
      </c>
      <c r="W54" s="175">
        <f t="shared" si="8"/>
        <v>1447000</v>
      </c>
      <c r="X54" s="175">
        <f t="shared" si="6"/>
        <v>1000</v>
      </c>
      <c r="Y54" s="175">
        <f t="shared" si="9"/>
        <v>5282624.5127999783</v>
      </c>
    </row>
    <row r="55" spans="1:25" x14ac:dyDescent="0.35">
      <c r="A55" s="18">
        <v>48</v>
      </c>
      <c r="B55" s="184">
        <v>43465</v>
      </c>
      <c r="C55" s="331">
        <f t="shared" si="1"/>
        <v>2018</v>
      </c>
      <c r="D55" s="175">
        <f>HLOOKUP(YEAR($B55),'Ing Proyect'!$B$6:$G$12,6,0)</f>
        <v>156674000</v>
      </c>
      <c r="E55" s="175">
        <f>-VLOOKUP($B55,'Ppto-Mes'!$B$8:$AW$68,E$1,0)</f>
        <v>-148736537.48720002</v>
      </c>
      <c r="F55" s="175">
        <f>VLOOKUP($B55,'Ppto-Mes'!$B$8:$AW$68,F$1,0)</f>
        <v>3698472</v>
      </c>
      <c r="G55" s="175">
        <f>-VLOOKUP($B55,'Ppto-Mes'!$B$8:$AW$68,G$1,0)</f>
        <v>-1306793</v>
      </c>
      <c r="H55" s="175">
        <f>-VLOOKUP($B55,'Ppto-Mes'!$B$8:$AW$68,H$1,0)</f>
        <v>-2708263</v>
      </c>
      <c r="I55" s="175">
        <f t="shared" si="2"/>
        <v>-149053121.48720002</v>
      </c>
      <c r="J55" s="376">
        <f t="shared" si="7"/>
        <v>7620878.5127999783</v>
      </c>
      <c r="K55" s="175">
        <f>VLOOKUP($B55,'Ppto-Mes'!$B$8:$AW$68,K$1,0)</f>
        <v>0</v>
      </c>
      <c r="L55" s="175">
        <f>-VLOOKUP($B55,'Ppto-Mes'!$B$8:$AW$68,L$1,0)</f>
        <v>0</v>
      </c>
      <c r="M55" s="376">
        <f t="shared" si="3"/>
        <v>7620878.5127999783</v>
      </c>
      <c r="N55" s="175">
        <f>-VLOOKUP($B55,'Ppto-Mes'!$B$8:$AW$68,N$1,0)</f>
        <v>0</v>
      </c>
      <c r="O55" s="376">
        <f t="shared" si="4"/>
        <v>7620878.5127999783</v>
      </c>
      <c r="P55" s="175">
        <f>IF($C55=C54,-VLOOKUP($B55,'Ppto-Mes'!$B$8:$AW$68,P$1,0)-SUMIF($C$6:$C54,$C55,$P$6:$P54),-VLOOKUP($B55,'Ppto-Mes'!$B$8:$AW$68,P$1,0))</f>
        <v>-1639000</v>
      </c>
      <c r="Q55" s="376">
        <f t="shared" si="4"/>
        <v>5981878.5127999783</v>
      </c>
      <c r="R55" s="359">
        <f>SUMIF($C$7:$C55,$C55,$Q$7:$Q55)</f>
        <v>65978468.153599739</v>
      </c>
      <c r="S55" s="175">
        <f>IF($C55=C54,VLOOKUP($B55,'Ppto-Mes'!$B$8:$AW$68,S$1,0)-SUMIF($C$6:$C54,$C55,$S$6:$S54),VLOOKUP($B55,'Ppto-Mes'!$B$8:$AW$68,S$1,0))</f>
        <v>5981878.5127999783</v>
      </c>
      <c r="T55" s="175">
        <f t="shared" si="5"/>
        <v>0</v>
      </c>
      <c r="U55" s="320">
        <f>VLOOKUP($B55,'Ppto-Mes'!$B$8:$AW$68,U$1,0)</f>
        <v>0.125</v>
      </c>
      <c r="V55" s="320">
        <f>VLOOKUP($B55,'Ppto-Mes'!$B$8:$AW$68,V$1,0)</f>
        <v>0.09</v>
      </c>
      <c r="W55" s="175">
        <f t="shared" si="8"/>
        <v>1639000</v>
      </c>
      <c r="X55" s="175">
        <f t="shared" si="6"/>
        <v>0</v>
      </c>
      <c r="Y55" s="175">
        <f t="shared" si="9"/>
        <v>5981878.5127999783</v>
      </c>
    </row>
    <row r="56" spans="1:25" x14ac:dyDescent="0.35">
      <c r="A56" s="18">
        <v>49</v>
      </c>
      <c r="B56" s="184">
        <v>43496</v>
      </c>
      <c r="C56" s="331">
        <f t="shared" si="1"/>
        <v>2019</v>
      </c>
      <c r="D56" s="175">
        <f>HLOOKUP(YEAR($B56),'Ing Proyect'!$B$6:$G$12,6,0)</f>
        <v>171228000</v>
      </c>
      <c r="E56" s="175">
        <f>-VLOOKUP($B56,'Ppto-Mes'!$B$8:$AW$68,E$1,0)</f>
        <v>-166933393.74335</v>
      </c>
      <c r="F56" s="175">
        <f>VLOOKUP($B56,'Ppto-Mes'!$B$8:$AW$68,F$1,0)</f>
        <v>8284578</v>
      </c>
      <c r="G56" s="175">
        <f>-VLOOKUP($B56,'Ppto-Mes'!$B$8:$AW$68,G$1,0)</f>
        <v>-1397921</v>
      </c>
      <c r="H56" s="175">
        <f>-VLOOKUP($B56,'Ppto-Mes'!$B$8:$AW$68,H$1,0)</f>
        <v>-3244279</v>
      </c>
      <c r="I56" s="175">
        <f t="shared" si="2"/>
        <v>-163291015.74335</v>
      </c>
      <c r="J56" s="376">
        <f t="shared" si="7"/>
        <v>7936984.2566500008</v>
      </c>
      <c r="K56" s="175">
        <f>VLOOKUP($B56,'Ppto-Mes'!$B$8:$AW$68,K$1,0)</f>
        <v>0</v>
      </c>
      <c r="L56" s="175">
        <f>-VLOOKUP($B56,'Ppto-Mes'!$B$8:$AW$68,L$1,0)</f>
        <v>0</v>
      </c>
      <c r="M56" s="376">
        <f t="shared" si="3"/>
        <v>7936984.2566500008</v>
      </c>
      <c r="N56" s="175">
        <f>-VLOOKUP($B56,'Ppto-Mes'!$B$8:$AW$68,N$1,0)</f>
        <v>-1397502</v>
      </c>
      <c r="O56" s="376">
        <f t="shared" si="4"/>
        <v>6539482.2566500008</v>
      </c>
      <c r="P56" s="175">
        <f>IF($C56=C55,-VLOOKUP($B56,'Ppto-Mes'!$B$8:$AW$68,P$1,0)-SUMIF($C$6:$C55,$C56,$P$6:$P55),-VLOOKUP($B56,'Ppto-Mes'!$B$8:$AW$68,P$1,0))</f>
        <v>-1816000</v>
      </c>
      <c r="Q56" s="376">
        <f t="shared" si="4"/>
        <v>4723482.2566500008</v>
      </c>
      <c r="R56" s="359">
        <f>SUMIF($C$7:$C56,$C56,$Q$7:$Q56)</f>
        <v>4723482.2566500008</v>
      </c>
      <c r="S56" s="175">
        <f>IF($C56=C55,VLOOKUP($B56,'Ppto-Mes'!$B$8:$AW$68,S$1,0)-SUMIF($C$6:$C55,$C56,$S$6:$S55),VLOOKUP($B56,'Ppto-Mes'!$B$8:$AW$68,S$1,0))</f>
        <v>4723482.2566500008</v>
      </c>
      <c r="T56" s="175">
        <f t="shared" si="5"/>
        <v>0</v>
      </c>
      <c r="U56" s="320">
        <f>VLOOKUP($B56,'Ppto-Mes'!$B$8:$AW$68,U$1,0)</f>
        <v>0.1875</v>
      </c>
      <c r="V56" s="320">
        <f>VLOOKUP($B56,'Ppto-Mes'!$B$8:$AW$68,V$1,0)</f>
        <v>0.09</v>
      </c>
      <c r="W56" s="175">
        <f t="shared" si="8"/>
        <v>1815000</v>
      </c>
      <c r="X56" s="175">
        <f t="shared" si="6"/>
        <v>-1000</v>
      </c>
      <c r="Y56" s="175">
        <f t="shared" si="9"/>
        <v>4723482.2566500008</v>
      </c>
    </row>
    <row r="57" spans="1:25" x14ac:dyDescent="0.35">
      <c r="A57" s="18">
        <v>50</v>
      </c>
      <c r="B57" s="184">
        <v>43524</v>
      </c>
      <c r="C57" s="331">
        <f t="shared" si="1"/>
        <v>2019</v>
      </c>
      <c r="D57" s="175">
        <f>HLOOKUP(YEAR($B57),'Ing Proyect'!$B$6:$G$12,6,0)</f>
        <v>171228000</v>
      </c>
      <c r="E57" s="175">
        <f>-VLOOKUP($B57,'Ppto-Mes'!$B$8:$AW$68,E$1,0)</f>
        <v>-158648815.74335</v>
      </c>
      <c r="F57" s="175">
        <f>VLOOKUP($B57,'Ppto-Mes'!$B$8:$AW$68,F$1,0)</f>
        <v>0</v>
      </c>
      <c r="G57" s="175">
        <f>-VLOOKUP($B57,'Ppto-Mes'!$B$8:$AW$68,G$1,0)</f>
        <v>-1397921</v>
      </c>
      <c r="H57" s="175">
        <f>-VLOOKUP($B57,'Ppto-Mes'!$B$8:$AW$68,H$1,0)</f>
        <v>-3244276</v>
      </c>
      <c r="I57" s="175">
        <f t="shared" si="2"/>
        <v>-163291012.74335</v>
      </c>
      <c r="J57" s="376">
        <f t="shared" si="7"/>
        <v>7936987.2566500008</v>
      </c>
      <c r="K57" s="175">
        <f>VLOOKUP($B57,'Ppto-Mes'!$B$8:$AW$68,K$1,0)</f>
        <v>0</v>
      </c>
      <c r="L57" s="175">
        <f>-VLOOKUP($B57,'Ppto-Mes'!$B$8:$AW$68,L$1,0)</f>
        <v>0</v>
      </c>
      <c r="M57" s="376">
        <f t="shared" si="3"/>
        <v>7936987.2566500008</v>
      </c>
      <c r="N57" s="175">
        <f>-VLOOKUP($B57,'Ppto-Mes'!$B$8:$AW$68,N$1,0)</f>
        <v>-21500</v>
      </c>
      <c r="O57" s="376">
        <f t="shared" si="4"/>
        <v>7915487.2566500008</v>
      </c>
      <c r="P57" s="175">
        <f>IF($C57=C56,-VLOOKUP($B57,'Ppto-Mes'!$B$8:$AW$68,P$1,0)-SUMIF($C$6:$C56,$C57,$P$6:$P56),-VLOOKUP($B57,'Ppto-Mes'!$B$8:$AW$68,P$1,0))</f>
        <v>-2196000</v>
      </c>
      <c r="Q57" s="376">
        <f t="shared" si="4"/>
        <v>5719487.2566500008</v>
      </c>
      <c r="R57" s="359">
        <f>SUMIF($C$7:$C57,$C57,$Q$7:$Q57)</f>
        <v>10442969.513300002</v>
      </c>
      <c r="S57" s="175">
        <f>IF($C57=C56,VLOOKUP($B57,'Ppto-Mes'!$B$8:$AW$68,S$1,0)-SUMIF($C$6:$C56,$C57,$S$6:$S56),VLOOKUP($B57,'Ppto-Mes'!$B$8:$AW$68,S$1,0))</f>
        <v>5719487.2566500008</v>
      </c>
      <c r="T57" s="175">
        <f t="shared" si="5"/>
        <v>0</v>
      </c>
      <c r="U57" s="320">
        <f>VLOOKUP($B57,'Ppto-Mes'!$B$8:$AW$68,U$1,0)</f>
        <v>0.1875</v>
      </c>
      <c r="V57" s="320">
        <f>VLOOKUP($B57,'Ppto-Mes'!$B$8:$AW$68,V$1,0)</f>
        <v>0.09</v>
      </c>
      <c r="W57" s="175">
        <f t="shared" si="8"/>
        <v>2197000</v>
      </c>
      <c r="X57" s="175">
        <f t="shared" si="6"/>
        <v>1000</v>
      </c>
      <c r="Y57" s="175">
        <f t="shared" si="9"/>
        <v>5719487.2566500008</v>
      </c>
    </row>
    <row r="58" spans="1:25" x14ac:dyDescent="0.35">
      <c r="A58" s="18">
        <v>51</v>
      </c>
      <c r="B58" s="184">
        <v>43555</v>
      </c>
      <c r="C58" s="331">
        <f t="shared" si="1"/>
        <v>2019</v>
      </c>
      <c r="D58" s="175">
        <f>HLOOKUP(YEAR($B58),'Ing Proyect'!$B$6:$G$12,6,0)</f>
        <v>171228000</v>
      </c>
      <c r="E58" s="175">
        <f>-VLOOKUP($B58,'Ppto-Mes'!$B$8:$AW$68,E$1,0)</f>
        <v>-158648815.74335</v>
      </c>
      <c r="F58" s="175">
        <f>VLOOKUP($B58,'Ppto-Mes'!$B$8:$AW$68,F$1,0)</f>
        <v>0</v>
      </c>
      <c r="G58" s="175">
        <f>-VLOOKUP($B58,'Ppto-Mes'!$B$8:$AW$68,G$1,0)</f>
        <v>-1397921</v>
      </c>
      <c r="H58" s="175">
        <f>-VLOOKUP($B58,'Ppto-Mes'!$B$8:$AW$68,H$1,0)</f>
        <v>-3244279</v>
      </c>
      <c r="I58" s="175">
        <f t="shared" si="2"/>
        <v>-163291015.74335</v>
      </c>
      <c r="J58" s="376">
        <f t="shared" si="7"/>
        <v>7936984.2566500008</v>
      </c>
      <c r="K58" s="175">
        <f>VLOOKUP($B58,'Ppto-Mes'!$B$8:$AW$68,K$1,0)</f>
        <v>0</v>
      </c>
      <c r="L58" s="175">
        <f>-VLOOKUP($B58,'Ppto-Mes'!$B$8:$AW$68,L$1,0)</f>
        <v>0</v>
      </c>
      <c r="M58" s="376">
        <f t="shared" si="3"/>
        <v>7936984.2566500008</v>
      </c>
      <c r="N58" s="175">
        <f>-VLOOKUP($B58,'Ppto-Mes'!$B$8:$AW$68,N$1,0)</f>
        <v>-1279252</v>
      </c>
      <c r="O58" s="376">
        <f t="shared" si="4"/>
        <v>6657732.2566500008</v>
      </c>
      <c r="P58" s="175">
        <f>IF($C58=C57,-VLOOKUP($B58,'Ppto-Mes'!$B$8:$AW$68,P$1,0)-SUMIF($C$6:$C57,$C58,$P$6:$P57),-VLOOKUP($B58,'Ppto-Mes'!$B$8:$AW$68,P$1,0))</f>
        <v>-1848000</v>
      </c>
      <c r="Q58" s="376">
        <f t="shared" si="4"/>
        <v>4809732.2566500008</v>
      </c>
      <c r="R58" s="359">
        <f>SUMIF($C$7:$C58,$C58,$Q$7:$Q58)</f>
        <v>15252701.769950002</v>
      </c>
      <c r="S58" s="175">
        <f>IF($C58=C57,VLOOKUP($B58,'Ppto-Mes'!$B$8:$AW$68,S$1,0)-SUMIF($C$6:$C57,$C58,$S$6:$S57),VLOOKUP($B58,'Ppto-Mes'!$B$8:$AW$68,S$1,0))</f>
        <v>4809732.2566500008</v>
      </c>
      <c r="T58" s="175">
        <f t="shared" si="5"/>
        <v>0</v>
      </c>
      <c r="U58" s="320">
        <f>VLOOKUP($B58,'Ppto-Mes'!$B$8:$AW$68,U$1,0)</f>
        <v>0.1875</v>
      </c>
      <c r="V58" s="320">
        <f>VLOOKUP($B58,'Ppto-Mes'!$B$8:$AW$68,V$1,0)</f>
        <v>0.09</v>
      </c>
      <c r="W58" s="175">
        <f t="shared" si="8"/>
        <v>1848000</v>
      </c>
      <c r="X58" s="175">
        <f t="shared" si="6"/>
        <v>0</v>
      </c>
      <c r="Y58" s="175">
        <f t="shared" si="9"/>
        <v>4809732.2566500008</v>
      </c>
    </row>
    <row r="59" spans="1:25" x14ac:dyDescent="0.35">
      <c r="A59" s="18">
        <v>52</v>
      </c>
      <c r="B59" s="184">
        <v>43585</v>
      </c>
      <c r="C59" s="331">
        <f t="shared" si="1"/>
        <v>2019</v>
      </c>
      <c r="D59" s="175">
        <f>HLOOKUP(YEAR($B59),'Ing Proyect'!$B$6:$G$12,6,0)</f>
        <v>171228000</v>
      </c>
      <c r="E59" s="175">
        <f>-VLOOKUP($B59,'Ppto-Mes'!$B$8:$AW$68,E$1,0)</f>
        <v>-158648815.74335</v>
      </c>
      <c r="F59" s="175">
        <f>VLOOKUP($B59,'Ppto-Mes'!$B$8:$AW$68,F$1,0)</f>
        <v>0</v>
      </c>
      <c r="G59" s="175">
        <f>-VLOOKUP($B59,'Ppto-Mes'!$B$8:$AW$68,G$1,0)</f>
        <v>-1397921</v>
      </c>
      <c r="H59" s="175">
        <f>-VLOOKUP($B59,'Ppto-Mes'!$B$8:$AW$68,H$1,0)</f>
        <v>-3244276</v>
      </c>
      <c r="I59" s="175">
        <f t="shared" si="2"/>
        <v>-163291012.74335</v>
      </c>
      <c r="J59" s="376">
        <f t="shared" si="7"/>
        <v>7936987.2566500008</v>
      </c>
      <c r="K59" s="175">
        <f>VLOOKUP($B59,'Ppto-Mes'!$B$8:$AW$68,K$1,0)</f>
        <v>0</v>
      </c>
      <c r="L59" s="175">
        <f>-VLOOKUP($B59,'Ppto-Mes'!$B$8:$AW$68,L$1,0)</f>
        <v>0</v>
      </c>
      <c r="M59" s="376">
        <f t="shared" si="3"/>
        <v>7936987.2566500008</v>
      </c>
      <c r="N59" s="175">
        <f>-VLOOKUP($B59,'Ppto-Mes'!$B$8:$AW$68,N$1,0)</f>
        <v>0</v>
      </c>
      <c r="O59" s="376">
        <f t="shared" si="4"/>
        <v>7936987.2566500008</v>
      </c>
      <c r="P59" s="175">
        <f>IF($C59=C58,-VLOOKUP($B59,'Ppto-Mes'!$B$8:$AW$68,P$1,0)-SUMIF($C$6:$C58,$C59,$P$6:$P58),-VLOOKUP($B59,'Ppto-Mes'!$B$8:$AW$68,P$1,0))</f>
        <v>-2202000</v>
      </c>
      <c r="Q59" s="376">
        <f t="shared" si="4"/>
        <v>5734987.2566500008</v>
      </c>
      <c r="R59" s="359">
        <f>SUMIF($C$7:$C59,$C59,$Q$7:$Q59)</f>
        <v>20987689.026600003</v>
      </c>
      <c r="S59" s="175">
        <f>IF($C59=C58,VLOOKUP($B59,'Ppto-Mes'!$B$8:$AW$68,S$1,0)-SUMIF($C$6:$C58,$C59,$S$6:$S58),VLOOKUP($B59,'Ppto-Mes'!$B$8:$AW$68,S$1,0))</f>
        <v>5734987.2566500008</v>
      </c>
      <c r="T59" s="175">
        <f t="shared" si="5"/>
        <v>0</v>
      </c>
      <c r="U59" s="320">
        <f>VLOOKUP($B59,'Ppto-Mes'!$B$8:$AW$68,U$1,0)</f>
        <v>0.1875</v>
      </c>
      <c r="V59" s="320">
        <f>VLOOKUP($B59,'Ppto-Mes'!$B$8:$AW$68,V$1,0)</f>
        <v>0.09</v>
      </c>
      <c r="W59" s="175">
        <f t="shared" si="8"/>
        <v>2203000</v>
      </c>
      <c r="X59" s="175">
        <f t="shared" si="6"/>
        <v>1000</v>
      </c>
      <c r="Y59" s="175">
        <f t="shared" si="9"/>
        <v>5734987.2566500008</v>
      </c>
    </row>
    <row r="60" spans="1:25" x14ac:dyDescent="0.35">
      <c r="A60" s="18">
        <v>53</v>
      </c>
      <c r="B60" s="184">
        <v>43616</v>
      </c>
      <c r="C60" s="331">
        <f t="shared" si="1"/>
        <v>2019</v>
      </c>
      <c r="D60" s="175">
        <f>HLOOKUP(YEAR($B60),'Ing Proyect'!$B$6:$G$12,6,0)</f>
        <v>171228000</v>
      </c>
      <c r="E60" s="175">
        <f>-VLOOKUP($B60,'Ppto-Mes'!$B$8:$AW$68,E$1,0)</f>
        <v>-158648815.74335</v>
      </c>
      <c r="F60" s="175">
        <f>VLOOKUP($B60,'Ppto-Mes'!$B$8:$AW$68,F$1,0)</f>
        <v>0</v>
      </c>
      <c r="G60" s="175">
        <f>-VLOOKUP($B60,'Ppto-Mes'!$B$8:$AW$68,G$1,0)</f>
        <v>-1397921</v>
      </c>
      <c r="H60" s="175">
        <f>-VLOOKUP($B60,'Ppto-Mes'!$B$8:$AW$68,H$1,0)</f>
        <v>-3244280</v>
      </c>
      <c r="I60" s="175">
        <f t="shared" si="2"/>
        <v>-163291016.74335</v>
      </c>
      <c r="J60" s="376">
        <f t="shared" si="7"/>
        <v>7936983.2566500008</v>
      </c>
      <c r="K60" s="175">
        <f>VLOOKUP($B60,'Ppto-Mes'!$B$8:$AW$68,K$1,0)</f>
        <v>0</v>
      </c>
      <c r="L60" s="175">
        <f>-VLOOKUP($B60,'Ppto-Mes'!$B$8:$AW$68,L$1,0)</f>
        <v>0</v>
      </c>
      <c r="M60" s="376">
        <f t="shared" si="3"/>
        <v>7936983.2566500008</v>
      </c>
      <c r="N60" s="175">
        <f>-VLOOKUP($B60,'Ppto-Mes'!$B$8:$AW$68,N$1,0)</f>
        <v>-1161292</v>
      </c>
      <c r="O60" s="376">
        <f t="shared" si="4"/>
        <v>6775691.2566500008</v>
      </c>
      <c r="P60" s="175">
        <f>IF($C60=C59,-VLOOKUP($B60,'Ppto-Mes'!$B$8:$AW$68,P$1,0)-SUMIF($C$6:$C59,$C60,$P$6:$P59),-VLOOKUP($B60,'Ppto-Mes'!$B$8:$AW$68,P$1,0))</f>
        <v>-1881000</v>
      </c>
      <c r="Q60" s="376">
        <f t="shared" si="4"/>
        <v>4894691.2566500008</v>
      </c>
      <c r="R60" s="359">
        <f>SUMIF($C$7:$C60,$C60,$Q$7:$Q60)</f>
        <v>25882380.283250004</v>
      </c>
      <c r="S60" s="175">
        <f>IF($C60=C59,VLOOKUP($B60,'Ppto-Mes'!$B$8:$AW$68,S$1,0)-SUMIF($C$6:$C59,$C60,$S$6:$S59),VLOOKUP($B60,'Ppto-Mes'!$B$8:$AW$68,S$1,0))</f>
        <v>4894691.2566500008</v>
      </c>
      <c r="T60" s="175">
        <f t="shared" si="5"/>
        <v>0</v>
      </c>
      <c r="U60" s="320">
        <f>VLOOKUP($B60,'Ppto-Mes'!$B$8:$AW$68,U$1,0)</f>
        <v>0.1875</v>
      </c>
      <c r="V60" s="320">
        <f>VLOOKUP($B60,'Ppto-Mes'!$B$8:$AW$68,V$1,0)</f>
        <v>0.09</v>
      </c>
      <c r="W60" s="175">
        <f t="shared" si="8"/>
        <v>1881000</v>
      </c>
      <c r="X60" s="175">
        <f t="shared" si="6"/>
        <v>0</v>
      </c>
      <c r="Y60" s="175">
        <f t="shared" si="9"/>
        <v>4894691.2566500008</v>
      </c>
    </row>
    <row r="61" spans="1:25" x14ac:dyDescent="0.35">
      <c r="A61" s="18">
        <v>54</v>
      </c>
      <c r="B61" s="184">
        <v>43646</v>
      </c>
      <c r="C61" s="331">
        <f t="shared" si="1"/>
        <v>2019</v>
      </c>
      <c r="D61" s="175">
        <f>HLOOKUP(YEAR($B61),'Ing Proyect'!$B$6:$G$12,6,0)</f>
        <v>171228000</v>
      </c>
      <c r="E61" s="175">
        <f>-VLOOKUP($B61,'Ppto-Mes'!$B$8:$AW$68,E$1,0)</f>
        <v>-162605196.74335</v>
      </c>
      <c r="F61" s="175">
        <f>VLOOKUP($B61,'Ppto-Mes'!$B$8:$AW$68,F$1,0)</f>
        <v>3956381</v>
      </c>
      <c r="G61" s="175">
        <f>-VLOOKUP($B61,'Ppto-Mes'!$B$8:$AW$68,G$1,0)</f>
        <v>-1397921</v>
      </c>
      <c r="H61" s="175">
        <f>-VLOOKUP($B61,'Ppto-Mes'!$B$8:$AW$68,H$1,0)</f>
        <v>-3244276</v>
      </c>
      <c r="I61" s="175">
        <f t="shared" si="2"/>
        <v>-163291012.74335</v>
      </c>
      <c r="J61" s="376">
        <f t="shared" si="7"/>
        <v>7936987.2566500008</v>
      </c>
      <c r="K61" s="175">
        <f>VLOOKUP($B61,'Ppto-Mes'!$B$8:$AW$68,K$1,0)</f>
        <v>0</v>
      </c>
      <c r="L61" s="175">
        <f>-VLOOKUP($B61,'Ppto-Mes'!$B$8:$AW$68,L$1,0)</f>
        <v>0</v>
      </c>
      <c r="M61" s="376">
        <f t="shared" si="3"/>
        <v>7936987.2566500008</v>
      </c>
      <c r="N61" s="175">
        <f>-VLOOKUP($B61,'Ppto-Mes'!$B$8:$AW$68,N$1,0)</f>
        <v>0</v>
      </c>
      <c r="O61" s="376">
        <f t="shared" si="4"/>
        <v>7936987.2566500008</v>
      </c>
      <c r="P61" s="175">
        <f>IF($C61=C60,-VLOOKUP($B61,'Ppto-Mes'!$B$8:$AW$68,P$1,0)-SUMIF($C$6:$C60,$C61,$P$6:$P60),-VLOOKUP($B61,'Ppto-Mes'!$B$8:$AW$68,P$1,0))</f>
        <v>-2202000</v>
      </c>
      <c r="Q61" s="376">
        <f t="shared" si="4"/>
        <v>5734987.2566500008</v>
      </c>
      <c r="R61" s="359">
        <f>SUMIF($C$7:$C61,$C61,$Q$7:$Q61)</f>
        <v>31617367.539900005</v>
      </c>
      <c r="S61" s="175">
        <f>IF($C61=C60,VLOOKUP($B61,'Ppto-Mes'!$B$8:$AW$68,S$1,0)-SUMIF($C$6:$C60,$C61,$S$6:$S60),VLOOKUP($B61,'Ppto-Mes'!$B$8:$AW$68,S$1,0))</f>
        <v>5734987.2566500008</v>
      </c>
      <c r="T61" s="175">
        <f t="shared" si="5"/>
        <v>0</v>
      </c>
      <c r="U61" s="320">
        <f>VLOOKUP($B61,'Ppto-Mes'!$B$8:$AW$68,U$1,0)</f>
        <v>0.1875</v>
      </c>
      <c r="V61" s="320">
        <f>VLOOKUP($B61,'Ppto-Mes'!$B$8:$AW$68,V$1,0)</f>
        <v>0.09</v>
      </c>
      <c r="W61" s="175">
        <f t="shared" si="8"/>
        <v>2203000</v>
      </c>
      <c r="X61" s="175">
        <f t="shared" si="6"/>
        <v>1000</v>
      </c>
      <c r="Y61" s="175">
        <f t="shared" si="9"/>
        <v>5734987.2566500008</v>
      </c>
    </row>
    <row r="62" spans="1:25" x14ac:dyDescent="0.35">
      <c r="A62" s="18">
        <v>55</v>
      </c>
      <c r="B62" s="184">
        <v>43677</v>
      </c>
      <c r="C62" s="331">
        <f t="shared" si="1"/>
        <v>2019</v>
      </c>
      <c r="D62" s="175">
        <f>HLOOKUP(YEAR($B62),'Ing Proyect'!$B$6:$G$12,6,0)</f>
        <v>171228000</v>
      </c>
      <c r="E62" s="175">
        <f>-VLOOKUP($B62,'Ppto-Mes'!$B$8:$AW$68,E$1,0)</f>
        <v>-158648815.74335</v>
      </c>
      <c r="F62" s="175">
        <f>VLOOKUP($B62,'Ppto-Mes'!$B$8:$AW$68,F$1,0)</f>
        <v>0</v>
      </c>
      <c r="G62" s="175">
        <f>-VLOOKUP($B62,'Ppto-Mes'!$B$8:$AW$68,G$1,0)</f>
        <v>-1397921</v>
      </c>
      <c r="H62" s="175">
        <f>-VLOOKUP($B62,'Ppto-Mes'!$B$8:$AW$68,H$1,0)</f>
        <v>-3310863</v>
      </c>
      <c r="I62" s="175">
        <f t="shared" si="2"/>
        <v>-163357599.74335</v>
      </c>
      <c r="J62" s="376">
        <f t="shared" si="7"/>
        <v>7870400.2566500008</v>
      </c>
      <c r="K62" s="175">
        <f>VLOOKUP($B62,'Ppto-Mes'!$B$8:$AW$68,K$1,0)</f>
        <v>0</v>
      </c>
      <c r="L62" s="175">
        <f>-VLOOKUP($B62,'Ppto-Mes'!$B$8:$AW$68,L$1,0)</f>
        <v>0</v>
      </c>
      <c r="M62" s="376">
        <f t="shared" si="3"/>
        <v>7870400.2566500008</v>
      </c>
      <c r="N62" s="175">
        <f>-VLOOKUP($B62,'Ppto-Mes'!$B$8:$AW$68,N$1,0)</f>
        <v>-1160715</v>
      </c>
      <c r="O62" s="376">
        <f t="shared" si="4"/>
        <v>6709685.2566500008</v>
      </c>
      <c r="P62" s="175">
        <f>IF($C62=C61,-VLOOKUP($B62,'Ppto-Mes'!$B$8:$AW$68,P$1,0)-SUMIF($C$6:$C61,$C62,$P$6:$P61),-VLOOKUP($B62,'Ppto-Mes'!$B$8:$AW$68,P$1,0))</f>
        <v>-1862000</v>
      </c>
      <c r="Q62" s="376">
        <f t="shared" si="4"/>
        <v>4847685.2566500008</v>
      </c>
      <c r="R62" s="359">
        <f>SUMIF($C$7:$C62,$C62,$Q$7:$Q62)</f>
        <v>36465052.796550006</v>
      </c>
      <c r="S62" s="175">
        <f>IF($C62=C61,VLOOKUP($B62,'Ppto-Mes'!$B$8:$AW$68,S$1,0)-SUMIF($C$6:$C61,$C62,$S$6:$S61),VLOOKUP($B62,'Ppto-Mes'!$B$8:$AW$68,S$1,0))</f>
        <v>4847685.2566500008</v>
      </c>
      <c r="T62" s="175">
        <f t="shared" si="5"/>
        <v>0</v>
      </c>
      <c r="U62" s="320">
        <f>VLOOKUP($B62,'Ppto-Mes'!$B$8:$AW$68,U$1,0)</f>
        <v>0.1875</v>
      </c>
      <c r="V62" s="320">
        <f>VLOOKUP($B62,'Ppto-Mes'!$B$8:$AW$68,V$1,0)</f>
        <v>0.09</v>
      </c>
      <c r="W62" s="175">
        <f t="shared" si="8"/>
        <v>1862000</v>
      </c>
      <c r="X62" s="175">
        <f t="shared" si="6"/>
        <v>0</v>
      </c>
      <c r="Y62" s="175">
        <f t="shared" si="9"/>
        <v>4847685.2566500008</v>
      </c>
    </row>
    <row r="63" spans="1:25" x14ac:dyDescent="0.35">
      <c r="A63" s="18">
        <v>56</v>
      </c>
      <c r="B63" s="184">
        <v>43708</v>
      </c>
      <c r="C63" s="331">
        <f t="shared" si="1"/>
        <v>2019</v>
      </c>
      <c r="D63" s="175">
        <f>HLOOKUP(YEAR($B63),'Ing Proyect'!$B$6:$G$12,6,0)</f>
        <v>171228000</v>
      </c>
      <c r="E63" s="175">
        <f>-VLOOKUP($B63,'Ppto-Mes'!$B$8:$AW$68,E$1,0)</f>
        <v>-158648815.74335</v>
      </c>
      <c r="F63" s="175">
        <f>VLOOKUP($B63,'Ppto-Mes'!$B$8:$AW$68,F$1,0)</f>
        <v>0</v>
      </c>
      <c r="G63" s="175">
        <f>-VLOOKUP($B63,'Ppto-Mes'!$B$8:$AW$68,G$1,0)</f>
        <v>-1397921</v>
      </c>
      <c r="H63" s="175">
        <f>-VLOOKUP($B63,'Ppto-Mes'!$B$8:$AW$68,H$1,0)</f>
        <v>-3310859</v>
      </c>
      <c r="I63" s="175">
        <f t="shared" si="2"/>
        <v>-163357595.74335</v>
      </c>
      <c r="J63" s="376">
        <f t="shared" si="7"/>
        <v>7870404.2566500008</v>
      </c>
      <c r="K63" s="175">
        <f>VLOOKUP($B63,'Ppto-Mes'!$B$8:$AW$68,K$1,0)</f>
        <v>0</v>
      </c>
      <c r="L63" s="175">
        <f>-VLOOKUP($B63,'Ppto-Mes'!$B$8:$AW$68,L$1,0)</f>
        <v>0</v>
      </c>
      <c r="M63" s="376">
        <f t="shared" si="3"/>
        <v>7870404.2566500008</v>
      </c>
      <c r="N63" s="175">
        <f>-VLOOKUP($B63,'Ppto-Mes'!$B$8:$AW$68,N$1,0)</f>
        <v>0</v>
      </c>
      <c r="O63" s="376">
        <f t="shared" si="4"/>
        <v>7870404.2566500008</v>
      </c>
      <c r="P63" s="175">
        <f>IF($C63=C62,-VLOOKUP($B63,'Ppto-Mes'!$B$8:$AW$68,P$1,0)-SUMIF($C$6:$C62,$C63,$P$6:$P62),-VLOOKUP($B63,'Ppto-Mes'!$B$8:$AW$68,P$1,0))</f>
        <v>-2184000</v>
      </c>
      <c r="Q63" s="376">
        <f t="shared" si="4"/>
        <v>5686404.2566500008</v>
      </c>
      <c r="R63" s="359">
        <f>SUMIF($C$7:$C63,$C63,$Q$7:$Q63)</f>
        <v>42151457.053200006</v>
      </c>
      <c r="S63" s="175">
        <f>IF($C63=C62,VLOOKUP($B63,'Ppto-Mes'!$B$8:$AW$68,S$1,0)-SUMIF($C$6:$C62,$C63,$S$6:$S62),VLOOKUP($B63,'Ppto-Mes'!$B$8:$AW$68,S$1,0))</f>
        <v>5686404.2566500008</v>
      </c>
      <c r="T63" s="175">
        <f t="shared" si="5"/>
        <v>0</v>
      </c>
      <c r="U63" s="320">
        <f>VLOOKUP($B63,'Ppto-Mes'!$B$8:$AW$68,U$1,0)</f>
        <v>0.1875</v>
      </c>
      <c r="V63" s="320">
        <f>VLOOKUP($B63,'Ppto-Mes'!$B$8:$AW$68,V$1,0)</f>
        <v>0.09</v>
      </c>
      <c r="W63" s="175">
        <f t="shared" si="8"/>
        <v>2185000</v>
      </c>
      <c r="X63" s="175">
        <f t="shared" si="6"/>
        <v>1000</v>
      </c>
      <c r="Y63" s="175">
        <f t="shared" si="9"/>
        <v>5686404.2566500008</v>
      </c>
    </row>
    <row r="64" spans="1:25" x14ac:dyDescent="0.35">
      <c r="A64" s="18">
        <v>57</v>
      </c>
      <c r="B64" s="184">
        <v>43738</v>
      </c>
      <c r="C64" s="331">
        <f t="shared" si="1"/>
        <v>2019</v>
      </c>
      <c r="D64" s="175">
        <f>HLOOKUP(YEAR($B64),'Ing Proyect'!$B$6:$G$12,6,0)</f>
        <v>171228000</v>
      </c>
      <c r="E64" s="175">
        <f>-VLOOKUP($B64,'Ppto-Mes'!$B$8:$AW$68,E$1,0)</f>
        <v>-158648815.74335</v>
      </c>
      <c r="F64" s="175">
        <f>VLOOKUP($B64,'Ppto-Mes'!$B$8:$AW$68,F$1,0)</f>
        <v>0</v>
      </c>
      <c r="G64" s="175">
        <f>-VLOOKUP($B64,'Ppto-Mes'!$B$8:$AW$68,G$1,0)</f>
        <v>-1397921</v>
      </c>
      <c r="H64" s="175">
        <f>-VLOOKUP($B64,'Ppto-Mes'!$B$8:$AW$68,H$1,0)</f>
        <v>-3310864</v>
      </c>
      <c r="I64" s="175">
        <f t="shared" si="2"/>
        <v>-163357600.74335</v>
      </c>
      <c r="J64" s="376">
        <f t="shared" si="7"/>
        <v>7870399.2566500008</v>
      </c>
      <c r="K64" s="175">
        <f>VLOOKUP($B64,'Ppto-Mes'!$B$8:$AW$68,K$1,0)</f>
        <v>0</v>
      </c>
      <c r="L64" s="175">
        <f>-VLOOKUP($B64,'Ppto-Mes'!$B$8:$AW$68,L$1,0)</f>
        <v>0</v>
      </c>
      <c r="M64" s="376">
        <f t="shared" si="3"/>
        <v>7870399.2566500008</v>
      </c>
      <c r="N64" s="175">
        <f>-VLOOKUP($B64,'Ppto-Mes'!$B$8:$AW$68,N$1,0)</f>
        <v>-892857</v>
      </c>
      <c r="O64" s="376">
        <f t="shared" si="4"/>
        <v>6977542.2566500008</v>
      </c>
      <c r="P64" s="175">
        <f>IF($C64=C63,-VLOOKUP($B64,'Ppto-Mes'!$B$8:$AW$68,P$1,0)-SUMIF($C$6:$C63,$C64,$P$6:$P63),-VLOOKUP($B64,'Ppto-Mes'!$B$8:$AW$68,P$1,0))</f>
        <v>-1936000</v>
      </c>
      <c r="Q64" s="376">
        <f t="shared" si="4"/>
        <v>5041542.2566500008</v>
      </c>
      <c r="R64" s="359">
        <f>SUMIF($C$7:$C64,$C64,$Q$7:$Q64)</f>
        <v>47192999.309850007</v>
      </c>
      <c r="S64" s="175">
        <f>IF($C64=C63,VLOOKUP($B64,'Ppto-Mes'!$B$8:$AW$68,S$1,0)-SUMIF($C$6:$C63,$C64,$S$6:$S63),VLOOKUP($B64,'Ppto-Mes'!$B$8:$AW$68,S$1,0))</f>
        <v>5041542.2566500008</v>
      </c>
      <c r="T64" s="175">
        <f t="shared" si="5"/>
        <v>0</v>
      </c>
      <c r="U64" s="320">
        <f>VLOOKUP($B64,'Ppto-Mes'!$B$8:$AW$68,U$1,0)</f>
        <v>0.1875</v>
      </c>
      <c r="V64" s="320">
        <f>VLOOKUP($B64,'Ppto-Mes'!$B$8:$AW$68,V$1,0)</f>
        <v>0.09</v>
      </c>
      <c r="W64" s="175">
        <f t="shared" si="8"/>
        <v>1937000</v>
      </c>
      <c r="X64" s="175">
        <f t="shared" si="6"/>
        <v>1000</v>
      </c>
      <c r="Y64" s="175">
        <f t="shared" si="9"/>
        <v>5041542.2566500008</v>
      </c>
    </row>
    <row r="65" spans="1:25" x14ac:dyDescent="0.35">
      <c r="A65" s="18">
        <v>58</v>
      </c>
      <c r="B65" s="184">
        <v>43769</v>
      </c>
      <c r="C65" s="331">
        <f t="shared" si="1"/>
        <v>2019</v>
      </c>
      <c r="D65" s="175">
        <f>HLOOKUP(YEAR($B65),'Ing Proyect'!$B$6:$G$12,6,0)</f>
        <v>171228000</v>
      </c>
      <c r="E65" s="175">
        <f>-VLOOKUP($B65,'Ppto-Mes'!$B$8:$AW$68,E$1,0)</f>
        <v>-158648815.74335</v>
      </c>
      <c r="F65" s="175">
        <f>VLOOKUP($B65,'Ppto-Mes'!$B$8:$AW$68,F$1,0)</f>
        <v>0</v>
      </c>
      <c r="G65" s="175">
        <f>-VLOOKUP($B65,'Ppto-Mes'!$B$8:$AW$68,G$1,0)</f>
        <v>-1397921</v>
      </c>
      <c r="H65" s="175">
        <f>-VLOOKUP($B65,'Ppto-Mes'!$B$8:$AW$68,H$1,0)</f>
        <v>-3310859</v>
      </c>
      <c r="I65" s="175">
        <f t="shared" si="2"/>
        <v>-163357595.74335</v>
      </c>
      <c r="J65" s="376">
        <f t="shared" si="7"/>
        <v>7870404.2566500008</v>
      </c>
      <c r="K65" s="175">
        <f>VLOOKUP($B65,'Ppto-Mes'!$B$8:$AW$68,K$1,0)</f>
        <v>0</v>
      </c>
      <c r="L65" s="175">
        <f>-VLOOKUP($B65,'Ppto-Mes'!$B$8:$AW$68,L$1,0)</f>
        <v>0</v>
      </c>
      <c r="M65" s="376">
        <f t="shared" si="3"/>
        <v>7870404.2566500008</v>
      </c>
      <c r="N65" s="175">
        <f>-VLOOKUP($B65,'Ppto-Mes'!$B$8:$AW$68,N$1,0)</f>
        <v>0</v>
      </c>
      <c r="O65" s="376">
        <f t="shared" si="4"/>
        <v>7870404.2566500008</v>
      </c>
      <c r="P65" s="175">
        <f>IF($C65=C64,-VLOOKUP($B65,'Ppto-Mes'!$B$8:$AW$68,P$1,0)-SUMIF($C$6:$C64,$C65,$P$6:$P64),-VLOOKUP($B65,'Ppto-Mes'!$B$8:$AW$68,P$1,0))</f>
        <v>-2185000</v>
      </c>
      <c r="Q65" s="376">
        <f t="shared" si="4"/>
        <v>5685404.2566500008</v>
      </c>
      <c r="R65" s="359">
        <f>SUMIF($C$7:$C65,$C65,$Q$7:$Q65)</f>
        <v>52878403.566500008</v>
      </c>
      <c r="S65" s="175">
        <f>IF($C65=C64,VLOOKUP($B65,'Ppto-Mes'!$B$8:$AW$68,S$1,0)-SUMIF($C$6:$C64,$C65,$S$6:$S64),VLOOKUP($B65,'Ppto-Mes'!$B$8:$AW$68,S$1,0))</f>
        <v>5685404.2566500008</v>
      </c>
      <c r="T65" s="175">
        <f t="shared" si="5"/>
        <v>0</v>
      </c>
      <c r="U65" s="320">
        <f>VLOOKUP($B65,'Ppto-Mes'!$B$8:$AW$68,U$1,0)</f>
        <v>0.1875</v>
      </c>
      <c r="V65" s="320">
        <f>VLOOKUP($B65,'Ppto-Mes'!$B$8:$AW$68,V$1,0)</f>
        <v>0.09</v>
      </c>
      <c r="W65" s="175">
        <f t="shared" si="8"/>
        <v>2185000</v>
      </c>
      <c r="X65" s="175">
        <f t="shared" si="6"/>
        <v>0</v>
      </c>
      <c r="Y65" s="175">
        <f t="shared" si="9"/>
        <v>5685404.2566500008</v>
      </c>
    </row>
    <row r="66" spans="1:25" x14ac:dyDescent="0.35">
      <c r="A66" s="18">
        <v>59</v>
      </c>
      <c r="B66" s="184">
        <v>43799</v>
      </c>
      <c r="C66" s="331">
        <f t="shared" si="1"/>
        <v>2019</v>
      </c>
      <c r="D66" s="175">
        <f>HLOOKUP(YEAR($B66),'Ing Proyect'!$B$6:$G$12,6,0)</f>
        <v>171228000</v>
      </c>
      <c r="E66" s="175">
        <f>-VLOOKUP($B66,'Ppto-Mes'!$B$8:$AW$68,E$1,0)</f>
        <v>-158648815.74335</v>
      </c>
      <c r="F66" s="175">
        <f>VLOOKUP($B66,'Ppto-Mes'!$B$8:$AW$68,F$1,0)</f>
        <v>0</v>
      </c>
      <c r="G66" s="175">
        <f>-VLOOKUP($B66,'Ppto-Mes'!$B$8:$AW$68,G$1,0)</f>
        <v>-1397921</v>
      </c>
      <c r="H66" s="175">
        <f>-VLOOKUP($B66,'Ppto-Mes'!$B$8:$AW$68,H$1,0)</f>
        <v>-3310865</v>
      </c>
      <c r="I66" s="175">
        <f t="shared" si="2"/>
        <v>-163357601.74335</v>
      </c>
      <c r="J66" s="376">
        <f t="shared" si="7"/>
        <v>7870398.2566500008</v>
      </c>
      <c r="K66" s="175">
        <f>VLOOKUP($B66,'Ppto-Mes'!$B$8:$AW$68,K$1,0)</f>
        <v>0</v>
      </c>
      <c r="L66" s="175">
        <f>-VLOOKUP($B66,'Ppto-Mes'!$B$8:$AW$68,L$1,0)</f>
        <v>0</v>
      </c>
      <c r="M66" s="376">
        <f t="shared" si="3"/>
        <v>7870398.2566500008</v>
      </c>
      <c r="N66" s="175">
        <f>-VLOOKUP($B66,'Ppto-Mes'!$B$8:$AW$68,N$1,0)</f>
        <v>-636462</v>
      </c>
      <c r="O66" s="376">
        <f t="shared" si="4"/>
        <v>7233936.2566500008</v>
      </c>
      <c r="P66" s="175">
        <f>IF($C66=C65,-VLOOKUP($B66,'Ppto-Mes'!$B$8:$AW$68,P$1,0)-SUMIF($C$6:$C65,$C66,$P$6:$P65),-VLOOKUP($B66,'Ppto-Mes'!$B$8:$AW$68,P$1,0))</f>
        <v>-2007000</v>
      </c>
      <c r="Q66" s="376">
        <f t="shared" si="4"/>
        <v>5226936.2566500008</v>
      </c>
      <c r="R66" s="359">
        <f>SUMIF($C$7:$C66,$C66,$Q$7:$Q66)</f>
        <v>58105339.823150009</v>
      </c>
      <c r="S66" s="175">
        <f>IF($C66=C65,VLOOKUP($B66,'Ppto-Mes'!$B$8:$AW$68,S$1,0)-SUMIF($C$6:$C65,$C66,$S$6:$S65),VLOOKUP($B66,'Ppto-Mes'!$B$8:$AW$68,S$1,0))</f>
        <v>5226936.2566500008</v>
      </c>
      <c r="T66" s="175">
        <f t="shared" si="5"/>
        <v>0</v>
      </c>
      <c r="U66" s="320">
        <f>VLOOKUP($B66,'Ppto-Mes'!$B$8:$AW$68,U$1,0)</f>
        <v>0.1875</v>
      </c>
      <c r="V66" s="320">
        <f>VLOOKUP($B66,'Ppto-Mes'!$B$8:$AW$68,V$1,0)</f>
        <v>0.09</v>
      </c>
      <c r="W66" s="175">
        <f t="shared" si="8"/>
        <v>2008000</v>
      </c>
      <c r="X66" s="175">
        <f t="shared" si="6"/>
        <v>1000</v>
      </c>
      <c r="Y66" s="175">
        <f t="shared" si="9"/>
        <v>5226936.2566500008</v>
      </c>
    </row>
    <row r="67" spans="1:25" x14ac:dyDescent="0.35">
      <c r="A67" s="18">
        <v>60</v>
      </c>
      <c r="B67" s="184">
        <v>43830</v>
      </c>
      <c r="C67" s="331">
        <f t="shared" si="1"/>
        <v>2019</v>
      </c>
      <c r="D67" s="175">
        <f>HLOOKUP(YEAR($B67),'Ing Proyect'!$B$6:$G$12,6,0)</f>
        <v>171228000</v>
      </c>
      <c r="E67" s="175">
        <f>-VLOOKUP($B67,'Ppto-Mes'!$B$8:$AW$68,E$1,0)</f>
        <v>-162605196.74335</v>
      </c>
      <c r="F67" s="175">
        <f>VLOOKUP($B67,'Ppto-Mes'!$B$8:$AW$68,F$1,0)</f>
        <v>3956381</v>
      </c>
      <c r="G67" s="175">
        <f>-VLOOKUP($B67,'Ppto-Mes'!$B$8:$AW$68,G$1,0)</f>
        <v>-1397921</v>
      </c>
      <c r="H67" s="175">
        <f>-VLOOKUP($B67,'Ppto-Mes'!$B$8:$AW$68,H$1,0)</f>
        <v>-3310859</v>
      </c>
      <c r="I67" s="175">
        <f t="shared" si="2"/>
        <v>-163357595.74335</v>
      </c>
      <c r="J67" s="376">
        <f t="shared" si="7"/>
        <v>7870404.2566500008</v>
      </c>
      <c r="K67" s="175">
        <f>VLOOKUP($B67,'Ppto-Mes'!$B$8:$AW$68,K$1,0)</f>
        <v>0</v>
      </c>
      <c r="L67" s="175">
        <f>-VLOOKUP($B67,'Ppto-Mes'!$B$8:$AW$68,L$1,0)</f>
        <v>0</v>
      </c>
      <c r="M67" s="376">
        <f t="shared" si="3"/>
        <v>7870404.2566500008</v>
      </c>
      <c r="N67" s="175">
        <f>-VLOOKUP($B67,'Ppto-Mes'!$B$8:$AW$68,N$1,0)</f>
        <v>0</v>
      </c>
      <c r="O67" s="376">
        <f t="shared" si="4"/>
        <v>7870404.2566500008</v>
      </c>
      <c r="P67" s="175">
        <f>IF($C67=C66,-VLOOKUP($B67,'Ppto-Mes'!$B$8:$AW$68,P$1,0)-SUMIF($C$6:$C66,$C67,$P$6:$P66),-VLOOKUP($B67,'Ppto-Mes'!$B$8:$AW$68,P$1,0))</f>
        <v>-2184000</v>
      </c>
      <c r="Q67" s="376">
        <f t="shared" si="4"/>
        <v>5686404.2566500008</v>
      </c>
      <c r="R67" s="359">
        <f>SUMIF($C$7:$C67,$C67,$Q$7:$Q67)</f>
        <v>63791744.07980001</v>
      </c>
      <c r="S67" s="175">
        <f>IF($C67=C66,VLOOKUP($B67,'Ppto-Mes'!$B$8:$AW$68,S$1,0)-SUMIF($C$6:$C66,$C67,$S$6:$S66),VLOOKUP($B67,'Ppto-Mes'!$B$8:$AW$68,S$1,0))</f>
        <v>5686404.2566500008</v>
      </c>
      <c r="T67" s="175">
        <f t="shared" si="5"/>
        <v>0</v>
      </c>
      <c r="U67" s="320">
        <f>VLOOKUP($B67,'Ppto-Mes'!$B$8:$AW$68,U$1,0)</f>
        <v>0.1875</v>
      </c>
      <c r="V67" s="320">
        <f>VLOOKUP($B67,'Ppto-Mes'!$B$8:$AW$68,V$1,0)</f>
        <v>0.09</v>
      </c>
      <c r="W67" s="175">
        <f t="shared" si="8"/>
        <v>2185000</v>
      </c>
      <c r="X67" s="175">
        <f t="shared" si="6"/>
        <v>1000</v>
      </c>
      <c r="Y67" s="175">
        <f t="shared" si="9"/>
        <v>5686404.2566500008</v>
      </c>
    </row>
    <row r="68" spans="1:25" x14ac:dyDescent="0.35">
      <c r="B68" s="172"/>
      <c r="C68" s="172"/>
    </row>
    <row r="69" spans="1:25" x14ac:dyDescent="0.35">
      <c r="B69" s="172"/>
      <c r="C69" s="172"/>
      <c r="D69" s="245">
        <f t="shared" ref="D69:T69" si="10">SUM(D7:D67)</f>
        <v>8261952000</v>
      </c>
      <c r="E69" s="245">
        <f t="shared" si="10"/>
        <v>-7711459559.8581009</v>
      </c>
      <c r="F69" s="245">
        <f t="shared" si="10"/>
        <v>62932425</v>
      </c>
      <c r="G69" s="245">
        <f t="shared" si="10"/>
        <v>-71794704</v>
      </c>
      <c r="H69" s="245">
        <f t="shared" ref="H69" si="11">SUM(H7:H67)</f>
        <v>-179047161</v>
      </c>
      <c r="I69" s="245">
        <f t="shared" si="10"/>
        <v>-7899368999.8581009</v>
      </c>
      <c r="J69" s="399">
        <f t="shared" si="10"/>
        <v>362583000.14189923</v>
      </c>
      <c r="K69" s="245">
        <f t="shared" si="10"/>
        <v>1249107</v>
      </c>
      <c r="L69" s="245">
        <f t="shared" si="10"/>
        <v>0</v>
      </c>
      <c r="M69" s="399">
        <f t="shared" si="10"/>
        <v>363832107.14189923</v>
      </c>
      <c r="N69" s="245">
        <f t="shared" si="10"/>
        <v>-67295101</v>
      </c>
      <c r="O69" s="399">
        <f t="shared" si="10"/>
        <v>296537006.14189935</v>
      </c>
      <c r="P69" s="245">
        <f t="shared" si="10"/>
        <v>-57387000</v>
      </c>
      <c r="Q69" s="399">
        <f t="shared" si="10"/>
        <v>239150006.14189941</v>
      </c>
      <c r="R69" s="245">
        <f>SUM(R7:R67)</f>
        <v>1535745801.4223456</v>
      </c>
      <c r="S69" s="245">
        <f t="shared" si="10"/>
        <v>239150006.14189941</v>
      </c>
      <c r="T69" s="245">
        <f t="shared" si="10"/>
        <v>0</v>
      </c>
      <c r="U69" s="245"/>
      <c r="V69" s="245"/>
      <c r="W69" s="245">
        <f>SUM(W7:W67)</f>
        <v>57409000</v>
      </c>
      <c r="Y69" s="399">
        <f t="shared" ref="Y69" si="12">SUM(Y7:Y67)</f>
        <v>189150006.14189941</v>
      </c>
    </row>
    <row r="70" spans="1:25" x14ac:dyDescent="0.35">
      <c r="B70" s="172"/>
      <c r="C70" s="172"/>
      <c r="Y70" s="10">
        <f>IRR(Y7:Y67)</f>
        <v>5.4093891307462671E-2</v>
      </c>
    </row>
    <row r="71" spans="1:25" x14ac:dyDescent="0.35">
      <c r="B71" s="172"/>
      <c r="C71" s="172"/>
    </row>
    <row r="72" spans="1:25" x14ac:dyDescent="0.35">
      <c r="B72" s="172"/>
      <c r="C72" s="172"/>
    </row>
    <row r="73" spans="1:25" x14ac:dyDescent="0.35">
      <c r="B73" s="172"/>
      <c r="C73" s="172"/>
    </row>
    <row r="74" spans="1:25" x14ac:dyDescent="0.35">
      <c r="B74" s="172"/>
      <c r="C74" s="172"/>
    </row>
    <row r="75" spans="1:25" x14ac:dyDescent="0.35">
      <c r="B75" s="172"/>
      <c r="C75" s="172"/>
    </row>
    <row r="76" spans="1:25" x14ac:dyDescent="0.35">
      <c r="B76" s="172"/>
      <c r="C76" s="172"/>
    </row>
    <row r="77" spans="1:25" x14ac:dyDescent="0.35">
      <c r="B77" s="172"/>
      <c r="C77" s="172"/>
    </row>
    <row r="78" spans="1:25" x14ac:dyDescent="0.35">
      <c r="B78" s="172"/>
      <c r="C78" s="172"/>
    </row>
    <row r="79" spans="1:25" x14ac:dyDescent="0.35">
      <c r="B79" s="172"/>
      <c r="C79" s="172"/>
    </row>
    <row r="80" spans="1:25" x14ac:dyDescent="0.35">
      <c r="B80" s="172"/>
      <c r="C80" s="172"/>
    </row>
    <row r="81" spans="2:3" x14ac:dyDescent="0.35">
      <c r="B81" s="172"/>
      <c r="C81" s="172"/>
    </row>
  </sheetData>
  <mergeCells count="16">
    <mergeCell ref="X4:X5"/>
    <mergeCell ref="R4:R5"/>
    <mergeCell ref="D4:D5"/>
    <mergeCell ref="J4:J5"/>
    <mergeCell ref="E4:E5"/>
    <mergeCell ref="F4:F5"/>
    <mergeCell ref="G4:G5"/>
    <mergeCell ref="H4:H5"/>
    <mergeCell ref="U4:U5"/>
    <mergeCell ref="V4:V5"/>
    <mergeCell ref="W4:W5"/>
    <mergeCell ref="M4:M5"/>
    <mergeCell ref="O4:O5"/>
    <mergeCell ref="Q4:Q5"/>
    <mergeCell ref="S4:S5"/>
    <mergeCell ref="T4:T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Y17"/>
  <sheetViews>
    <sheetView showGridLines="0" workbookViewId="0">
      <pane xSplit="2" ySplit="7" topLeftCell="C8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2" x14ac:dyDescent="0.35"/>
  <cols>
    <col min="1" max="1" width="2.81640625" bestFit="1" customWidth="1"/>
    <col min="2" max="2" width="31.1796875" bestFit="1" customWidth="1"/>
    <col min="3" max="3" width="0" hidden="1" customWidth="1" outlineLevel="1"/>
    <col min="4" max="4" width="12.90625" bestFit="1" customWidth="1" collapsed="1"/>
    <col min="5" max="5" width="12.90625" customWidth="1" outlineLevel="1"/>
    <col min="6" max="6" width="12.7265625" customWidth="1" outlineLevel="1"/>
    <col min="7" max="8" width="13.08984375" customWidth="1" outlineLevel="1"/>
    <col min="9" max="10" width="12.81640625" customWidth="1"/>
    <col min="12" max="12" width="12.36328125" bestFit="1" customWidth="1"/>
    <col min="16" max="16" width="11.54296875" bestFit="1" customWidth="1"/>
    <col min="18" max="18" width="12.36328125" hidden="1" customWidth="1" outlineLevel="1"/>
    <col min="19" max="24" width="10.90625" hidden="1" customWidth="1" outlineLevel="2"/>
    <col min="25" max="25" width="10.90625" collapsed="1"/>
  </cols>
  <sheetData>
    <row r="1" spans="1:8" x14ac:dyDescent="0.35">
      <c r="B1" s="172"/>
      <c r="C1" s="172"/>
    </row>
    <row r="2" spans="1:8" x14ac:dyDescent="0.35">
      <c r="B2" s="172"/>
      <c r="C2" s="172"/>
    </row>
    <row r="3" spans="1:8" x14ac:dyDescent="0.35">
      <c r="B3" s="172"/>
      <c r="C3" s="398">
        <v>0</v>
      </c>
      <c r="D3" s="398">
        <v>1</v>
      </c>
      <c r="E3" s="398">
        <v>2</v>
      </c>
      <c r="F3" s="398">
        <v>3</v>
      </c>
      <c r="G3" s="398">
        <v>4</v>
      </c>
      <c r="H3" s="398">
        <v>5</v>
      </c>
    </row>
    <row r="4" spans="1:8" ht="15" thickBot="1" x14ac:dyDescent="0.4">
      <c r="B4" s="172"/>
      <c r="C4" s="398"/>
      <c r="D4" s="398"/>
      <c r="E4" s="398"/>
      <c r="F4" s="398"/>
      <c r="G4" s="398"/>
      <c r="H4" s="398"/>
    </row>
    <row r="5" spans="1:8" ht="19" thickBot="1" x14ac:dyDescent="0.5">
      <c r="B5" s="911" t="s">
        <v>844</v>
      </c>
      <c r="C5" s="912"/>
      <c r="D5" s="912"/>
      <c r="E5" s="912"/>
      <c r="F5" s="912"/>
      <c r="G5" s="912"/>
      <c r="H5" s="913"/>
    </row>
    <row r="6" spans="1:8" ht="15" thickBot="1" x14ac:dyDescent="0.4">
      <c r="B6" s="172"/>
      <c r="C6" s="398"/>
      <c r="D6" s="398"/>
      <c r="E6" s="398"/>
      <c r="F6" s="398"/>
      <c r="G6" s="398"/>
      <c r="H6" s="398"/>
    </row>
    <row r="7" spans="1:8" x14ac:dyDescent="0.35">
      <c r="B7" s="644" t="s">
        <v>609</v>
      </c>
      <c r="C7" s="645">
        <v>42004</v>
      </c>
      <c r="D7" s="645">
        <v>42369</v>
      </c>
      <c r="E7" s="645">
        <v>42735</v>
      </c>
      <c r="F7" s="645">
        <v>43100</v>
      </c>
      <c r="G7" s="645">
        <v>43465</v>
      </c>
      <c r="H7" s="645">
        <v>43830</v>
      </c>
    </row>
    <row r="8" spans="1:8" x14ac:dyDescent="0.35">
      <c r="A8">
        <v>3</v>
      </c>
      <c r="B8" s="734" t="s">
        <v>516</v>
      </c>
      <c r="C8" s="511">
        <f>SUMIF('PyG-Mes'!$C$7:$C$67,YEAR(C$7),'PyG-Mes'!$D$7:$D$67)</f>
        <v>0</v>
      </c>
      <c r="D8" s="511">
        <f>SUMIF('PyG-Mes'!$C$7:$C$67,YEAR(D$7),'PyG-Mes'!$D$7:$D$67)</f>
        <v>1253796000</v>
      </c>
      <c r="E8" s="511">
        <f>SUMIF('PyG-Mes'!$C$7:$C$67,YEAR(E$7),'PyG-Mes'!$D$7:$D$67)</f>
        <v>1432716000</v>
      </c>
      <c r="F8" s="511">
        <f>SUMIF('PyG-Mes'!$C$7:$C$67,YEAR(F$7),'PyG-Mes'!$D$7:$D$67)</f>
        <v>1640616000</v>
      </c>
      <c r="G8" s="511">
        <f>SUMIF('PyG-Mes'!$C$7:$C$67,YEAR(G$7),'PyG-Mes'!$D$7:$D$67)</f>
        <v>1880088000</v>
      </c>
      <c r="H8" s="511">
        <f>SUMIF('PyG-Mes'!$C$7:$C$67,YEAR(H$7),'PyG-Mes'!$D$7:$D$67)</f>
        <v>2054736000</v>
      </c>
    </row>
    <row r="9" spans="1:8" x14ac:dyDescent="0.35">
      <c r="A9">
        <v>8</v>
      </c>
      <c r="B9" s="734" t="s">
        <v>252</v>
      </c>
      <c r="C9" s="511">
        <f>SUMIF('PyG-Mes'!$C$7:$C$67,YEAR(C$7),'PyG-Mes'!$I$7:$I$67)</f>
        <v>0</v>
      </c>
      <c r="D9" s="511">
        <f>SUMIF('PyG-Mes'!$C$7:$C$67,YEAR(D$7),'PyG-Mes'!$I$7:$I$67)</f>
        <v>-1214060184.4794002</v>
      </c>
      <c r="E9" s="511">
        <f>SUMIF('PyG-Mes'!$C$7:$C$67,YEAR(E$7),'PyG-Mes'!$I$7:$I$67)</f>
        <v>-1367950330.3656003</v>
      </c>
      <c r="F9" s="511">
        <f>SUMIF('PyG-Mes'!$C$7:$C$67,YEAR(F$7),'PyG-Mes'!$I$7:$I$67)</f>
        <v>-1569192337.2464998</v>
      </c>
      <c r="G9" s="511">
        <f>SUMIF('PyG-Mes'!$C$7:$C$67,YEAR(G$7),'PyG-Mes'!$I$7:$I$67)</f>
        <v>-1788274471.8464003</v>
      </c>
      <c r="H9" s="511">
        <f>SUMIF('PyG-Mes'!$C$7:$C$67,YEAR(H$7),'PyG-Mes'!$I$7:$I$67)</f>
        <v>-1959891675.9202001</v>
      </c>
    </row>
    <row r="10" spans="1:8" x14ac:dyDescent="0.35">
      <c r="B10" s="1125" t="s">
        <v>518</v>
      </c>
      <c r="C10" s="648">
        <f>SUM(C8:C9)</f>
        <v>0</v>
      </c>
      <c r="D10" s="648">
        <f>SUM(D8:D9)</f>
        <v>39735815.520599842</v>
      </c>
      <c r="E10" s="648">
        <f t="shared" ref="E10:H10" si="0">SUM(E8:E9)</f>
        <v>64765669.634399652</v>
      </c>
      <c r="F10" s="648">
        <f t="shared" si="0"/>
        <v>71423662.753500223</v>
      </c>
      <c r="G10" s="648">
        <f t="shared" si="0"/>
        <v>91813528.153599739</v>
      </c>
      <c r="H10" s="648">
        <f t="shared" si="0"/>
        <v>94844324.079799891</v>
      </c>
    </row>
    <row r="11" spans="1:8" x14ac:dyDescent="0.35">
      <c r="A11">
        <v>11</v>
      </c>
      <c r="B11" s="734" t="s">
        <v>592</v>
      </c>
      <c r="C11" s="511">
        <f>SUMIF('PyG-Mes'!$C$7:$C$67,YEAR(C$7),'PyG-Mes'!$K$7:$K$67)</f>
        <v>0</v>
      </c>
      <c r="D11" s="511">
        <f>SUMIF('PyG-Mes'!$C$7:$C$67,YEAR(D$7),'PyG-Mes'!$K$7:$K$67)</f>
        <v>1095400</v>
      </c>
      <c r="E11" s="511">
        <f>SUMIF('PyG-Mes'!$C$7:$C$67,YEAR(E$7),'PyG-Mes'!$K$7:$K$67)</f>
        <v>153707</v>
      </c>
      <c r="F11" s="511">
        <f>SUMIF('PyG-Mes'!$C$7:$C$67,YEAR(F$7),'PyG-Mes'!$K$7:$K$67)</f>
        <v>0</v>
      </c>
      <c r="G11" s="511">
        <f>SUMIF('PyG-Mes'!$C$7:$C$67,YEAR(G$7),'PyG-Mes'!$K$7:$K$67)</f>
        <v>0</v>
      </c>
      <c r="H11" s="511">
        <f>SUMIF('PyG-Mes'!$C$7:$C$67,YEAR(H$7),'PyG-Mes'!$K$7:$K$67)</f>
        <v>0</v>
      </c>
    </row>
    <row r="12" spans="1:8" x14ac:dyDescent="0.35">
      <c r="A12">
        <v>12</v>
      </c>
      <c r="B12" s="734" t="s">
        <v>593</v>
      </c>
      <c r="C12" s="511">
        <f>SUMIF('PyG-Mes'!$C$7:$C$67,YEAR(C$7),'PyG-Mes'!$L$7:$L$67)</f>
        <v>0</v>
      </c>
      <c r="D12" s="511">
        <f>SUMIF('PyG-Mes'!$C$7:$C$67,YEAR(D$7),'PyG-Mes'!$L$7:$L$67)</f>
        <v>0</v>
      </c>
      <c r="E12" s="511">
        <f>SUMIF('PyG-Mes'!$C$7:$C$67,YEAR(E$7),'PyG-Mes'!$L$7:$L$67)</f>
        <v>0</v>
      </c>
      <c r="F12" s="511">
        <f>SUMIF('PyG-Mes'!$C$7:$C$67,YEAR(F$7),'PyG-Mes'!$L$7:$L$67)</f>
        <v>0</v>
      </c>
      <c r="G12" s="511">
        <f>SUMIF('PyG-Mes'!$C$7:$C$67,YEAR(G$7),'PyG-Mes'!$L$7:$L$67)</f>
        <v>0</v>
      </c>
      <c r="H12" s="511">
        <f>SUMIF('PyG-Mes'!$C$7:$C$67,YEAR(H$7),'PyG-Mes'!$L$7:$L$67)</f>
        <v>0</v>
      </c>
    </row>
    <row r="13" spans="1:8" x14ac:dyDescent="0.35">
      <c r="A13">
        <v>13</v>
      </c>
      <c r="B13" s="1125" t="s">
        <v>594</v>
      </c>
      <c r="C13" s="648">
        <f>SUM(C10:C12)</f>
        <v>0</v>
      </c>
      <c r="D13" s="648">
        <f>SUM(D10:D12)</f>
        <v>40831215.520599842</v>
      </c>
      <c r="E13" s="648">
        <f t="shared" ref="E13:H13" si="1">SUM(E10:E12)</f>
        <v>64919376.634399652</v>
      </c>
      <c r="F13" s="648">
        <f t="shared" si="1"/>
        <v>71423662.753500223</v>
      </c>
      <c r="G13" s="648">
        <f t="shared" si="1"/>
        <v>91813528.153599739</v>
      </c>
      <c r="H13" s="648">
        <f t="shared" si="1"/>
        <v>94844324.079799891</v>
      </c>
    </row>
    <row r="14" spans="1:8" x14ac:dyDescent="0.35">
      <c r="A14">
        <v>14</v>
      </c>
      <c r="B14" s="734" t="s">
        <v>187</v>
      </c>
      <c r="C14" s="511">
        <f>SUMIF('PyG-Mes'!$C$7:$C$67,YEAR(C$7),'PyG-Mes'!$N$7:$N$67)</f>
        <v>0</v>
      </c>
      <c r="D14" s="511">
        <f>SUMIF('PyG-Mes'!$C$7:$C$67,YEAR(D$7),'PyG-Mes'!$N$7:$N$67)</f>
        <v>-21777569</v>
      </c>
      <c r="E14" s="511">
        <f>SUMIF('PyG-Mes'!$C$7:$C$67,YEAR(E$7),'PyG-Mes'!$N$7:$N$67)</f>
        <v>-17895649</v>
      </c>
      <c r="F14" s="511">
        <f>SUMIF('PyG-Mes'!$C$7:$C$67,YEAR(F$7),'PyG-Mes'!$N$7:$N$67)</f>
        <v>-13309243</v>
      </c>
      <c r="G14" s="511">
        <f>SUMIF('PyG-Mes'!$C$7:$C$67,YEAR(G$7),'PyG-Mes'!$N$7:$N$67)</f>
        <v>-7763060</v>
      </c>
      <c r="H14" s="511">
        <f>SUMIF('PyG-Mes'!$C$7:$C$67,YEAR(H$7),'PyG-Mes'!$N$7:$N$67)</f>
        <v>-6549580</v>
      </c>
    </row>
    <row r="15" spans="1:8" x14ac:dyDescent="0.35">
      <c r="A15">
        <v>15</v>
      </c>
      <c r="B15" s="1125" t="s">
        <v>624</v>
      </c>
      <c r="C15" s="648">
        <f>SUM(C13:C14)</f>
        <v>0</v>
      </c>
      <c r="D15" s="648">
        <f>SUM(D13:D14)</f>
        <v>19053646.520599842</v>
      </c>
      <c r="E15" s="648">
        <f t="shared" ref="E15:H15" si="2">SUM(E13:E14)</f>
        <v>47023727.634399652</v>
      </c>
      <c r="F15" s="648">
        <f t="shared" si="2"/>
        <v>58114419.753500223</v>
      </c>
      <c r="G15" s="648">
        <f t="shared" si="2"/>
        <v>84050468.153599739</v>
      </c>
      <c r="H15" s="648">
        <f t="shared" si="2"/>
        <v>88294744.079799891</v>
      </c>
    </row>
    <row r="16" spans="1:8" x14ac:dyDescent="0.35">
      <c r="A16">
        <v>16</v>
      </c>
      <c r="B16" s="734" t="s">
        <v>595</v>
      </c>
      <c r="C16" s="511">
        <f>SUMIF('PyG-Mes'!$C$7:$C$67,YEAR(C$7),'PyG-Mes'!$P$7:$P$67)</f>
        <v>0</v>
      </c>
      <c r="D16" s="511">
        <f>SUMIF('PyG-Mes'!$C$7:$C$67,YEAR(D$7),'PyG-Mes'!$P$7:$P$67)</f>
        <v>-1715000</v>
      </c>
      <c r="E16" s="511">
        <f>SUMIF('PyG-Mes'!$C$7:$C$67,YEAR(E$7),'PyG-Mes'!$P$7:$P$67)</f>
        <v>-4233000</v>
      </c>
      <c r="F16" s="511">
        <f>SUMIF('PyG-Mes'!$C$7:$C$67,YEAR(F$7),'PyG-Mes'!$P$7:$P$67)</f>
        <v>-8864000</v>
      </c>
      <c r="G16" s="511">
        <f>SUMIF('PyG-Mes'!$C$7:$C$67,YEAR(G$7),'PyG-Mes'!$P$7:$P$67)</f>
        <v>-18072000</v>
      </c>
      <c r="H16" s="511">
        <f>SUMIF('PyG-Mes'!$C$7:$C$67,YEAR(H$7),'PyG-Mes'!$P$7:$P$67)</f>
        <v>-24503000</v>
      </c>
    </row>
    <row r="17" spans="1:8" ht="15" thickBot="1" x14ac:dyDescent="0.4">
      <c r="A17">
        <v>17</v>
      </c>
      <c r="B17" s="1126" t="s">
        <v>596</v>
      </c>
      <c r="C17" s="1127">
        <f>SUM(C15:C16)</f>
        <v>0</v>
      </c>
      <c r="D17" s="1127">
        <f>SUM(D15:D16)</f>
        <v>17338646.520599842</v>
      </c>
      <c r="E17" s="1127">
        <f t="shared" ref="E17:H17" si="3">SUM(E15:E16)</f>
        <v>42790727.634399652</v>
      </c>
      <c r="F17" s="1127">
        <f t="shared" si="3"/>
        <v>49250419.753500223</v>
      </c>
      <c r="G17" s="1127">
        <f t="shared" si="3"/>
        <v>65978468.153599739</v>
      </c>
      <c r="H17" s="1127">
        <f t="shared" si="3"/>
        <v>63791744.079799891</v>
      </c>
    </row>
  </sheetData>
  <mergeCells count="1">
    <mergeCell ref="B5:H5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I78"/>
  <sheetViews>
    <sheetView workbookViewId="0">
      <pane xSplit="3" ySplit="7" topLeftCell="D8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3" max="4" width="11.1796875" bestFit="1" customWidth="1"/>
    <col min="5" max="14" width="11.6328125" customWidth="1"/>
    <col min="15" max="15" width="12.1796875" bestFit="1" customWidth="1"/>
    <col min="16" max="16" width="11.1796875" customWidth="1"/>
    <col min="17" max="17" width="12.1796875" bestFit="1" customWidth="1"/>
    <col min="18" max="23" width="11.1796875" customWidth="1"/>
    <col min="24" max="24" width="12.36328125" bestFit="1" customWidth="1"/>
    <col min="27" max="27" width="12.36328125" bestFit="1" customWidth="1"/>
    <col min="32" max="32" width="11.54296875" bestFit="1" customWidth="1"/>
  </cols>
  <sheetData>
    <row r="1" spans="1:35" x14ac:dyDescent="0.35">
      <c r="A1" s="1"/>
      <c r="B1" s="185"/>
      <c r="C1" s="185"/>
      <c r="F1" s="299">
        <f>Variables!$B$19</f>
        <v>1</v>
      </c>
      <c r="G1" s="241" t="str">
        <f>IF(F1=0,"Contado","Meses")</f>
        <v>Meses</v>
      </c>
      <c r="H1" s="1">
        <v>28</v>
      </c>
      <c r="I1" s="1">
        <f>H1+1</f>
        <v>29</v>
      </c>
      <c r="K1" s="1">
        <v>31</v>
      </c>
      <c r="L1" s="1">
        <f>K1+1</f>
        <v>32</v>
      </c>
      <c r="V1" s="299">
        <f>Variables!$B$20</f>
        <v>0</v>
      </c>
      <c r="W1" s="241" t="str">
        <f>IF(V1=0,"Contado","Meses")</f>
        <v>Contado</v>
      </c>
    </row>
    <row r="2" spans="1:35" x14ac:dyDescent="0.35">
      <c r="A2" s="1"/>
      <c r="B2" s="185"/>
      <c r="C2" s="185"/>
      <c r="D2" s="1">
        <v>30</v>
      </c>
      <c r="E2" s="1">
        <v>5</v>
      </c>
      <c r="F2" s="1">
        <v>11</v>
      </c>
      <c r="G2" s="1">
        <v>24</v>
      </c>
      <c r="H2" s="1">
        <v>61</v>
      </c>
      <c r="I2" s="1">
        <f>H2+1</f>
        <v>62</v>
      </c>
      <c r="K2" s="1">
        <v>64</v>
      </c>
      <c r="L2" s="1">
        <f>K2+1</f>
        <v>65</v>
      </c>
      <c r="P2" s="1">
        <f>D2</f>
        <v>30</v>
      </c>
      <c r="Q2" s="1">
        <v>15</v>
      </c>
      <c r="R2" s="1">
        <v>15</v>
      </c>
      <c r="S2" s="1">
        <v>15</v>
      </c>
      <c r="T2">
        <v>49</v>
      </c>
      <c r="U2">
        <v>34</v>
      </c>
      <c r="V2">
        <v>2</v>
      </c>
      <c r="Y2" s="1">
        <v>48</v>
      </c>
      <c r="Z2" s="1">
        <v>48</v>
      </c>
    </row>
    <row r="4" spans="1:35" ht="14.5" customHeight="1" x14ac:dyDescent="0.35">
      <c r="A4" s="179" t="s">
        <v>179</v>
      </c>
      <c r="B4" s="180" t="s">
        <v>190</v>
      </c>
      <c r="C4" s="180" t="s">
        <v>71</v>
      </c>
      <c r="D4" s="922" t="s">
        <v>536</v>
      </c>
      <c r="E4" s="922"/>
      <c r="F4" s="923"/>
      <c r="G4" s="923"/>
      <c r="H4" s="923"/>
      <c r="I4" s="923"/>
      <c r="J4" s="923"/>
      <c r="K4" s="923"/>
      <c r="L4" s="923"/>
      <c r="M4" s="923"/>
      <c r="N4" s="923"/>
      <c r="O4" s="922"/>
      <c r="P4" s="915" t="s">
        <v>567</v>
      </c>
      <c r="Q4" s="915"/>
      <c r="R4" s="915"/>
      <c r="S4" s="915"/>
      <c r="T4" s="915"/>
      <c r="U4" s="915"/>
      <c r="V4" s="915"/>
      <c r="W4" s="915"/>
      <c r="X4" s="932" t="s">
        <v>568</v>
      </c>
      <c r="Y4" s="933"/>
      <c r="Z4" s="933"/>
      <c r="AA4" s="933"/>
      <c r="AB4" s="934"/>
      <c r="AC4" s="916" t="s">
        <v>572</v>
      </c>
      <c r="AD4" s="919" t="s">
        <v>77</v>
      </c>
      <c r="AF4" s="882" t="s">
        <v>616</v>
      </c>
      <c r="AG4" s="882" t="s">
        <v>617</v>
      </c>
      <c r="AH4" s="882" t="s">
        <v>618</v>
      </c>
      <c r="AI4" s="882" t="s">
        <v>809</v>
      </c>
    </row>
    <row r="5" spans="1:35" ht="13.5" customHeight="1" x14ac:dyDescent="0.35">
      <c r="A5" s="181"/>
      <c r="B5" s="1" t="s">
        <v>57</v>
      </c>
      <c r="C5" s="181"/>
      <c r="D5" s="899" t="s">
        <v>534</v>
      </c>
      <c r="E5" s="899" t="s">
        <v>535</v>
      </c>
      <c r="F5" s="899" t="s">
        <v>537</v>
      </c>
      <c r="G5" s="903" t="s">
        <v>543</v>
      </c>
      <c r="H5" s="929" t="s">
        <v>538</v>
      </c>
      <c r="I5" s="930"/>
      <c r="J5" s="931"/>
      <c r="K5" s="929" t="s">
        <v>542</v>
      </c>
      <c r="L5" s="930"/>
      <c r="M5" s="931"/>
      <c r="N5" s="903" t="s">
        <v>543</v>
      </c>
      <c r="O5" s="926" t="s">
        <v>560</v>
      </c>
      <c r="P5" s="928" t="s">
        <v>209</v>
      </c>
      <c r="Q5" s="928"/>
      <c r="R5" s="928"/>
      <c r="S5" s="928"/>
      <c r="T5" s="886" t="s">
        <v>566</v>
      </c>
      <c r="U5" s="887"/>
      <c r="V5" s="924"/>
      <c r="W5" s="925" t="s">
        <v>574</v>
      </c>
      <c r="X5" s="899" t="s">
        <v>155</v>
      </c>
      <c r="Y5" s="899" t="s">
        <v>569</v>
      </c>
      <c r="Z5" s="899" t="s">
        <v>570</v>
      </c>
      <c r="AA5" s="899" t="s">
        <v>571</v>
      </c>
      <c r="AB5" s="935" t="s">
        <v>573</v>
      </c>
      <c r="AC5" s="917"/>
      <c r="AD5" s="920"/>
      <c r="AF5" s="914"/>
      <c r="AG5" s="914"/>
      <c r="AH5" s="914"/>
      <c r="AI5" s="914"/>
    </row>
    <row r="6" spans="1:35" ht="29" x14ac:dyDescent="0.35">
      <c r="A6" s="181"/>
      <c r="B6" s="181"/>
      <c r="C6" s="330"/>
      <c r="D6" s="900"/>
      <c r="E6" s="900"/>
      <c r="F6" s="900"/>
      <c r="G6" s="904"/>
      <c r="H6" s="350" t="s">
        <v>539</v>
      </c>
      <c r="I6" s="350" t="s">
        <v>540</v>
      </c>
      <c r="J6" s="350" t="s">
        <v>541</v>
      </c>
      <c r="K6" s="350" t="s">
        <v>539</v>
      </c>
      <c r="L6" s="350" t="s">
        <v>540</v>
      </c>
      <c r="M6" s="350" t="s">
        <v>541</v>
      </c>
      <c r="N6" s="904"/>
      <c r="O6" s="927"/>
      <c r="P6" s="350" t="s">
        <v>549</v>
      </c>
      <c r="Q6" s="350" t="s">
        <v>407</v>
      </c>
      <c r="R6" s="350" t="s">
        <v>561</v>
      </c>
      <c r="S6" s="350" t="s">
        <v>507</v>
      </c>
      <c r="T6" s="350" t="s">
        <v>562</v>
      </c>
      <c r="U6" s="379" t="s">
        <v>230</v>
      </c>
      <c r="V6" s="350" t="s">
        <v>819</v>
      </c>
      <c r="W6" s="925"/>
      <c r="X6" s="900"/>
      <c r="Y6" s="900"/>
      <c r="Z6" s="900"/>
      <c r="AA6" s="900"/>
      <c r="AB6" s="936"/>
      <c r="AC6" s="918"/>
      <c r="AD6" s="921"/>
      <c r="AF6" s="883"/>
      <c r="AG6" s="883"/>
      <c r="AH6" s="883"/>
      <c r="AI6" s="883"/>
    </row>
    <row r="7" spans="1:35" x14ac:dyDescent="0.35">
      <c r="A7" s="181"/>
      <c r="B7" s="312"/>
      <c r="C7" s="41"/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3"/>
      <c r="V7" s="313"/>
      <c r="W7" s="313"/>
      <c r="X7" s="314"/>
      <c r="Y7" s="352"/>
      <c r="Z7" s="314"/>
      <c r="AA7" s="352"/>
      <c r="AB7" s="370"/>
      <c r="AC7" s="370"/>
    </row>
    <row r="8" spans="1:35" x14ac:dyDescent="0.35">
      <c r="A8" s="318">
        <v>0</v>
      </c>
      <c r="B8" s="319">
        <v>42004</v>
      </c>
      <c r="C8" s="331">
        <f>YEAR(B8)</f>
        <v>2014</v>
      </c>
      <c r="D8" s="178">
        <f>IF(VLOOKUP($B8,'Ppto-Mes'!$B$8:$AX$68,D$2,0)&gt;0,VLOOKUP($B8,'Ppto-Mes'!$B$8:$AX$68,D$2,0),0)</f>
        <v>194000000</v>
      </c>
      <c r="E8" s="175">
        <f>IFERROR(VLOOKUP($B8,'Inv Temp'!$B$7:$I$67,E$2,0),0)</f>
        <v>0</v>
      </c>
      <c r="F8" s="175">
        <f>IF($F$1=0,0,IF($F$1=1,IFERROR(HLOOKUP(YEAR($B8),'Ing Proyect'!$B$6:$G$12,6,0),0),IFERROR(HLOOKUP(YEAR($B7),'Ing Proyect'!$B$6:$G$12,6,0),0)+IFERROR(HLOOKUP(YEAR($B8),'Ing Proyect'!$B$6:$G$12,6,0),0)))</f>
        <v>0</v>
      </c>
      <c r="G8" s="376">
        <f>SUM(D8:F8)</f>
        <v>194000000</v>
      </c>
      <c r="H8" s="175">
        <f>IFERROR(VLOOKUP($B8,'Amort Inv Inic'!$B$7:$AN$67,H$1,0),0)+IFERROR(VLOOKUP($B8,'Amort Inv Adic'!$B$7:$BU$67,H$2,0),0)</f>
        <v>34400000</v>
      </c>
      <c r="I8" s="175">
        <f>IFERROR(VLOOKUP($B8,'Amort Inv Inic'!$B$7:$AN$67,I$1,0),0)+IFERROR(VLOOKUP($B8,'Amort Inv Adic'!$B$7:$BU$67,I$2,0),0)</f>
        <v>0</v>
      </c>
      <c r="J8" s="175">
        <f>H8-I8</f>
        <v>34400000</v>
      </c>
      <c r="K8" s="175">
        <f>IFERROR(VLOOKUP($B8,'Amort Inv Inic'!$B$7:$AN$67,K$1,0),0)+IFERROR(VLOOKUP($B8,'Amort Inv Adic'!$B$7:$BU$67,K$2,0),0)</f>
        <v>36250000</v>
      </c>
      <c r="L8" s="175">
        <f>IFERROR(VLOOKUP($B8,'Amort Inv Inic'!$B$7:$AN$67,L$1,0),0)+IFERROR(VLOOKUP($B8,'Amort Inv Adic'!$B$7:$BU$67,L$2,0),0)</f>
        <v>0</v>
      </c>
      <c r="M8" s="175">
        <f>K8-L8</f>
        <v>36250000</v>
      </c>
      <c r="N8" s="377">
        <f>J8+M8</f>
        <v>70650000</v>
      </c>
      <c r="O8" s="378">
        <f>G8+N8</f>
        <v>264650000</v>
      </c>
      <c r="P8" s="178">
        <f>IF(VLOOKUP($B8,'Ppto-Mes'!$B$8:$AX$68,P$2,0)&lt;0,-VLOOKUP($B8,'Ppto-Mes'!$B$8:$AX$68,P$2,0),0)</f>
        <v>0</v>
      </c>
      <c r="Q8" s="175">
        <f>VLOOKUP($B8,'Financ 1'!$B$15:$P$75,Q$2,0)</f>
        <v>214650000</v>
      </c>
      <c r="R8" s="175">
        <f>VLOOKUP($B8,'Financ 2'!$B$15:$P$75,R$2,0)</f>
        <v>0</v>
      </c>
      <c r="S8" s="175">
        <f>VLOOKUP($B8,'Financ 3'!$B$15:$P$75,S$2,0)</f>
        <v>0</v>
      </c>
      <c r="T8" s="178">
        <f>VLOOKUP($B8,'Ppto-Mes'!$B$8:$AX$68,T$2,0)</f>
        <v>0</v>
      </c>
      <c r="U8" s="175">
        <f>VLOOKUP($B8,'Gtos Consultores'!$B$9:$AI$69,U$2,0)</f>
        <v>0</v>
      </c>
      <c r="V8" s="175">
        <f>IF($V$1=0,0,IF($V$1=1,IFERROR(HLOOKUP(YEAR($B8),'Gastos Proyect'!$B$4:$F$17,14,0),0),IFERROR(HLOOKUP(YEAR($B7),'Gastos Proyect'!$B$4:$F$17,14,0),0)+IFERROR(HLOOKUP(YEAR($B8),'Gastos Proyect'!$B$4:$F$17,14,0),0)))</f>
        <v>0</v>
      </c>
      <c r="W8" s="377">
        <f t="shared" ref="W8:W39" si="0">SUM(P8:V8)</f>
        <v>214650000</v>
      </c>
      <c r="X8" s="175">
        <f>'Inv Inicial'!$D$21</f>
        <v>50000000</v>
      </c>
      <c r="Y8" s="178">
        <f>IF(MONTH($B8)=12,IF(Y7+ROUND(VLOOKUP($B8,'Ppto-Mes'!$B$8:$AX$68,Y$2,0)*10%,-3)&lt;=50%*X7,Y7+ROUND(VLOOKUP($B8,'Ppto-Mes'!$B$8:$AX$68,Y$2,0)*10%,-3),50%*X7),Y7)</f>
        <v>0</v>
      </c>
      <c r="Z8" s="178">
        <f>VLOOKUP($B8,'Ppto-Mes'!$B$8:$AX$68,Z$2,0)-(Y8-Y7)</f>
        <v>0</v>
      </c>
      <c r="AA8" s="175">
        <f t="shared" ref="AA8:AA39" si="1">IF(MONTH(B8)=1,AA7+Z7,AA7)</f>
        <v>0</v>
      </c>
      <c r="AB8" s="376">
        <f>SUM(X8:AA8)</f>
        <v>50000000</v>
      </c>
      <c r="AC8" s="378">
        <f>W8+AB8</f>
        <v>264650000</v>
      </c>
      <c r="AD8" s="175">
        <f t="shared" ref="AD8:AD39" si="2">O8-AC8</f>
        <v>0</v>
      </c>
      <c r="AF8" s="175">
        <v>0</v>
      </c>
      <c r="AG8" s="175">
        <v>0</v>
      </c>
      <c r="AH8" s="175">
        <v>0</v>
      </c>
      <c r="AI8" s="175">
        <v>0</v>
      </c>
    </row>
    <row r="9" spans="1:35" x14ac:dyDescent="0.35">
      <c r="A9" s="18">
        <v>1</v>
      </c>
      <c r="B9" s="184">
        <v>42035</v>
      </c>
      <c r="C9" s="331">
        <f t="shared" ref="C9:C68" si="3">YEAR(B9)</f>
        <v>2015</v>
      </c>
      <c r="D9" s="178">
        <f>IF(VLOOKUP($B9,'Ppto-Mes'!$B$8:$AX$68,D$2,0)&gt;0,VLOOKUP($B9,'Ppto-Mes'!$B$8:$AX$68,D$2,0),0)</f>
        <v>97788795.960049987</v>
      </c>
      <c r="E9" s="175">
        <f>IFERROR(VLOOKUP($B9,'Inv Temp'!$B$7:$I$67,E$2,0),0)</f>
        <v>0</v>
      </c>
      <c r="F9" s="175">
        <f>IF($F$1=0,0,IF($F$1=1,IFERROR(HLOOKUP(YEAR($B9),'Ing Proyect'!$B$6:$G$12,6,0),0),IFERROR(HLOOKUP(YEAR($B8),'Ing Proyect'!$B$6:$G$12,6,0),0)+IFERROR(HLOOKUP(YEAR($B9),'Ing Proyect'!$B$6:$G$12,6,0),0)))</f>
        <v>104483000</v>
      </c>
      <c r="G9" s="376">
        <f t="shared" ref="G9:G68" si="4">SUM(D9:F9)</f>
        <v>202271795.96004999</v>
      </c>
      <c r="H9" s="175">
        <f>IFERROR(VLOOKUP($B9,'Amort Inv Inic'!$B$7:$AN$67,H$1,0),0)+IFERROR(VLOOKUP($B9,'Amort Inv Adic'!$B$7:$BU$67,H$2,0),0)</f>
        <v>34400000</v>
      </c>
      <c r="I9" s="175">
        <f>IFERROR(VLOOKUP($B9,'Amort Inv Inic'!$B$7:$AN$67,I$1,0),0)+IFERROR(VLOOKUP($B9,'Amort Inv Adic'!$B$7:$BU$67,I$2,0),0)</f>
        <v>1249305</v>
      </c>
      <c r="J9" s="175">
        <f t="shared" ref="J9:J68" si="5">H9-I9</f>
        <v>33150695</v>
      </c>
      <c r="K9" s="175">
        <f>IFERROR(VLOOKUP($B9,'Amort Inv Inic'!$B$7:$AN$67,K$1,0),0)+IFERROR(VLOOKUP($B9,'Amort Inv Adic'!$B$7:$BU$67,K$2,0),0)</f>
        <v>36250000</v>
      </c>
      <c r="L9" s="175">
        <f>IFERROR(VLOOKUP($B9,'Amort Inv Inic'!$B$7:$AN$67,L$1,0),0)+IFERROR(VLOOKUP($B9,'Amort Inv Adic'!$B$7:$BU$67,L$2,0),0)</f>
        <v>1604166</v>
      </c>
      <c r="M9" s="175">
        <f t="shared" ref="M9:M68" si="6">K9-L9</f>
        <v>34645834</v>
      </c>
      <c r="N9" s="377">
        <f t="shared" ref="N9:N68" si="7">J9+M9</f>
        <v>67796529</v>
      </c>
      <c r="O9" s="378">
        <f t="shared" ref="O9:O68" si="8">G9+N9</f>
        <v>270068324.96004999</v>
      </c>
      <c r="P9" s="178">
        <f>IF(VLOOKUP($B9,'Ppto-Mes'!$B$8:$AX$68,P$2,0)&lt;0,-VLOOKUP($B9,'Ppto-Mes'!$B$8:$AX$68,P$2,0),0)</f>
        <v>0</v>
      </c>
      <c r="Q9" s="175">
        <f>VLOOKUP($B9,'Financ 1'!$B$15:$P$75,Q$2,0)</f>
        <v>214650000</v>
      </c>
      <c r="R9" s="175">
        <f>VLOOKUP($B9,'Financ 2'!$B$15:$P$75,R$2,0)</f>
        <v>0</v>
      </c>
      <c r="S9" s="175">
        <f>VLOOKUP($B9,'Financ 3'!$B$15:$P$75,S$2,0)</f>
        <v>2000000</v>
      </c>
      <c r="T9" s="178">
        <f>VLOOKUP($B9,'Ppto-Mes'!$B$8:$AX$68,T$2,0)</f>
        <v>218000</v>
      </c>
      <c r="U9" s="175">
        <f>VLOOKUP($B9,'Gtos Consultores'!$B$9:$AI$69,U$2,0)</f>
        <v>998288</v>
      </c>
      <c r="V9" s="175">
        <f>IF($V$1=0,0,IF($V$1=1,IFERROR(HLOOKUP(YEAR($B9),'Gastos Proyect'!$B$4:$F$17,14,0),0),IFERROR(HLOOKUP(YEAR($B8),'Gastos Proyect'!$B$4:$F$17,14,0),0)+IFERROR(HLOOKUP(YEAR($B9),'Gastos Proyect'!$B$4:$F$17,14,0),0)))</f>
        <v>0</v>
      </c>
      <c r="W9" s="377">
        <f t="shared" si="0"/>
        <v>217866288</v>
      </c>
      <c r="X9" s="175">
        <f>X8</f>
        <v>50000000</v>
      </c>
      <c r="Y9" s="178">
        <f>IF(MONTH($B9)=12,IF(Y8+ROUND(VLOOKUP($B9,'Ppto-Mes'!$B$8:$AX$68,Y$2,0)*10%,-3)&lt;=50%*X8,Y8+ROUND(VLOOKUP($B9,'Ppto-Mes'!$B$8:$AX$68,Y$2,0)*10%,-3),50%*X8),Y8)</f>
        <v>0</v>
      </c>
      <c r="Z9" s="178">
        <f>VLOOKUP($B9,'Ppto-Mes'!$B$8:$AX$68,Z$2,0)-(Y9-Y8)</f>
        <v>2202036.9600499868</v>
      </c>
      <c r="AA9" s="175">
        <f t="shared" si="1"/>
        <v>0</v>
      </c>
      <c r="AB9" s="376">
        <f t="shared" ref="AB9:AB68" si="9">SUM(X9:AA9)</f>
        <v>52202036.960049987</v>
      </c>
      <c r="AC9" s="378">
        <f t="shared" ref="AC9:AC68" si="10">W9+AB9</f>
        <v>270068324.96004999</v>
      </c>
      <c r="AD9" s="175">
        <f t="shared" si="2"/>
        <v>0</v>
      </c>
      <c r="AF9" s="175">
        <f t="shared" ref="AF9:AF40" si="11">D9-D8</f>
        <v>-96211204.039950013</v>
      </c>
      <c r="AG9" s="175">
        <f t="shared" ref="AG9:AG40" si="12">(H9-H8)</f>
        <v>0</v>
      </c>
      <c r="AH9" s="175">
        <f t="shared" ref="AH9:AH40" si="13">(K9-K8)</f>
        <v>0</v>
      </c>
      <c r="AI9" s="175">
        <f t="shared" ref="AI9:AI40" si="14">(E9-E8)</f>
        <v>0</v>
      </c>
    </row>
    <row r="10" spans="1:35" x14ac:dyDescent="0.35">
      <c r="A10" s="18">
        <v>2</v>
      </c>
      <c r="B10" s="184">
        <v>42063</v>
      </c>
      <c r="C10" s="331">
        <f t="shared" si="3"/>
        <v>2015</v>
      </c>
      <c r="D10" s="178">
        <f>IF(VLOOKUP($B10,'Ppto-Mes'!$B$8:$AX$68,D$2,0)&gt;0,VLOOKUP($B10,'Ppto-Mes'!$B$8:$AX$68,D$2,0),0)</f>
        <v>101682209.92009997</v>
      </c>
      <c r="E10" s="175">
        <f>IFERROR(VLOOKUP($B10,'Inv Temp'!$B$7:$I$67,E$2,0),0)</f>
        <v>0</v>
      </c>
      <c r="F10" s="175">
        <f>IF($F$1=0,0,IF($F$1=1,IFERROR(HLOOKUP(YEAR($B10),'Ing Proyect'!$B$6:$G$12,6,0),0),IFERROR(HLOOKUP(YEAR($B9),'Ing Proyect'!$B$6:$G$12,6,0),0)+IFERROR(HLOOKUP(YEAR($B10),'Ing Proyect'!$B$6:$G$12,6,0),0)))</f>
        <v>104483000</v>
      </c>
      <c r="G10" s="376">
        <f t="shared" si="4"/>
        <v>206165209.92009997</v>
      </c>
      <c r="H10" s="175">
        <f>IFERROR(VLOOKUP($B10,'Amort Inv Inic'!$B$7:$AN$67,H$1,0),0)+IFERROR(VLOOKUP($B10,'Amort Inv Adic'!$B$7:$BU$67,H$2,0),0)</f>
        <v>34400000</v>
      </c>
      <c r="I10" s="175">
        <f>IFERROR(VLOOKUP($B10,'Amort Inv Inic'!$B$7:$AN$67,I$1,0),0)+IFERROR(VLOOKUP($B10,'Amort Inv Adic'!$B$7:$BU$67,I$2,0),0)</f>
        <v>2498610</v>
      </c>
      <c r="J10" s="175">
        <f t="shared" si="5"/>
        <v>31901390</v>
      </c>
      <c r="K10" s="175">
        <f>IFERROR(VLOOKUP($B10,'Amort Inv Inic'!$B$7:$AN$67,K$1,0),0)+IFERROR(VLOOKUP($B10,'Amort Inv Adic'!$B$7:$BU$67,K$2,0),0)</f>
        <v>36250000</v>
      </c>
      <c r="L10" s="175">
        <f>IFERROR(VLOOKUP($B10,'Amort Inv Inic'!$B$7:$AN$67,L$1,0),0)+IFERROR(VLOOKUP($B10,'Amort Inv Adic'!$B$7:$BU$67,L$2,0),0)</f>
        <v>3208332</v>
      </c>
      <c r="M10" s="175">
        <f t="shared" si="6"/>
        <v>33041668</v>
      </c>
      <c r="N10" s="377">
        <f t="shared" si="7"/>
        <v>64943058</v>
      </c>
      <c r="O10" s="378">
        <f t="shared" si="8"/>
        <v>271108267.92009997</v>
      </c>
      <c r="P10" s="178">
        <f>IF(VLOOKUP($B10,'Ppto-Mes'!$B$8:$AX$68,P$2,0)&lt;0,-VLOOKUP($B10,'Ppto-Mes'!$B$8:$AX$68,P$2,0),0)</f>
        <v>0</v>
      </c>
      <c r="Q10" s="175">
        <f>VLOOKUP($B10,'Financ 1'!$B$15:$P$75,Q$2,0)</f>
        <v>214650000</v>
      </c>
      <c r="R10" s="175">
        <f>VLOOKUP($B10,'Financ 2'!$B$15:$P$75,R$2,0)</f>
        <v>0</v>
      </c>
      <c r="S10" s="175">
        <f>VLOOKUP($B10,'Financ 3'!$B$15:$P$75,S$2,0)</f>
        <v>0</v>
      </c>
      <c r="T10" s="178">
        <f>VLOOKUP($B10,'Ppto-Mes'!$B$8:$AX$68,T$2,0)</f>
        <v>402000</v>
      </c>
      <c r="U10" s="175">
        <f>VLOOKUP($B10,'Gtos Consultores'!$B$9:$AI$69,U$2,0)</f>
        <v>1996576</v>
      </c>
      <c r="V10" s="175">
        <f>IF($V$1=0,0,IF($V$1=1,IFERROR(HLOOKUP(YEAR($B10),'Gastos Proyect'!$B$4:$F$17,14,0),0),IFERROR(HLOOKUP(YEAR($B9),'Gastos Proyect'!$B$4:$F$17,14,0),0)+IFERROR(HLOOKUP(YEAR($B10),'Gastos Proyect'!$B$4:$F$17,14,0),0)))</f>
        <v>0</v>
      </c>
      <c r="W10" s="377">
        <f t="shared" si="0"/>
        <v>217048576</v>
      </c>
      <c r="X10" s="175">
        <f t="shared" ref="X10:X68" si="15">X9</f>
        <v>50000000</v>
      </c>
      <c r="Y10" s="178">
        <f>IF(MONTH($B10)=12,IF(Y9+ROUND(VLOOKUP($B10,'Ppto-Mes'!$B$8:$AX$68,Y$2,0)*10%,-3)&lt;=50%*X9,Y9+ROUND(VLOOKUP($B10,'Ppto-Mes'!$B$8:$AX$68,Y$2,0)*10%,-3),50%*X9),Y9)</f>
        <v>0</v>
      </c>
      <c r="Z10" s="178">
        <f>VLOOKUP($B10,'Ppto-Mes'!$B$8:$AX$68,Z$2,0)-(Y10-Y9)</f>
        <v>4059691.9200999737</v>
      </c>
      <c r="AA10" s="175">
        <f t="shared" si="1"/>
        <v>0</v>
      </c>
      <c r="AB10" s="376">
        <f t="shared" si="9"/>
        <v>54059691.920099974</v>
      </c>
      <c r="AC10" s="378">
        <f t="shared" si="10"/>
        <v>271108267.92009997</v>
      </c>
      <c r="AD10" s="175">
        <f t="shared" si="2"/>
        <v>0</v>
      </c>
      <c r="AF10" s="175">
        <f t="shared" si="11"/>
        <v>3893413.9600499868</v>
      </c>
      <c r="AG10" s="175">
        <f t="shared" si="12"/>
        <v>0</v>
      </c>
      <c r="AH10" s="175">
        <f t="shared" si="13"/>
        <v>0</v>
      </c>
      <c r="AI10" s="175">
        <f t="shared" si="14"/>
        <v>0</v>
      </c>
    </row>
    <row r="11" spans="1:35" x14ac:dyDescent="0.35">
      <c r="A11" s="18">
        <v>3</v>
      </c>
      <c r="B11" s="184">
        <v>42094</v>
      </c>
      <c r="C11" s="331">
        <f t="shared" si="3"/>
        <v>2015</v>
      </c>
      <c r="D11" s="178">
        <f>IF(VLOOKUP($B11,'Ppto-Mes'!$B$8:$AX$68,D$2,0)&gt;0,VLOOKUP($B11,'Ppto-Mes'!$B$8:$AX$68,D$2,0),0)</f>
        <v>107597534.88014996</v>
      </c>
      <c r="E11" s="175">
        <f>IFERROR(VLOOKUP($B11,'Inv Temp'!$B$7:$I$67,E$2,0),0)</f>
        <v>0</v>
      </c>
      <c r="F11" s="175">
        <f>IF($F$1=0,0,IF($F$1=1,IFERROR(HLOOKUP(YEAR($B11),'Ing Proyect'!$B$6:$G$12,6,0),0),IFERROR(HLOOKUP(YEAR($B10),'Ing Proyect'!$B$6:$G$12,6,0),0)+IFERROR(HLOOKUP(YEAR($B11),'Ing Proyect'!$B$6:$G$12,6,0),0)))</f>
        <v>104483000</v>
      </c>
      <c r="G11" s="376">
        <f t="shared" si="4"/>
        <v>212080534.88014996</v>
      </c>
      <c r="H11" s="175">
        <f>IFERROR(VLOOKUP($B11,'Amort Inv Inic'!$B$7:$AN$67,H$1,0),0)+IFERROR(VLOOKUP($B11,'Amort Inv Adic'!$B$7:$BU$67,H$2,0),0)</f>
        <v>34400000</v>
      </c>
      <c r="I11" s="175">
        <f>IFERROR(VLOOKUP($B11,'Amort Inv Inic'!$B$7:$AN$67,I$1,0),0)+IFERROR(VLOOKUP($B11,'Amort Inv Adic'!$B$7:$BU$67,I$2,0),0)</f>
        <v>3747915</v>
      </c>
      <c r="J11" s="175">
        <f t="shared" si="5"/>
        <v>30652085</v>
      </c>
      <c r="K11" s="175">
        <f>IFERROR(VLOOKUP($B11,'Amort Inv Inic'!$B$7:$AN$67,K$1,0),0)+IFERROR(VLOOKUP($B11,'Amort Inv Adic'!$B$7:$BU$67,K$2,0),0)</f>
        <v>36250000</v>
      </c>
      <c r="L11" s="175">
        <f>IFERROR(VLOOKUP($B11,'Amort Inv Inic'!$B$7:$AN$67,L$1,0),0)+IFERROR(VLOOKUP($B11,'Amort Inv Adic'!$B$7:$BU$67,L$2,0),0)</f>
        <v>4812498</v>
      </c>
      <c r="M11" s="175">
        <f t="shared" si="6"/>
        <v>31437502</v>
      </c>
      <c r="N11" s="377">
        <f t="shared" si="7"/>
        <v>62089587</v>
      </c>
      <c r="O11" s="378">
        <f t="shared" si="8"/>
        <v>274170121.88014996</v>
      </c>
      <c r="P11" s="178">
        <f>IF(VLOOKUP($B11,'Ppto-Mes'!$B$8:$AX$68,P$2,0)&lt;0,-VLOOKUP($B11,'Ppto-Mes'!$B$8:$AX$68,P$2,0),0)</f>
        <v>0</v>
      </c>
      <c r="Q11" s="175">
        <f>VLOOKUP($B11,'Financ 1'!$B$15:$P$75,Q$2,0)</f>
        <v>214650000</v>
      </c>
      <c r="R11" s="175">
        <f>VLOOKUP($B11,'Financ 2'!$B$15:$P$75,R$2,0)</f>
        <v>0</v>
      </c>
      <c r="S11" s="175">
        <f>VLOOKUP($B11,'Financ 3'!$B$15:$P$75,S$2,0)</f>
        <v>0</v>
      </c>
      <c r="T11" s="178">
        <f>VLOOKUP($B11,'Ppto-Mes'!$B$8:$AX$68,T$2,0)</f>
        <v>588000</v>
      </c>
      <c r="U11" s="175">
        <f>VLOOKUP($B11,'Gtos Consultores'!$B$9:$AI$69,U$2,0)</f>
        <v>2994864</v>
      </c>
      <c r="V11" s="175">
        <f>IF($V$1=0,0,IF($V$1=1,IFERROR(HLOOKUP(YEAR($B11),'Gastos Proyect'!$B$4:$F$17,14,0),0),IFERROR(HLOOKUP(YEAR($B10),'Gastos Proyect'!$B$4:$F$17,14,0),0)+IFERROR(HLOOKUP(YEAR($B11),'Gastos Proyect'!$B$4:$F$17,14,0),0)))</f>
        <v>0</v>
      </c>
      <c r="W11" s="377">
        <f t="shared" si="0"/>
        <v>218232864</v>
      </c>
      <c r="X11" s="175">
        <f t="shared" si="15"/>
        <v>50000000</v>
      </c>
      <c r="Y11" s="178">
        <f>IF(MONTH($B11)=12,IF(Y10+ROUND(VLOOKUP($B11,'Ppto-Mes'!$B$8:$AX$68,Y$2,0)*10%,-3)&lt;=50%*X10,Y10+ROUND(VLOOKUP($B11,'Ppto-Mes'!$B$8:$AX$68,Y$2,0)*10%,-3),50%*X10),Y10)</f>
        <v>0</v>
      </c>
      <c r="Z11" s="178">
        <f>VLOOKUP($B11,'Ppto-Mes'!$B$8:$AX$68,Z$2,0)-(Y11-Y10)</f>
        <v>5937257.8801499605</v>
      </c>
      <c r="AA11" s="175">
        <f t="shared" si="1"/>
        <v>0</v>
      </c>
      <c r="AB11" s="376">
        <f t="shared" si="9"/>
        <v>55937257.880149961</v>
      </c>
      <c r="AC11" s="378">
        <f t="shared" si="10"/>
        <v>274170121.88014996</v>
      </c>
      <c r="AD11" s="175">
        <f t="shared" si="2"/>
        <v>0</v>
      </c>
      <c r="AF11" s="175">
        <f t="shared" si="11"/>
        <v>5915324.9600499868</v>
      </c>
      <c r="AG11" s="175">
        <f t="shared" si="12"/>
        <v>0</v>
      </c>
      <c r="AH11" s="175">
        <f t="shared" si="13"/>
        <v>0</v>
      </c>
      <c r="AI11" s="175">
        <f t="shared" si="14"/>
        <v>0</v>
      </c>
    </row>
    <row r="12" spans="1:35" x14ac:dyDescent="0.35">
      <c r="A12" s="18">
        <v>4</v>
      </c>
      <c r="B12" s="184">
        <v>42124</v>
      </c>
      <c r="C12" s="331">
        <f t="shared" si="3"/>
        <v>2015</v>
      </c>
      <c r="D12" s="178">
        <f>IF(VLOOKUP($B12,'Ppto-Mes'!$B$8:$AX$68,D$2,0)&gt;0,VLOOKUP($B12,'Ppto-Mes'!$B$8:$AX$68,D$2,0),0)</f>
        <v>108489687.84019995</v>
      </c>
      <c r="E12" s="175">
        <f>IFERROR(VLOOKUP($B12,'Inv Temp'!$B$7:$I$67,E$2,0),0)</f>
        <v>5000000</v>
      </c>
      <c r="F12" s="175">
        <f>IF($F$1=0,0,IF($F$1=1,IFERROR(HLOOKUP(YEAR($B12),'Ing Proyect'!$B$6:$G$12,6,0),0),IFERROR(HLOOKUP(YEAR($B11),'Ing Proyect'!$B$6:$G$12,6,0),0)+IFERROR(HLOOKUP(YEAR($B12),'Ing Proyect'!$B$6:$G$12,6,0),0)))</f>
        <v>104483000</v>
      </c>
      <c r="G12" s="376">
        <f t="shared" si="4"/>
        <v>217972687.84019995</v>
      </c>
      <c r="H12" s="175">
        <f>IFERROR(VLOOKUP($B12,'Amort Inv Inic'!$B$7:$AN$67,H$1,0),0)+IFERROR(VLOOKUP($B12,'Amort Inv Adic'!$B$7:$BU$67,H$2,0),0)</f>
        <v>34400000</v>
      </c>
      <c r="I12" s="175">
        <f>IFERROR(VLOOKUP($B12,'Amort Inv Inic'!$B$7:$AN$67,I$1,0),0)+IFERROR(VLOOKUP($B12,'Amort Inv Adic'!$B$7:$BU$67,I$2,0),0)</f>
        <v>4997220</v>
      </c>
      <c r="J12" s="175">
        <f t="shared" si="5"/>
        <v>29402780</v>
      </c>
      <c r="K12" s="175">
        <f>IFERROR(VLOOKUP($B12,'Amort Inv Inic'!$B$7:$AN$67,K$1,0),0)+IFERROR(VLOOKUP($B12,'Amort Inv Adic'!$B$7:$BU$67,K$2,0),0)</f>
        <v>36250000</v>
      </c>
      <c r="L12" s="175">
        <f>IFERROR(VLOOKUP($B12,'Amort Inv Inic'!$B$7:$AN$67,L$1,0),0)+IFERROR(VLOOKUP($B12,'Amort Inv Adic'!$B$7:$BU$67,L$2,0),0)</f>
        <v>6416664</v>
      </c>
      <c r="M12" s="175">
        <f t="shared" si="6"/>
        <v>29833336</v>
      </c>
      <c r="N12" s="377">
        <f t="shared" si="7"/>
        <v>59236116</v>
      </c>
      <c r="O12" s="378">
        <f t="shared" si="8"/>
        <v>277208803.84019995</v>
      </c>
      <c r="P12" s="178">
        <f>IF(VLOOKUP($B12,'Ppto-Mes'!$B$8:$AX$68,P$2,0)&lt;0,-VLOOKUP($B12,'Ppto-Mes'!$B$8:$AX$68,P$2,0),0)</f>
        <v>0</v>
      </c>
      <c r="Q12" s="175">
        <f>VLOOKUP($B12,'Financ 1'!$B$15:$P$75,Q$2,0)</f>
        <v>214650000</v>
      </c>
      <c r="R12" s="175">
        <f>VLOOKUP($B12,'Financ 2'!$B$15:$P$75,R$2,0)</f>
        <v>0</v>
      </c>
      <c r="S12" s="175">
        <f>VLOOKUP($B12,'Financ 3'!$B$15:$P$75,S$2,0)</f>
        <v>0</v>
      </c>
      <c r="T12" s="178">
        <f>VLOOKUP($B12,'Ppto-Mes'!$B$8:$AX$68,T$2,0)</f>
        <v>771000</v>
      </c>
      <c r="U12" s="175">
        <f>VLOOKUP($B12,'Gtos Consultores'!$B$9:$AI$69,U$2,0)</f>
        <v>3993152</v>
      </c>
      <c r="V12" s="175">
        <f>IF($V$1=0,0,IF($V$1=1,IFERROR(HLOOKUP(YEAR($B12),'Gastos Proyect'!$B$4:$F$17,14,0),0),IFERROR(HLOOKUP(YEAR($B11),'Gastos Proyect'!$B$4:$F$17,14,0),0)+IFERROR(HLOOKUP(YEAR($B12),'Gastos Proyect'!$B$4:$F$17,14,0),0)))</f>
        <v>0</v>
      </c>
      <c r="W12" s="377">
        <f t="shared" si="0"/>
        <v>219414152</v>
      </c>
      <c r="X12" s="175">
        <f t="shared" si="15"/>
        <v>50000000</v>
      </c>
      <c r="Y12" s="178">
        <f>IF(MONTH($B12)=12,IF(Y11+ROUND(VLOOKUP($B12,'Ppto-Mes'!$B$8:$AX$68,Y$2,0)*10%,-3)&lt;=50%*X11,Y11+ROUND(VLOOKUP($B12,'Ppto-Mes'!$B$8:$AX$68,Y$2,0)*10%,-3),50%*X11),Y11)</f>
        <v>0</v>
      </c>
      <c r="Z12" s="178">
        <f>VLOOKUP($B12,'Ppto-Mes'!$B$8:$AX$68,Z$2,0)-(Y12-Y11)</f>
        <v>7794651.8401999474</v>
      </c>
      <c r="AA12" s="175">
        <f t="shared" si="1"/>
        <v>0</v>
      </c>
      <c r="AB12" s="376">
        <f t="shared" si="9"/>
        <v>57794651.840199947</v>
      </c>
      <c r="AC12" s="378">
        <f t="shared" si="10"/>
        <v>277208803.84019995</v>
      </c>
      <c r="AD12" s="175">
        <f t="shared" si="2"/>
        <v>0</v>
      </c>
      <c r="AF12" s="175">
        <f t="shared" si="11"/>
        <v>892152.96004998684</v>
      </c>
      <c r="AG12" s="175">
        <f t="shared" si="12"/>
        <v>0</v>
      </c>
      <c r="AH12" s="175">
        <f t="shared" si="13"/>
        <v>0</v>
      </c>
      <c r="AI12" s="175">
        <f t="shared" si="14"/>
        <v>5000000</v>
      </c>
    </row>
    <row r="13" spans="1:35" x14ac:dyDescent="0.35">
      <c r="A13" s="18">
        <v>5</v>
      </c>
      <c r="B13" s="184">
        <v>42155</v>
      </c>
      <c r="C13" s="331">
        <f t="shared" si="3"/>
        <v>2015</v>
      </c>
      <c r="D13" s="178">
        <f>IF(VLOOKUP($B13,'Ppto-Mes'!$B$8:$AX$68,D$2,0)&gt;0,VLOOKUP($B13,'Ppto-Mes'!$B$8:$AX$68,D$2,0),0)</f>
        <v>108406284.80024993</v>
      </c>
      <c r="E13" s="175">
        <f>IFERROR(VLOOKUP($B13,'Inv Temp'!$B$7:$I$67,E$2,0),0)</f>
        <v>11000000</v>
      </c>
      <c r="F13" s="175">
        <f>IF($F$1=0,0,IF($F$1=1,IFERROR(HLOOKUP(YEAR($B13),'Ing Proyect'!$B$6:$G$12,6,0),0),IFERROR(HLOOKUP(YEAR($B12),'Ing Proyect'!$B$6:$G$12,6,0),0)+IFERROR(HLOOKUP(YEAR($B13),'Ing Proyect'!$B$6:$G$12,6,0),0)))</f>
        <v>104483000</v>
      </c>
      <c r="G13" s="376">
        <f t="shared" si="4"/>
        <v>223889284.80024993</v>
      </c>
      <c r="H13" s="175">
        <f>IFERROR(VLOOKUP($B13,'Amort Inv Inic'!$B$7:$AN$67,H$1,0),0)+IFERROR(VLOOKUP($B13,'Amort Inv Adic'!$B$7:$BU$67,H$2,0),0)</f>
        <v>34400000</v>
      </c>
      <c r="I13" s="175">
        <f>IFERROR(VLOOKUP($B13,'Amort Inv Inic'!$B$7:$AN$67,I$1,0),0)+IFERROR(VLOOKUP($B13,'Amort Inv Adic'!$B$7:$BU$67,I$2,0),0)</f>
        <v>6246525</v>
      </c>
      <c r="J13" s="175">
        <f t="shared" si="5"/>
        <v>28153475</v>
      </c>
      <c r="K13" s="175">
        <f>IFERROR(VLOOKUP($B13,'Amort Inv Inic'!$B$7:$AN$67,K$1,0),0)+IFERROR(VLOOKUP($B13,'Amort Inv Adic'!$B$7:$BU$67,K$2,0),0)</f>
        <v>36250000</v>
      </c>
      <c r="L13" s="175">
        <f>IFERROR(VLOOKUP($B13,'Amort Inv Inic'!$B$7:$AN$67,L$1,0),0)+IFERROR(VLOOKUP($B13,'Amort Inv Adic'!$B$7:$BU$67,L$2,0),0)</f>
        <v>8020830</v>
      </c>
      <c r="M13" s="175">
        <f t="shared" si="6"/>
        <v>28229170</v>
      </c>
      <c r="N13" s="377">
        <f t="shared" si="7"/>
        <v>56382645</v>
      </c>
      <c r="O13" s="378">
        <f t="shared" si="8"/>
        <v>280271929.80024993</v>
      </c>
      <c r="P13" s="178">
        <f>IF(VLOOKUP($B13,'Ppto-Mes'!$B$8:$AX$68,P$2,0)&lt;0,-VLOOKUP($B13,'Ppto-Mes'!$B$8:$AX$68,P$2,0),0)</f>
        <v>0</v>
      </c>
      <c r="Q13" s="175">
        <f>VLOOKUP($B13,'Financ 1'!$B$15:$P$75,Q$2,0)</f>
        <v>214650000</v>
      </c>
      <c r="R13" s="175">
        <f>VLOOKUP($B13,'Financ 2'!$B$15:$P$75,R$2,0)</f>
        <v>0</v>
      </c>
      <c r="S13" s="175">
        <f>VLOOKUP($B13,'Financ 3'!$B$15:$P$75,S$2,0)</f>
        <v>0</v>
      </c>
      <c r="T13" s="178">
        <f>VLOOKUP($B13,'Ppto-Mes'!$B$8:$AX$68,T$2,0)</f>
        <v>957000</v>
      </c>
      <c r="U13" s="175">
        <f>VLOOKUP($B13,'Gtos Consultores'!$B$9:$AI$69,U$2,0)</f>
        <v>4991440</v>
      </c>
      <c r="V13" s="175">
        <f>IF($V$1=0,0,IF($V$1=1,IFERROR(HLOOKUP(YEAR($B13),'Gastos Proyect'!$B$4:$F$17,14,0),0),IFERROR(HLOOKUP(YEAR($B12),'Gastos Proyect'!$B$4:$F$17,14,0),0)+IFERROR(HLOOKUP(YEAR($B13),'Gastos Proyect'!$B$4:$F$17,14,0),0)))</f>
        <v>0</v>
      </c>
      <c r="W13" s="377">
        <f t="shared" si="0"/>
        <v>220598440</v>
      </c>
      <c r="X13" s="175">
        <f t="shared" si="15"/>
        <v>50000000</v>
      </c>
      <c r="Y13" s="178">
        <f>IF(MONTH($B13)=12,IF(Y12+ROUND(VLOOKUP($B13,'Ppto-Mes'!$B$8:$AX$68,Y$2,0)*10%,-3)&lt;=50%*X12,Y12+ROUND(VLOOKUP($B13,'Ppto-Mes'!$B$8:$AX$68,Y$2,0)*10%,-3),50%*X12),Y12)</f>
        <v>0</v>
      </c>
      <c r="Z13" s="178">
        <f>VLOOKUP($B13,'Ppto-Mes'!$B$8:$AX$68,Z$2,0)-(Y13-Y12)</f>
        <v>9673489.8002499342</v>
      </c>
      <c r="AA13" s="175">
        <f t="shared" si="1"/>
        <v>0</v>
      </c>
      <c r="AB13" s="376">
        <f t="shared" si="9"/>
        <v>59673489.800249934</v>
      </c>
      <c r="AC13" s="378">
        <f t="shared" si="10"/>
        <v>280271929.80024993</v>
      </c>
      <c r="AD13" s="175">
        <f t="shared" si="2"/>
        <v>0</v>
      </c>
      <c r="AF13" s="175">
        <f t="shared" si="11"/>
        <v>-83403.039950013161</v>
      </c>
      <c r="AG13" s="175">
        <f t="shared" si="12"/>
        <v>0</v>
      </c>
      <c r="AH13" s="175">
        <f t="shared" si="13"/>
        <v>0</v>
      </c>
      <c r="AI13" s="175">
        <f t="shared" si="14"/>
        <v>6000000</v>
      </c>
    </row>
    <row r="14" spans="1:35" x14ac:dyDescent="0.35">
      <c r="A14" s="18">
        <v>6</v>
      </c>
      <c r="B14" s="184">
        <v>42185</v>
      </c>
      <c r="C14" s="331">
        <f t="shared" si="3"/>
        <v>2015</v>
      </c>
      <c r="D14" s="178">
        <f>IF(VLOOKUP($B14,'Ppto-Mes'!$B$8:$AX$68,D$2,0)&gt;0,VLOOKUP($B14,'Ppto-Mes'!$B$8:$AX$68,D$2,0),0)</f>
        <v>97509760.760299921</v>
      </c>
      <c r="E14" s="175">
        <f>IFERROR(VLOOKUP($B14,'Inv Temp'!$B$7:$I$67,E$2,0),0)</f>
        <v>13000000</v>
      </c>
      <c r="F14" s="175">
        <f>IF($F$1=0,0,IF($F$1=1,IFERROR(HLOOKUP(YEAR($B14),'Ing Proyect'!$B$6:$G$12,6,0),0),IFERROR(HLOOKUP(YEAR($B13),'Ing Proyect'!$B$6:$G$12,6,0),0)+IFERROR(HLOOKUP(YEAR($B14),'Ing Proyect'!$B$6:$G$12,6,0),0)))</f>
        <v>104483000</v>
      </c>
      <c r="G14" s="376">
        <f t="shared" si="4"/>
        <v>214992760.76029992</v>
      </c>
      <c r="H14" s="175">
        <f>IFERROR(VLOOKUP($B14,'Amort Inv Inic'!$B$7:$AN$67,H$1,0),0)+IFERROR(VLOOKUP($B14,'Amort Inv Adic'!$B$7:$BU$67,H$2,0),0)</f>
        <v>34400000</v>
      </c>
      <c r="I14" s="175">
        <f>IFERROR(VLOOKUP($B14,'Amort Inv Inic'!$B$7:$AN$67,I$1,0),0)+IFERROR(VLOOKUP($B14,'Amort Inv Adic'!$B$7:$BU$67,I$2,0),0)</f>
        <v>7495830</v>
      </c>
      <c r="J14" s="175">
        <f t="shared" si="5"/>
        <v>26904170</v>
      </c>
      <c r="K14" s="175">
        <f>IFERROR(VLOOKUP($B14,'Amort Inv Inic'!$B$7:$AN$67,K$1,0),0)+IFERROR(VLOOKUP($B14,'Amort Inv Adic'!$B$7:$BU$67,K$2,0),0)</f>
        <v>48250000</v>
      </c>
      <c r="L14" s="175">
        <f>IFERROR(VLOOKUP($B14,'Amort Inv Inic'!$B$7:$AN$67,L$1,0),0)+IFERROR(VLOOKUP($B14,'Amort Inv Adic'!$B$7:$BU$67,L$2,0),0)</f>
        <v>9624996</v>
      </c>
      <c r="M14" s="175">
        <f t="shared" si="6"/>
        <v>38625004</v>
      </c>
      <c r="N14" s="377">
        <f t="shared" si="7"/>
        <v>65529174</v>
      </c>
      <c r="O14" s="378">
        <f t="shared" si="8"/>
        <v>280521934.76029992</v>
      </c>
      <c r="P14" s="178">
        <f>IF(VLOOKUP($B14,'Ppto-Mes'!$B$8:$AX$68,P$2,0)&lt;0,-VLOOKUP($B14,'Ppto-Mes'!$B$8:$AX$68,P$2,0),0)</f>
        <v>0</v>
      </c>
      <c r="Q14" s="175">
        <f>VLOOKUP($B14,'Financ 1'!$B$15:$P$75,Q$2,0)</f>
        <v>214650000</v>
      </c>
      <c r="R14" s="175">
        <f>VLOOKUP($B14,'Financ 2'!$B$15:$P$75,R$2,0)</f>
        <v>0</v>
      </c>
      <c r="S14" s="175">
        <f>VLOOKUP($B14,'Financ 3'!$B$15:$P$75,S$2,0)</f>
        <v>0</v>
      </c>
      <c r="T14" s="178">
        <f>VLOOKUP($B14,'Ppto-Mes'!$B$8:$AX$68,T$2,0)</f>
        <v>1144000</v>
      </c>
      <c r="U14" s="175">
        <f>VLOOKUP($B14,'Gtos Consultores'!$B$9:$AI$69,U$2,0)</f>
        <v>3164384</v>
      </c>
      <c r="V14" s="175">
        <f>IF($V$1=0,0,IF($V$1=1,IFERROR(HLOOKUP(YEAR($B14),'Gastos Proyect'!$B$4:$F$17,14,0),0),IFERROR(HLOOKUP(YEAR($B13),'Gastos Proyect'!$B$4:$F$17,14,0),0)+IFERROR(HLOOKUP(YEAR($B14),'Gastos Proyect'!$B$4:$F$17,14,0),0)))</f>
        <v>0</v>
      </c>
      <c r="W14" s="377">
        <f t="shared" si="0"/>
        <v>218958384</v>
      </c>
      <c r="X14" s="175">
        <f t="shared" si="15"/>
        <v>50000000</v>
      </c>
      <c r="Y14" s="178">
        <f>IF(MONTH($B14)=12,IF(Y13+ROUND(VLOOKUP($B14,'Ppto-Mes'!$B$8:$AX$68,Y$2,0)*10%,-3)&lt;=50%*X13,Y13+ROUND(VLOOKUP($B14,'Ppto-Mes'!$B$8:$AX$68,Y$2,0)*10%,-3),50%*X13),Y13)</f>
        <v>0</v>
      </c>
      <c r="Z14" s="178">
        <f>VLOOKUP($B14,'Ppto-Mes'!$B$8:$AX$68,Z$2,0)-(Y14-Y13)</f>
        <v>11563550.760299921</v>
      </c>
      <c r="AA14" s="175">
        <f t="shared" si="1"/>
        <v>0</v>
      </c>
      <c r="AB14" s="376">
        <f t="shared" si="9"/>
        <v>61563550.760299921</v>
      </c>
      <c r="AC14" s="378">
        <f t="shared" si="10"/>
        <v>280521934.76029992</v>
      </c>
      <c r="AD14" s="175">
        <f t="shared" si="2"/>
        <v>0</v>
      </c>
      <c r="AF14" s="175">
        <f t="shared" si="11"/>
        <v>-10896524.039950013</v>
      </c>
      <c r="AG14" s="175">
        <f t="shared" si="12"/>
        <v>0</v>
      </c>
      <c r="AH14" s="175">
        <f t="shared" si="13"/>
        <v>12000000</v>
      </c>
      <c r="AI14" s="175">
        <f t="shared" si="14"/>
        <v>2000000</v>
      </c>
    </row>
    <row r="15" spans="1:35" x14ac:dyDescent="0.35">
      <c r="A15" s="18">
        <v>7</v>
      </c>
      <c r="B15" s="184">
        <v>42216</v>
      </c>
      <c r="C15" s="331">
        <f t="shared" si="3"/>
        <v>2015</v>
      </c>
      <c r="D15" s="178">
        <f>IF(VLOOKUP($B15,'Ppto-Mes'!$B$8:$AX$68,D$2,0)&gt;0,VLOOKUP($B15,'Ppto-Mes'!$B$8:$AX$68,D$2,0),0)</f>
        <v>103393645.72034991</v>
      </c>
      <c r="E15" s="175">
        <f>IFERROR(VLOOKUP($B15,'Inv Temp'!$B$7:$I$67,E$2,0),0)</f>
        <v>13000000</v>
      </c>
      <c r="F15" s="175">
        <f>IF($F$1=0,0,IF($F$1=1,IFERROR(HLOOKUP(YEAR($B15),'Ing Proyect'!$B$6:$G$12,6,0),0),IFERROR(HLOOKUP(YEAR($B14),'Ing Proyect'!$B$6:$G$12,6,0),0)+IFERROR(HLOOKUP(YEAR($B15),'Ing Proyect'!$B$6:$G$12,6,0),0)))</f>
        <v>104483000</v>
      </c>
      <c r="G15" s="376">
        <f t="shared" si="4"/>
        <v>220876645.72034991</v>
      </c>
      <c r="H15" s="175">
        <f>IFERROR(VLOOKUP($B15,'Amort Inv Inic'!$B$7:$AN$67,H$1,0),0)+IFERROR(VLOOKUP($B15,'Amort Inv Adic'!$B$7:$BU$67,H$2,0),0)</f>
        <v>34400000</v>
      </c>
      <c r="I15" s="175">
        <f>IFERROR(VLOOKUP($B15,'Amort Inv Inic'!$B$7:$AN$67,I$1,0),0)+IFERROR(VLOOKUP($B15,'Amort Inv Adic'!$B$7:$BU$67,I$2,0),0)</f>
        <v>8745135</v>
      </c>
      <c r="J15" s="175">
        <f t="shared" si="5"/>
        <v>25654865</v>
      </c>
      <c r="K15" s="175">
        <f>IFERROR(VLOOKUP($B15,'Amort Inv Inic'!$B$7:$AN$67,K$1,0),0)+IFERROR(VLOOKUP($B15,'Amort Inv Adic'!$B$7:$BU$67,K$2,0),0)</f>
        <v>48250000</v>
      </c>
      <c r="L15" s="175">
        <f>IFERROR(VLOOKUP($B15,'Amort Inv Inic'!$B$7:$AN$67,L$1,0),0)+IFERROR(VLOOKUP($B15,'Amort Inv Adic'!$B$7:$BU$67,L$2,0),0)</f>
        <v>12229162</v>
      </c>
      <c r="M15" s="175">
        <f t="shared" si="6"/>
        <v>36020838</v>
      </c>
      <c r="N15" s="377">
        <f t="shared" si="7"/>
        <v>61675703</v>
      </c>
      <c r="O15" s="378">
        <f t="shared" si="8"/>
        <v>282552348.72034991</v>
      </c>
      <c r="P15" s="178">
        <f>IF(VLOOKUP($B15,'Ppto-Mes'!$B$8:$AX$68,P$2,0)&lt;0,-VLOOKUP($B15,'Ppto-Mes'!$B$8:$AX$68,P$2,0),0)</f>
        <v>0</v>
      </c>
      <c r="Q15" s="175">
        <f>VLOOKUP($B15,'Financ 1'!$B$15:$P$75,Q$2,0)</f>
        <v>214650000</v>
      </c>
      <c r="R15" s="175">
        <f>VLOOKUP($B15,'Financ 2'!$B$15:$P$75,R$2,0)</f>
        <v>0</v>
      </c>
      <c r="S15" s="175">
        <f>VLOOKUP($B15,'Financ 3'!$B$15:$P$75,S$2,0)</f>
        <v>0</v>
      </c>
      <c r="T15" s="178">
        <f>VLOOKUP($B15,'Ppto-Mes'!$B$8:$AX$68,T$2,0)</f>
        <v>1237000</v>
      </c>
      <c r="U15" s="175">
        <f>VLOOKUP($B15,'Gtos Consultores'!$B$9:$AI$69,U$2,0)</f>
        <v>4162672</v>
      </c>
      <c r="V15" s="175">
        <f>IF($V$1=0,0,IF($V$1=1,IFERROR(HLOOKUP(YEAR($B15),'Gastos Proyect'!$B$4:$F$17,14,0),0),IFERROR(HLOOKUP(YEAR($B14),'Gastos Proyect'!$B$4:$F$17,14,0),0)+IFERROR(HLOOKUP(YEAR($B15),'Gastos Proyect'!$B$4:$F$17,14,0),0)))</f>
        <v>0</v>
      </c>
      <c r="W15" s="377">
        <f t="shared" si="0"/>
        <v>220049672</v>
      </c>
      <c r="X15" s="175">
        <f t="shared" si="15"/>
        <v>50000000</v>
      </c>
      <c r="Y15" s="178">
        <f>IF(MONTH($B15)=12,IF(Y14+ROUND(VLOOKUP($B15,'Ppto-Mes'!$B$8:$AX$68,Y$2,0)*10%,-3)&lt;=50%*X14,Y14+ROUND(VLOOKUP($B15,'Ppto-Mes'!$B$8:$AX$68,Y$2,0)*10%,-3),50%*X14),Y14)</f>
        <v>0</v>
      </c>
      <c r="Z15" s="178">
        <f>VLOOKUP($B15,'Ppto-Mes'!$B$8:$AX$68,Z$2,0)-(Y15-Y14)</f>
        <v>12502676.720349908</v>
      </c>
      <c r="AA15" s="175">
        <f t="shared" si="1"/>
        <v>0</v>
      </c>
      <c r="AB15" s="376">
        <f t="shared" si="9"/>
        <v>62502676.720349908</v>
      </c>
      <c r="AC15" s="378">
        <f t="shared" si="10"/>
        <v>282552348.72034991</v>
      </c>
      <c r="AD15" s="175">
        <f t="shared" si="2"/>
        <v>0</v>
      </c>
      <c r="AF15" s="175">
        <f t="shared" si="11"/>
        <v>5883884.9600499868</v>
      </c>
      <c r="AG15" s="175">
        <f t="shared" si="12"/>
        <v>0</v>
      </c>
      <c r="AH15" s="175">
        <f t="shared" si="13"/>
        <v>0</v>
      </c>
      <c r="AI15" s="175">
        <f t="shared" si="14"/>
        <v>0</v>
      </c>
    </row>
    <row r="16" spans="1:35" x14ac:dyDescent="0.35">
      <c r="A16" s="18">
        <v>8</v>
      </c>
      <c r="B16" s="184">
        <v>42247</v>
      </c>
      <c r="C16" s="331">
        <f t="shared" si="3"/>
        <v>2015</v>
      </c>
      <c r="D16" s="178">
        <f>IF(VLOOKUP($B16,'Ppto-Mes'!$B$8:$AX$68,D$2,0)&gt;0,VLOOKUP($B16,'Ppto-Mes'!$B$8:$AX$68,D$2,0),0)</f>
        <v>108281803.68039989</v>
      </c>
      <c r="E16" s="175">
        <f>IFERROR(VLOOKUP($B16,'Inv Temp'!$B$7:$I$67,E$2,0),0)</f>
        <v>14000000</v>
      </c>
      <c r="F16" s="175">
        <f>IF($F$1=0,0,IF($F$1=1,IFERROR(HLOOKUP(YEAR($B16),'Ing Proyect'!$B$6:$G$12,6,0),0),IFERROR(HLOOKUP(YEAR($B15),'Ing Proyect'!$B$6:$G$12,6,0),0)+IFERROR(HLOOKUP(YEAR($B16),'Ing Proyect'!$B$6:$G$12,6,0),0)))</f>
        <v>104483000</v>
      </c>
      <c r="G16" s="376">
        <f t="shared" si="4"/>
        <v>226764803.68039989</v>
      </c>
      <c r="H16" s="175">
        <f>IFERROR(VLOOKUP($B16,'Amort Inv Inic'!$B$7:$AN$67,H$1,0),0)+IFERROR(VLOOKUP($B16,'Amort Inv Adic'!$B$7:$BU$67,H$2,0),0)</f>
        <v>34400000</v>
      </c>
      <c r="I16" s="175">
        <f>IFERROR(VLOOKUP($B16,'Amort Inv Inic'!$B$7:$AN$67,I$1,0),0)+IFERROR(VLOOKUP($B16,'Amort Inv Adic'!$B$7:$BU$67,I$2,0),0)</f>
        <v>9994440</v>
      </c>
      <c r="J16" s="175">
        <f t="shared" si="5"/>
        <v>24405560</v>
      </c>
      <c r="K16" s="175">
        <f>IFERROR(VLOOKUP($B16,'Amort Inv Inic'!$B$7:$AN$67,K$1,0),0)+IFERROR(VLOOKUP($B16,'Amort Inv Adic'!$B$7:$BU$67,K$2,0),0)</f>
        <v>48250000</v>
      </c>
      <c r="L16" s="175">
        <f>IFERROR(VLOOKUP($B16,'Amort Inv Inic'!$B$7:$AN$67,L$1,0),0)+IFERROR(VLOOKUP($B16,'Amort Inv Adic'!$B$7:$BU$67,L$2,0),0)</f>
        <v>14833328</v>
      </c>
      <c r="M16" s="175">
        <f t="shared" si="6"/>
        <v>33416672</v>
      </c>
      <c r="N16" s="377">
        <f t="shared" si="7"/>
        <v>57822232</v>
      </c>
      <c r="O16" s="378">
        <f t="shared" si="8"/>
        <v>284587035.68039989</v>
      </c>
      <c r="P16" s="178">
        <f>IF(VLOOKUP($B16,'Ppto-Mes'!$B$8:$AX$68,P$2,0)&lt;0,-VLOOKUP($B16,'Ppto-Mes'!$B$8:$AX$68,P$2,0),0)</f>
        <v>0</v>
      </c>
      <c r="Q16" s="175">
        <f>VLOOKUP($B16,'Financ 1'!$B$15:$P$75,Q$2,0)</f>
        <v>214650000</v>
      </c>
      <c r="R16" s="175">
        <f>VLOOKUP($B16,'Financ 2'!$B$15:$P$75,R$2,0)</f>
        <v>0</v>
      </c>
      <c r="S16" s="175">
        <f>VLOOKUP($B16,'Financ 3'!$B$15:$P$75,S$2,0)</f>
        <v>0</v>
      </c>
      <c r="T16" s="178">
        <f>VLOOKUP($B16,'Ppto-Mes'!$B$8:$AX$68,T$2,0)</f>
        <v>1330000</v>
      </c>
      <c r="U16" s="175">
        <f>VLOOKUP($B16,'Gtos Consultores'!$B$9:$AI$69,U$2,0)</f>
        <v>5160960</v>
      </c>
      <c r="V16" s="175">
        <f>IF($V$1=0,0,IF($V$1=1,IFERROR(HLOOKUP(YEAR($B16),'Gastos Proyect'!$B$4:$F$17,14,0),0),IFERROR(HLOOKUP(YEAR($B15),'Gastos Proyect'!$B$4:$F$17,14,0),0)+IFERROR(HLOOKUP(YEAR($B16),'Gastos Proyect'!$B$4:$F$17,14,0),0)))</f>
        <v>0</v>
      </c>
      <c r="W16" s="377">
        <f t="shared" si="0"/>
        <v>221140960</v>
      </c>
      <c r="X16" s="175">
        <f t="shared" si="15"/>
        <v>50000000</v>
      </c>
      <c r="Y16" s="178">
        <f>IF(MONTH($B16)=12,IF(Y15+ROUND(VLOOKUP($B16,'Ppto-Mes'!$B$8:$AX$68,Y$2,0)*10%,-3)&lt;=50%*X15,Y15+ROUND(VLOOKUP($B16,'Ppto-Mes'!$B$8:$AX$68,Y$2,0)*10%,-3),50%*X15),Y15)</f>
        <v>0</v>
      </c>
      <c r="Z16" s="178">
        <f>VLOOKUP($B16,'Ppto-Mes'!$B$8:$AX$68,Z$2,0)-(Y16-Y15)</f>
        <v>13446075.680399895</v>
      </c>
      <c r="AA16" s="175">
        <f t="shared" si="1"/>
        <v>0</v>
      </c>
      <c r="AB16" s="376">
        <f t="shared" si="9"/>
        <v>63446075.680399895</v>
      </c>
      <c r="AC16" s="378">
        <f t="shared" si="10"/>
        <v>284587035.68039989</v>
      </c>
      <c r="AD16" s="175">
        <f t="shared" si="2"/>
        <v>0</v>
      </c>
      <c r="AF16" s="175">
        <f t="shared" si="11"/>
        <v>4888157.9600499868</v>
      </c>
      <c r="AG16" s="175">
        <f t="shared" si="12"/>
        <v>0</v>
      </c>
      <c r="AH16" s="175">
        <f t="shared" si="13"/>
        <v>0</v>
      </c>
      <c r="AI16" s="175">
        <f t="shared" si="14"/>
        <v>1000000</v>
      </c>
    </row>
    <row r="17" spans="1:35" x14ac:dyDescent="0.35">
      <c r="A17" s="18">
        <v>9</v>
      </c>
      <c r="B17" s="184">
        <v>42277</v>
      </c>
      <c r="C17" s="331">
        <f t="shared" si="3"/>
        <v>2015</v>
      </c>
      <c r="D17" s="178">
        <f>IF(VLOOKUP($B17,'Ppto-Mes'!$B$8:$AX$68,D$2,0)&gt;0,VLOOKUP($B17,'Ppto-Mes'!$B$8:$AX$68,D$2,0),0)</f>
        <v>108195600.64044988</v>
      </c>
      <c r="E17" s="175">
        <f>IFERROR(VLOOKUP($B17,'Inv Temp'!$B$7:$I$67,E$2,0),0)</f>
        <v>20000000</v>
      </c>
      <c r="F17" s="175">
        <f>IF($F$1=0,0,IF($F$1=1,IFERROR(HLOOKUP(YEAR($B17),'Ing Proyect'!$B$6:$G$12,6,0),0),IFERROR(HLOOKUP(YEAR($B16),'Ing Proyect'!$B$6:$G$12,6,0),0)+IFERROR(HLOOKUP(YEAR($B17),'Ing Proyect'!$B$6:$G$12,6,0),0)))</f>
        <v>104483000</v>
      </c>
      <c r="G17" s="376">
        <f t="shared" si="4"/>
        <v>232678600.64044988</v>
      </c>
      <c r="H17" s="175">
        <f>IFERROR(VLOOKUP($B17,'Amort Inv Inic'!$B$7:$AN$67,H$1,0),0)+IFERROR(VLOOKUP($B17,'Amort Inv Adic'!$B$7:$BU$67,H$2,0),0)</f>
        <v>34400000</v>
      </c>
      <c r="I17" s="175">
        <f>IFERROR(VLOOKUP($B17,'Amort Inv Inic'!$B$7:$AN$67,I$1,0),0)+IFERROR(VLOOKUP($B17,'Amort Inv Adic'!$B$7:$BU$67,I$2,0),0)</f>
        <v>11243745</v>
      </c>
      <c r="J17" s="175">
        <f t="shared" si="5"/>
        <v>23156255</v>
      </c>
      <c r="K17" s="175">
        <f>IFERROR(VLOOKUP($B17,'Amort Inv Inic'!$B$7:$AN$67,K$1,0),0)+IFERROR(VLOOKUP($B17,'Amort Inv Adic'!$B$7:$BU$67,K$2,0),0)</f>
        <v>48250000</v>
      </c>
      <c r="L17" s="175">
        <f>IFERROR(VLOOKUP($B17,'Amort Inv Inic'!$B$7:$AN$67,L$1,0),0)+IFERROR(VLOOKUP($B17,'Amort Inv Adic'!$B$7:$BU$67,L$2,0),0)</f>
        <v>17437494</v>
      </c>
      <c r="M17" s="175">
        <f t="shared" si="6"/>
        <v>30812506</v>
      </c>
      <c r="N17" s="377">
        <f t="shared" si="7"/>
        <v>53968761</v>
      </c>
      <c r="O17" s="378">
        <f t="shared" si="8"/>
        <v>286647361.64044988</v>
      </c>
      <c r="P17" s="178">
        <f>IF(VLOOKUP($B17,'Ppto-Mes'!$B$8:$AX$68,P$2,0)&lt;0,-VLOOKUP($B17,'Ppto-Mes'!$B$8:$AX$68,P$2,0),0)</f>
        <v>0</v>
      </c>
      <c r="Q17" s="175">
        <f>VLOOKUP($B17,'Financ 1'!$B$15:$P$75,Q$2,0)</f>
        <v>214650000</v>
      </c>
      <c r="R17" s="175">
        <f>VLOOKUP($B17,'Financ 2'!$B$15:$P$75,R$2,0)</f>
        <v>0</v>
      </c>
      <c r="S17" s="175">
        <f>VLOOKUP($B17,'Financ 3'!$B$15:$P$75,S$2,0)</f>
        <v>0</v>
      </c>
      <c r="T17" s="178">
        <f>VLOOKUP($B17,'Ppto-Mes'!$B$8:$AX$68,T$2,0)</f>
        <v>1426000</v>
      </c>
      <c r="U17" s="175">
        <f>VLOOKUP($B17,'Gtos Consultores'!$B$9:$AI$69,U$2,0)</f>
        <v>6159248</v>
      </c>
      <c r="V17" s="175">
        <f>IF($V$1=0,0,IF($V$1=1,IFERROR(HLOOKUP(YEAR($B17),'Gastos Proyect'!$B$4:$F$17,14,0),0),IFERROR(HLOOKUP(YEAR($B16),'Gastos Proyect'!$B$4:$F$17,14,0),0)+IFERROR(HLOOKUP(YEAR($B17),'Gastos Proyect'!$B$4:$F$17,14,0),0)))</f>
        <v>0</v>
      </c>
      <c r="W17" s="377">
        <f t="shared" si="0"/>
        <v>222235248</v>
      </c>
      <c r="X17" s="175">
        <f t="shared" si="15"/>
        <v>50000000</v>
      </c>
      <c r="Y17" s="178">
        <f>IF(MONTH($B17)=12,IF(Y16+ROUND(VLOOKUP($B17,'Ppto-Mes'!$B$8:$AX$68,Y$2,0)*10%,-3)&lt;=50%*X16,Y16+ROUND(VLOOKUP($B17,'Ppto-Mes'!$B$8:$AX$68,Y$2,0)*10%,-3),50%*X16),Y16)</f>
        <v>0</v>
      </c>
      <c r="Z17" s="178">
        <f>VLOOKUP($B17,'Ppto-Mes'!$B$8:$AX$68,Z$2,0)-(Y17-Y16)</f>
        <v>14412113.640449882</v>
      </c>
      <c r="AA17" s="175">
        <f t="shared" si="1"/>
        <v>0</v>
      </c>
      <c r="AB17" s="376">
        <f t="shared" si="9"/>
        <v>64412113.640449882</v>
      </c>
      <c r="AC17" s="378">
        <f t="shared" si="10"/>
        <v>286647361.64044988</v>
      </c>
      <c r="AD17" s="175">
        <f t="shared" si="2"/>
        <v>0</v>
      </c>
      <c r="AF17" s="175">
        <f t="shared" si="11"/>
        <v>-86203.039950013161</v>
      </c>
      <c r="AG17" s="175">
        <f t="shared" si="12"/>
        <v>0</v>
      </c>
      <c r="AH17" s="175">
        <f t="shared" si="13"/>
        <v>0</v>
      </c>
      <c r="AI17" s="175">
        <f t="shared" si="14"/>
        <v>6000000</v>
      </c>
    </row>
    <row r="18" spans="1:35" x14ac:dyDescent="0.35">
      <c r="A18" s="18">
        <v>10</v>
      </c>
      <c r="B18" s="184">
        <v>42308</v>
      </c>
      <c r="C18" s="331">
        <f t="shared" si="3"/>
        <v>2015</v>
      </c>
      <c r="D18" s="178">
        <f>IF(VLOOKUP($B18,'Ppto-Mes'!$B$8:$AX$68,D$2,0)&gt;0,VLOOKUP($B18,'Ppto-Mes'!$B$8:$AX$68,D$2,0),0)</f>
        <v>108096845.60049987</v>
      </c>
      <c r="E18" s="175">
        <f>IFERROR(VLOOKUP($B18,'Inv Temp'!$B$7:$I$67,E$2,0),0)</f>
        <v>26000000</v>
      </c>
      <c r="F18" s="175">
        <f>IF($F$1=0,0,IF($F$1=1,IFERROR(HLOOKUP(YEAR($B18),'Ing Proyect'!$B$6:$G$12,6,0),0),IFERROR(HLOOKUP(YEAR($B17),'Ing Proyect'!$B$6:$G$12,6,0),0)+IFERROR(HLOOKUP(YEAR($B18),'Ing Proyect'!$B$6:$G$12,6,0),0)))</f>
        <v>104483000</v>
      </c>
      <c r="G18" s="376">
        <f t="shared" si="4"/>
        <v>238579845.60049987</v>
      </c>
      <c r="H18" s="175">
        <f>IFERROR(VLOOKUP($B18,'Amort Inv Inic'!$B$7:$AN$67,H$1,0),0)+IFERROR(VLOOKUP($B18,'Amort Inv Adic'!$B$7:$BU$67,H$2,0),0)</f>
        <v>34400000</v>
      </c>
      <c r="I18" s="175">
        <f>IFERROR(VLOOKUP($B18,'Amort Inv Inic'!$B$7:$AN$67,I$1,0),0)+IFERROR(VLOOKUP($B18,'Amort Inv Adic'!$B$7:$BU$67,I$2,0),0)</f>
        <v>12493050</v>
      </c>
      <c r="J18" s="175">
        <f t="shared" si="5"/>
        <v>21906950</v>
      </c>
      <c r="K18" s="175">
        <f>IFERROR(VLOOKUP($B18,'Amort Inv Inic'!$B$7:$AN$67,K$1,0),0)+IFERROR(VLOOKUP($B18,'Amort Inv Adic'!$B$7:$BU$67,K$2,0),0)</f>
        <v>48250000</v>
      </c>
      <c r="L18" s="175">
        <f>IFERROR(VLOOKUP($B18,'Amort Inv Inic'!$B$7:$AN$67,L$1,0),0)+IFERROR(VLOOKUP($B18,'Amort Inv Adic'!$B$7:$BU$67,L$2,0),0)</f>
        <v>20041660</v>
      </c>
      <c r="M18" s="175">
        <f t="shared" si="6"/>
        <v>28208340</v>
      </c>
      <c r="N18" s="377">
        <f t="shared" si="7"/>
        <v>50115290</v>
      </c>
      <c r="O18" s="378">
        <f t="shared" si="8"/>
        <v>288695135.60049987</v>
      </c>
      <c r="P18" s="178">
        <f>IF(VLOOKUP($B18,'Ppto-Mes'!$B$8:$AX$68,P$2,0)&lt;0,-VLOOKUP($B18,'Ppto-Mes'!$B$8:$AX$68,P$2,0),0)</f>
        <v>0</v>
      </c>
      <c r="Q18" s="175">
        <f>VLOOKUP($B18,'Financ 1'!$B$15:$P$75,Q$2,0)</f>
        <v>214650000</v>
      </c>
      <c r="R18" s="175">
        <f>VLOOKUP($B18,'Financ 2'!$B$15:$P$75,R$2,0)</f>
        <v>0</v>
      </c>
      <c r="S18" s="175">
        <f>VLOOKUP($B18,'Financ 3'!$B$15:$P$75,S$2,0)</f>
        <v>0</v>
      </c>
      <c r="T18" s="178">
        <f>VLOOKUP($B18,'Ppto-Mes'!$B$8:$AX$68,T$2,0)</f>
        <v>1520000</v>
      </c>
      <c r="U18" s="175">
        <f>VLOOKUP($B18,'Gtos Consultores'!$B$9:$AI$69,U$2,0)</f>
        <v>7157536</v>
      </c>
      <c r="V18" s="175">
        <f>IF($V$1=0,0,IF($V$1=1,IFERROR(HLOOKUP(YEAR($B18),'Gastos Proyect'!$B$4:$F$17,14,0),0),IFERROR(HLOOKUP(YEAR($B17),'Gastos Proyect'!$B$4:$F$17,14,0),0)+IFERROR(HLOOKUP(YEAR($B18),'Gastos Proyect'!$B$4:$F$17,14,0),0)))</f>
        <v>0</v>
      </c>
      <c r="W18" s="377">
        <f t="shared" si="0"/>
        <v>223327536</v>
      </c>
      <c r="X18" s="175">
        <f t="shared" si="15"/>
        <v>50000000</v>
      </c>
      <c r="Y18" s="178">
        <f>IF(MONTH($B18)=12,IF(Y17+ROUND(VLOOKUP($B18,'Ppto-Mes'!$B$8:$AX$68,Y$2,0)*10%,-3)&lt;=50%*X17,Y17+ROUND(VLOOKUP($B18,'Ppto-Mes'!$B$8:$AX$68,Y$2,0)*10%,-3),50%*X17),Y17)</f>
        <v>0</v>
      </c>
      <c r="Z18" s="178">
        <f>VLOOKUP($B18,'Ppto-Mes'!$B$8:$AX$68,Z$2,0)-(Y18-Y17)</f>
        <v>15367599.600499868</v>
      </c>
      <c r="AA18" s="175">
        <f t="shared" si="1"/>
        <v>0</v>
      </c>
      <c r="AB18" s="376">
        <f t="shared" si="9"/>
        <v>65367599.600499868</v>
      </c>
      <c r="AC18" s="378">
        <f t="shared" si="10"/>
        <v>288695135.60049987</v>
      </c>
      <c r="AD18" s="175">
        <f t="shared" si="2"/>
        <v>0</v>
      </c>
      <c r="AF18" s="175">
        <f t="shared" si="11"/>
        <v>-98755.039950013161</v>
      </c>
      <c r="AG18" s="175">
        <f t="shared" si="12"/>
        <v>0</v>
      </c>
      <c r="AH18" s="175">
        <f t="shared" si="13"/>
        <v>0</v>
      </c>
      <c r="AI18" s="175">
        <f t="shared" si="14"/>
        <v>6000000</v>
      </c>
    </row>
    <row r="19" spans="1:35" x14ac:dyDescent="0.35">
      <c r="A19" s="18">
        <v>11</v>
      </c>
      <c r="B19" s="184">
        <v>42338</v>
      </c>
      <c r="C19" s="331">
        <f t="shared" si="3"/>
        <v>2015</v>
      </c>
      <c r="D19" s="178">
        <f>IF(VLOOKUP($B19,'Ppto-Mes'!$B$8:$AX$68,D$2,0)&gt;0,VLOOKUP($B19,'Ppto-Mes'!$B$8:$AX$68,D$2,0),0)</f>
        <v>108024920.56054986</v>
      </c>
      <c r="E19" s="175">
        <f>IFERROR(VLOOKUP($B19,'Inv Temp'!$B$7:$I$67,E$2,0),0)</f>
        <v>32000000</v>
      </c>
      <c r="F19" s="175">
        <f>IF($F$1=0,0,IF($F$1=1,IFERROR(HLOOKUP(YEAR($B19),'Ing Proyect'!$B$6:$G$12,6,0),0),IFERROR(HLOOKUP(YEAR($B18),'Ing Proyect'!$B$6:$G$12,6,0),0)+IFERROR(HLOOKUP(YEAR($B19),'Ing Proyect'!$B$6:$G$12,6,0),0)))</f>
        <v>104483000</v>
      </c>
      <c r="G19" s="376">
        <f t="shared" si="4"/>
        <v>244507920.56054986</v>
      </c>
      <c r="H19" s="175">
        <f>IFERROR(VLOOKUP($B19,'Amort Inv Inic'!$B$7:$AN$67,H$1,0),0)+IFERROR(VLOOKUP($B19,'Amort Inv Adic'!$B$7:$BU$67,H$2,0),0)</f>
        <v>34400000</v>
      </c>
      <c r="I19" s="175">
        <f>IFERROR(VLOOKUP($B19,'Amort Inv Inic'!$B$7:$AN$67,I$1,0),0)+IFERROR(VLOOKUP($B19,'Amort Inv Adic'!$B$7:$BU$67,I$2,0),0)</f>
        <v>13742355</v>
      </c>
      <c r="J19" s="175">
        <f t="shared" si="5"/>
        <v>20657645</v>
      </c>
      <c r="K19" s="175">
        <f>IFERROR(VLOOKUP($B19,'Amort Inv Inic'!$B$7:$AN$67,K$1,0),0)+IFERROR(VLOOKUP($B19,'Amort Inv Adic'!$B$7:$BU$67,K$2,0),0)</f>
        <v>48250000</v>
      </c>
      <c r="L19" s="175">
        <f>IFERROR(VLOOKUP($B19,'Amort Inv Inic'!$B$7:$AN$67,L$1,0),0)+IFERROR(VLOOKUP($B19,'Amort Inv Adic'!$B$7:$BU$67,L$2,0),0)</f>
        <v>22645826</v>
      </c>
      <c r="M19" s="175">
        <f t="shared" si="6"/>
        <v>25604174</v>
      </c>
      <c r="N19" s="377">
        <f t="shared" si="7"/>
        <v>46261819</v>
      </c>
      <c r="O19" s="378">
        <f t="shared" si="8"/>
        <v>290769739.56054986</v>
      </c>
      <c r="P19" s="178">
        <f>IF(VLOOKUP($B19,'Ppto-Mes'!$B$8:$AX$68,P$2,0)&lt;0,-VLOOKUP($B19,'Ppto-Mes'!$B$8:$AX$68,P$2,0),0)</f>
        <v>0</v>
      </c>
      <c r="Q19" s="175">
        <f>VLOOKUP($B19,'Financ 1'!$B$15:$P$75,Q$2,0)</f>
        <v>214650000</v>
      </c>
      <c r="R19" s="175">
        <f>VLOOKUP($B19,'Financ 2'!$B$15:$P$75,R$2,0)</f>
        <v>0</v>
      </c>
      <c r="S19" s="175">
        <f>VLOOKUP($B19,'Financ 3'!$B$15:$P$75,S$2,0)</f>
        <v>0</v>
      </c>
      <c r="T19" s="178">
        <f>VLOOKUP($B19,'Ppto-Mes'!$B$8:$AX$68,T$2,0)</f>
        <v>1617000</v>
      </c>
      <c r="U19" s="175">
        <f>VLOOKUP($B19,'Gtos Consultores'!$B$9:$AI$69,U$2,0)</f>
        <v>8155824</v>
      </c>
      <c r="V19" s="175">
        <f>IF($V$1=0,0,IF($V$1=1,IFERROR(HLOOKUP(YEAR($B19),'Gastos Proyect'!$B$4:$F$17,14,0),0),IFERROR(HLOOKUP(YEAR($B18),'Gastos Proyect'!$B$4:$F$17,14,0),0)+IFERROR(HLOOKUP(YEAR($B19),'Gastos Proyect'!$B$4:$F$17,14,0),0)))</f>
        <v>0</v>
      </c>
      <c r="W19" s="377">
        <f t="shared" si="0"/>
        <v>224422824</v>
      </c>
      <c r="X19" s="175">
        <f t="shared" si="15"/>
        <v>50000000</v>
      </c>
      <c r="Y19" s="178">
        <f>IF(MONTH($B19)=12,IF(Y18+ROUND(VLOOKUP($B19,'Ppto-Mes'!$B$8:$AX$68,Y$2,0)*10%,-3)&lt;=50%*X18,Y18+ROUND(VLOOKUP($B19,'Ppto-Mes'!$B$8:$AX$68,Y$2,0)*10%,-3),50%*X18),Y18)</f>
        <v>0</v>
      </c>
      <c r="Z19" s="178">
        <f>VLOOKUP($B19,'Ppto-Mes'!$B$8:$AX$68,Z$2,0)-(Y19-Y18)</f>
        <v>16346915.560549855</v>
      </c>
      <c r="AA19" s="175">
        <f t="shared" si="1"/>
        <v>0</v>
      </c>
      <c r="AB19" s="376">
        <f t="shared" si="9"/>
        <v>66346915.560549855</v>
      </c>
      <c r="AC19" s="378">
        <f t="shared" si="10"/>
        <v>290769739.56054986</v>
      </c>
      <c r="AD19" s="175">
        <f t="shared" si="2"/>
        <v>0</v>
      </c>
      <c r="AF19" s="175">
        <f t="shared" si="11"/>
        <v>-71925.039950013161</v>
      </c>
      <c r="AG19" s="175">
        <f t="shared" si="12"/>
        <v>0</v>
      </c>
      <c r="AH19" s="175">
        <f t="shared" si="13"/>
        <v>0</v>
      </c>
      <c r="AI19" s="175">
        <f t="shared" si="14"/>
        <v>6000000</v>
      </c>
    </row>
    <row r="20" spans="1:35" x14ac:dyDescent="0.35">
      <c r="A20" s="18">
        <v>12</v>
      </c>
      <c r="B20" s="184">
        <v>42369</v>
      </c>
      <c r="C20" s="331">
        <f t="shared" si="3"/>
        <v>2015</v>
      </c>
      <c r="D20" s="178">
        <f>IF(VLOOKUP($B20,'Ppto-Mes'!$B$8:$AX$68,D$2,0)&gt;0,VLOOKUP($B20,'Ppto-Mes'!$B$8:$AX$68,D$2,0),0)</f>
        <v>117841066.52059984</v>
      </c>
      <c r="E20" s="175">
        <f>IFERROR(VLOOKUP($B20,'Inv Temp'!$B$7:$I$67,E$2,0),0)</f>
        <v>22000000</v>
      </c>
      <c r="F20" s="175">
        <f>IF($F$1=0,0,IF($F$1=1,IFERROR(HLOOKUP(YEAR($B20),'Ing Proyect'!$B$6:$G$12,6,0),0),IFERROR(HLOOKUP(YEAR($B19),'Ing Proyect'!$B$6:$G$12,6,0),0)+IFERROR(HLOOKUP(YEAR($B20),'Ing Proyect'!$B$6:$G$12,6,0),0)))</f>
        <v>104483000</v>
      </c>
      <c r="G20" s="376">
        <f t="shared" si="4"/>
        <v>244324066.52059984</v>
      </c>
      <c r="H20" s="175">
        <f>IFERROR(VLOOKUP($B20,'Amort Inv Inic'!$B$7:$AN$67,H$1,0),0)+IFERROR(VLOOKUP($B20,'Amort Inv Adic'!$B$7:$BU$67,H$2,0),0)</f>
        <v>34400000</v>
      </c>
      <c r="I20" s="175">
        <f>IFERROR(VLOOKUP($B20,'Amort Inv Inic'!$B$7:$AN$67,I$1,0),0)+IFERROR(VLOOKUP($B20,'Amort Inv Adic'!$B$7:$BU$67,I$2,0),0)</f>
        <v>14991660</v>
      </c>
      <c r="J20" s="175">
        <f t="shared" si="5"/>
        <v>19408340</v>
      </c>
      <c r="K20" s="175">
        <f>IFERROR(VLOOKUP($B20,'Amort Inv Inic'!$B$7:$AN$67,K$1,0),0)+IFERROR(VLOOKUP($B20,'Amort Inv Adic'!$B$7:$BU$67,K$2,0),0)</f>
        <v>51550000</v>
      </c>
      <c r="L20" s="175">
        <f>IFERROR(VLOOKUP($B20,'Amort Inv Inic'!$B$7:$AN$67,L$1,0),0)+IFERROR(VLOOKUP($B20,'Amort Inv Adic'!$B$7:$BU$67,L$2,0),0)</f>
        <v>25249992</v>
      </c>
      <c r="M20" s="175">
        <f t="shared" si="6"/>
        <v>26300008</v>
      </c>
      <c r="N20" s="377">
        <f t="shared" si="7"/>
        <v>45708348</v>
      </c>
      <c r="O20" s="378">
        <f t="shared" si="8"/>
        <v>290032414.52059984</v>
      </c>
      <c r="P20" s="178">
        <f>IF(VLOOKUP($B20,'Ppto-Mes'!$B$8:$AX$68,P$2,0)&lt;0,-VLOOKUP($B20,'Ppto-Mes'!$B$8:$AX$68,P$2,0),0)</f>
        <v>0</v>
      </c>
      <c r="Q20" s="175">
        <f>VLOOKUP($B20,'Financ 1'!$B$15:$P$75,Q$2,0)</f>
        <v>214650000</v>
      </c>
      <c r="R20" s="175">
        <f>VLOOKUP($B20,'Financ 2'!$B$15:$P$75,R$2,0)</f>
        <v>0</v>
      </c>
      <c r="S20" s="175">
        <f>VLOOKUP($B20,'Financ 3'!$B$15:$P$75,S$2,0)</f>
        <v>0</v>
      </c>
      <c r="T20" s="178">
        <f>VLOOKUP($B20,'Ppto-Mes'!$B$8:$AX$68,T$2,0)</f>
        <v>1715000</v>
      </c>
      <c r="U20" s="175">
        <f>VLOOKUP($B20,'Gtos Consultores'!$B$9:$AI$69,U$2,0)</f>
        <v>6328768</v>
      </c>
      <c r="V20" s="175">
        <f>IF($V$1=0,0,IF($V$1=1,IFERROR(HLOOKUP(YEAR($B20),'Gastos Proyect'!$B$4:$F$17,14,0),0),IFERROR(HLOOKUP(YEAR($B19),'Gastos Proyect'!$B$4:$F$17,14,0),0)+IFERROR(HLOOKUP(YEAR($B20),'Gastos Proyect'!$B$4:$F$17,14,0),0)))</f>
        <v>0</v>
      </c>
      <c r="W20" s="377">
        <f t="shared" si="0"/>
        <v>222693768</v>
      </c>
      <c r="X20" s="175">
        <f t="shared" si="15"/>
        <v>50000000</v>
      </c>
      <c r="Y20" s="178">
        <f>IF(MONTH($B20)=12,IF(Y19+ROUND(VLOOKUP($B20,'Ppto-Mes'!$B$8:$AX$68,Y$2,0)*10%,-3)&lt;=50%*X19,Y19+ROUND(VLOOKUP($B20,'Ppto-Mes'!$B$8:$AX$68,Y$2,0)*10%,-3),50%*X19),Y19)</f>
        <v>1734000</v>
      </c>
      <c r="Z20" s="178">
        <f>VLOOKUP($B20,'Ppto-Mes'!$B$8:$AX$68,Z$2,0)-(Y20-Y19)</f>
        <v>15604646.520599842</v>
      </c>
      <c r="AA20" s="175">
        <f t="shared" si="1"/>
        <v>0</v>
      </c>
      <c r="AB20" s="376">
        <f t="shared" si="9"/>
        <v>67338646.520599842</v>
      </c>
      <c r="AC20" s="378">
        <f t="shared" si="10"/>
        <v>290032414.52059984</v>
      </c>
      <c r="AD20" s="175">
        <f t="shared" si="2"/>
        <v>0</v>
      </c>
      <c r="AF20" s="175">
        <f t="shared" si="11"/>
        <v>9816145.9600499868</v>
      </c>
      <c r="AG20" s="175">
        <f t="shared" si="12"/>
        <v>0</v>
      </c>
      <c r="AH20" s="175">
        <f t="shared" si="13"/>
        <v>3300000</v>
      </c>
      <c r="AI20" s="175">
        <f t="shared" si="14"/>
        <v>-10000000</v>
      </c>
    </row>
    <row r="21" spans="1:35" x14ac:dyDescent="0.35">
      <c r="A21" s="18">
        <v>13</v>
      </c>
      <c r="B21" s="184">
        <v>42400</v>
      </c>
      <c r="C21" s="331">
        <f t="shared" si="3"/>
        <v>2016</v>
      </c>
      <c r="D21" s="178">
        <f>IF(VLOOKUP($B21,'Ppto-Mes'!$B$8:$AX$68,D$2,0)&gt;0,VLOOKUP($B21,'Ppto-Mes'!$B$8:$AX$68,D$2,0),0)</f>
        <v>111979232.65679982</v>
      </c>
      <c r="E21" s="175">
        <f>IFERROR(VLOOKUP($B21,'Inv Temp'!$B$7:$I$67,E$2,0),0)</f>
        <v>5000000</v>
      </c>
      <c r="F21" s="175">
        <f>IF($F$1=0,0,IF($F$1=1,IFERROR(HLOOKUP(YEAR($B21),'Ing Proyect'!$B$6:$G$12,6,0),0),IFERROR(HLOOKUP(YEAR($B20),'Ing Proyect'!$B$6:$G$12,6,0),0)+IFERROR(HLOOKUP(YEAR($B21),'Ing Proyect'!$B$6:$G$12,6,0),0)))</f>
        <v>119393000</v>
      </c>
      <c r="G21" s="376">
        <f t="shared" si="4"/>
        <v>236372232.65679982</v>
      </c>
      <c r="H21" s="175">
        <f>IFERROR(VLOOKUP($B21,'Amort Inv Inic'!$B$7:$AN$67,H$1,0),0)+IFERROR(VLOOKUP($B21,'Amort Inv Adic'!$B$7:$BU$67,H$2,0),0)</f>
        <v>34400000</v>
      </c>
      <c r="I21" s="175">
        <f>IFERROR(VLOOKUP($B21,'Amort Inv Inic'!$B$7:$AN$67,I$1,0),0)+IFERROR(VLOOKUP($B21,'Amort Inv Adic'!$B$7:$BU$67,I$2,0),0)</f>
        <v>16240966</v>
      </c>
      <c r="J21" s="175">
        <f t="shared" si="5"/>
        <v>18159034</v>
      </c>
      <c r="K21" s="175">
        <f>IFERROR(VLOOKUP($B21,'Amort Inv Inic'!$B$7:$AN$67,K$1,0),0)+IFERROR(VLOOKUP($B21,'Amort Inv Adic'!$B$7:$BU$67,K$2,0),0)</f>
        <v>51550000</v>
      </c>
      <c r="L21" s="175">
        <f>IFERROR(VLOOKUP($B21,'Amort Inv Inic'!$B$7:$AN$67,L$1,0),0)+IFERROR(VLOOKUP($B21,'Amort Inv Adic'!$B$7:$BU$67,L$2,0),0)</f>
        <v>26879158</v>
      </c>
      <c r="M21" s="175">
        <f t="shared" si="6"/>
        <v>24670842</v>
      </c>
      <c r="N21" s="377">
        <f t="shared" si="7"/>
        <v>42829876</v>
      </c>
      <c r="O21" s="378">
        <f t="shared" si="8"/>
        <v>279202108.65679979</v>
      </c>
      <c r="P21" s="178">
        <f>IF(VLOOKUP($B21,'Ppto-Mes'!$B$8:$AX$68,P$2,0)&lt;0,-VLOOKUP($B21,'Ppto-Mes'!$B$8:$AX$68,P$2,0),0)</f>
        <v>0</v>
      </c>
      <c r="Q21" s="175">
        <f>VLOOKUP($B21,'Financ 1'!$B$15:$P$75,Q$2,0)</f>
        <v>205706250</v>
      </c>
      <c r="R21" s="175">
        <f>VLOOKUP($B21,'Financ 2'!$B$15:$P$75,R$2,0)</f>
        <v>0</v>
      </c>
      <c r="S21" s="175">
        <f>VLOOKUP($B21,'Financ 3'!$B$15:$P$75,S$2,0)</f>
        <v>0</v>
      </c>
      <c r="T21" s="178">
        <f>VLOOKUP($B21,'Ppto-Mes'!$B$8:$AX$68,T$2,0)</f>
        <v>2017000</v>
      </c>
      <c r="U21" s="175">
        <f>VLOOKUP($B21,'Gtos Consultores'!$B$9:$AI$69,U$2,0)</f>
        <v>1088694</v>
      </c>
      <c r="V21" s="175">
        <f>IF($V$1=0,0,IF($V$1=1,IFERROR(HLOOKUP(YEAR($B21),'Gastos Proyect'!$B$4:$F$17,14,0),0),IFERROR(HLOOKUP(YEAR($B20),'Gastos Proyect'!$B$4:$F$17,14,0),0)+IFERROR(HLOOKUP(YEAR($B21),'Gastos Proyect'!$B$4:$F$17,14,0),0)))</f>
        <v>0</v>
      </c>
      <c r="W21" s="377">
        <f t="shared" si="0"/>
        <v>208811944</v>
      </c>
      <c r="X21" s="175">
        <f t="shared" si="15"/>
        <v>50000000</v>
      </c>
      <c r="Y21" s="178">
        <f>IF(MONTH($B21)=12,IF(Y20+ROUND(VLOOKUP($B21,'Ppto-Mes'!$B$8:$AX$68,Y$2,0)*10%,-3)&lt;=50%*X20,Y20+ROUND(VLOOKUP($B21,'Ppto-Mes'!$B$8:$AX$68,Y$2,0)*10%,-3),50%*X20),Y20)</f>
        <v>1734000</v>
      </c>
      <c r="Z21" s="178">
        <f>VLOOKUP($B21,'Ppto-Mes'!$B$8:$AX$68,Z$2,0)-(Y21-Y20)</f>
        <v>3051518.136199981</v>
      </c>
      <c r="AA21" s="175">
        <f t="shared" si="1"/>
        <v>15604646.520599842</v>
      </c>
      <c r="AB21" s="376">
        <f t="shared" si="9"/>
        <v>70390164.656799823</v>
      </c>
      <c r="AC21" s="378">
        <f t="shared" si="10"/>
        <v>279202108.65679979</v>
      </c>
      <c r="AD21" s="175">
        <f t="shared" si="2"/>
        <v>0</v>
      </c>
      <c r="AF21" s="175">
        <f t="shared" si="11"/>
        <v>-5861833.863800019</v>
      </c>
      <c r="AG21" s="175">
        <f t="shared" si="12"/>
        <v>0</v>
      </c>
      <c r="AH21" s="175">
        <f t="shared" si="13"/>
        <v>0</v>
      </c>
      <c r="AI21" s="175">
        <f t="shared" si="14"/>
        <v>-17000000</v>
      </c>
    </row>
    <row r="22" spans="1:35" x14ac:dyDescent="0.35">
      <c r="A22" s="18">
        <v>14</v>
      </c>
      <c r="B22" s="184">
        <v>42429</v>
      </c>
      <c r="C22" s="331">
        <f t="shared" si="3"/>
        <v>2016</v>
      </c>
      <c r="D22" s="178">
        <f>IF(VLOOKUP($B22,'Ppto-Mes'!$B$8:$AX$68,D$2,0)&gt;0,VLOOKUP($B22,'Ppto-Mes'!$B$8:$AX$68,D$2,0),0)</f>
        <v>111356838.7929998</v>
      </c>
      <c r="E22" s="175">
        <f>IFERROR(VLOOKUP($B22,'Inv Temp'!$B$7:$I$67,E$2,0),0)</f>
        <v>4000000</v>
      </c>
      <c r="F22" s="175">
        <f>IF($F$1=0,0,IF($F$1=1,IFERROR(HLOOKUP(YEAR($B22),'Ing Proyect'!$B$6:$G$12,6,0),0),IFERROR(HLOOKUP(YEAR($B21),'Ing Proyect'!$B$6:$G$12,6,0),0)+IFERROR(HLOOKUP(YEAR($B22),'Ing Proyect'!$B$6:$G$12,6,0),0)))</f>
        <v>119393000</v>
      </c>
      <c r="G22" s="376">
        <f t="shared" si="4"/>
        <v>234749838.7929998</v>
      </c>
      <c r="H22" s="175">
        <f>IFERROR(VLOOKUP($B22,'Amort Inv Inic'!$B$7:$AN$67,H$1,0),0)+IFERROR(VLOOKUP($B22,'Amort Inv Adic'!$B$7:$BU$67,H$2,0),0)</f>
        <v>34400000</v>
      </c>
      <c r="I22" s="175">
        <f>IFERROR(VLOOKUP($B22,'Amort Inv Inic'!$B$7:$AN$67,I$1,0),0)+IFERROR(VLOOKUP($B22,'Amort Inv Adic'!$B$7:$BU$67,I$2,0),0)</f>
        <v>17490271</v>
      </c>
      <c r="J22" s="175">
        <f t="shared" si="5"/>
        <v>16909729</v>
      </c>
      <c r="K22" s="175">
        <f>IFERROR(VLOOKUP($B22,'Amort Inv Inic'!$B$7:$AN$67,K$1,0),0)+IFERROR(VLOOKUP($B22,'Amort Inv Adic'!$B$7:$BU$67,K$2,0),0)</f>
        <v>51550000</v>
      </c>
      <c r="L22" s="175">
        <f>IFERROR(VLOOKUP($B22,'Amort Inv Inic'!$B$7:$AN$67,L$1,0),0)+IFERROR(VLOOKUP($B22,'Amort Inv Adic'!$B$7:$BU$67,L$2,0),0)</f>
        <v>28508324</v>
      </c>
      <c r="M22" s="175">
        <f t="shared" si="6"/>
        <v>23041676</v>
      </c>
      <c r="N22" s="377">
        <f t="shared" si="7"/>
        <v>39951405</v>
      </c>
      <c r="O22" s="378">
        <f t="shared" si="8"/>
        <v>274701243.7929998</v>
      </c>
      <c r="P22" s="178">
        <f>IF(VLOOKUP($B22,'Ppto-Mes'!$B$8:$AX$68,P$2,0)&lt;0,-VLOOKUP($B22,'Ppto-Mes'!$B$8:$AX$68,P$2,0),0)</f>
        <v>0</v>
      </c>
      <c r="Q22" s="175">
        <f>VLOOKUP($B22,'Financ 1'!$B$15:$P$75,Q$2,0)</f>
        <v>196762500</v>
      </c>
      <c r="R22" s="175">
        <f>VLOOKUP($B22,'Financ 2'!$B$15:$P$75,R$2,0)</f>
        <v>0</v>
      </c>
      <c r="S22" s="175">
        <f>VLOOKUP($B22,'Financ 3'!$B$15:$P$75,S$2,0)</f>
        <v>0</v>
      </c>
      <c r="T22" s="178">
        <f>VLOOKUP($B22,'Ppto-Mes'!$B$8:$AX$68,T$2,0)</f>
        <v>2319000</v>
      </c>
      <c r="U22" s="175">
        <f>VLOOKUP($B22,'Gtos Consultores'!$B$9:$AI$69,U$2,0)</f>
        <v>2177390</v>
      </c>
      <c r="V22" s="175">
        <f>IF($V$1=0,0,IF($V$1=1,IFERROR(HLOOKUP(YEAR($B22),'Gastos Proyect'!$B$4:$F$17,14,0),0),IFERROR(HLOOKUP(YEAR($B21),'Gastos Proyect'!$B$4:$F$17,14,0),0)+IFERROR(HLOOKUP(YEAR($B22),'Gastos Proyect'!$B$4:$F$17,14,0),0)))</f>
        <v>0</v>
      </c>
      <c r="W22" s="377">
        <f t="shared" si="0"/>
        <v>201258890</v>
      </c>
      <c r="X22" s="175">
        <f t="shared" si="15"/>
        <v>50000000</v>
      </c>
      <c r="Y22" s="178">
        <f>IF(MONTH($B22)=12,IF(Y21+ROUND(VLOOKUP($B22,'Ppto-Mes'!$B$8:$AX$68,Y$2,0)*10%,-3)&lt;=50%*X21,Y21+ROUND(VLOOKUP($B22,'Ppto-Mes'!$B$8:$AX$68,Y$2,0)*10%,-3),50%*X21),Y21)</f>
        <v>1734000</v>
      </c>
      <c r="Z22" s="178">
        <f>VLOOKUP($B22,'Ppto-Mes'!$B$8:$AX$68,Z$2,0)-(Y22-Y21)</f>
        <v>6103707.2723999619</v>
      </c>
      <c r="AA22" s="175">
        <f t="shared" si="1"/>
        <v>15604646.520599842</v>
      </c>
      <c r="AB22" s="376">
        <f t="shared" si="9"/>
        <v>73442353.792999804</v>
      </c>
      <c r="AC22" s="378">
        <f t="shared" si="10"/>
        <v>274701243.7929998</v>
      </c>
      <c r="AD22" s="175">
        <f t="shared" si="2"/>
        <v>0</v>
      </c>
      <c r="AF22" s="175">
        <f t="shared" si="11"/>
        <v>-622393.86380001903</v>
      </c>
      <c r="AG22" s="175">
        <f t="shared" si="12"/>
        <v>0</v>
      </c>
      <c r="AH22" s="175">
        <f t="shared" si="13"/>
        <v>0</v>
      </c>
      <c r="AI22" s="175">
        <f t="shared" si="14"/>
        <v>-1000000</v>
      </c>
    </row>
    <row r="23" spans="1:35" x14ac:dyDescent="0.35">
      <c r="A23" s="18">
        <v>15</v>
      </c>
      <c r="B23" s="184">
        <v>42460</v>
      </c>
      <c r="C23" s="331">
        <f t="shared" si="3"/>
        <v>2016</v>
      </c>
      <c r="D23" s="178">
        <f>IF(VLOOKUP($B23,'Ppto-Mes'!$B$8:$AX$68,D$2,0)&gt;0,VLOOKUP($B23,'Ppto-Mes'!$B$8:$AX$68,D$2,0),0)</f>
        <v>111809830.92919978</v>
      </c>
      <c r="E23" s="175">
        <f>IFERROR(VLOOKUP($B23,'Inv Temp'!$B$7:$I$67,E$2,0),0)</f>
        <v>2000000</v>
      </c>
      <c r="F23" s="175">
        <f>IF($F$1=0,0,IF($F$1=1,IFERROR(HLOOKUP(YEAR($B23),'Ing Proyect'!$B$6:$G$12,6,0),0),IFERROR(HLOOKUP(YEAR($B22),'Ing Proyect'!$B$6:$G$12,6,0),0)+IFERROR(HLOOKUP(YEAR($B23),'Ing Proyect'!$B$6:$G$12,6,0),0)))</f>
        <v>119393000</v>
      </c>
      <c r="G23" s="376">
        <f t="shared" si="4"/>
        <v>233202830.92919978</v>
      </c>
      <c r="H23" s="175">
        <f>IFERROR(VLOOKUP($B23,'Amort Inv Inic'!$B$7:$AN$67,H$1,0),0)+IFERROR(VLOOKUP($B23,'Amort Inv Adic'!$B$7:$BU$67,H$2,0),0)</f>
        <v>34400000</v>
      </c>
      <c r="I23" s="175">
        <f>IFERROR(VLOOKUP($B23,'Amort Inv Inic'!$B$7:$AN$67,I$1,0),0)+IFERROR(VLOOKUP($B23,'Amort Inv Adic'!$B$7:$BU$67,I$2,0),0)</f>
        <v>18739577</v>
      </c>
      <c r="J23" s="175">
        <f t="shared" si="5"/>
        <v>15660423</v>
      </c>
      <c r="K23" s="175">
        <f>IFERROR(VLOOKUP($B23,'Amort Inv Inic'!$B$7:$AN$67,K$1,0),0)+IFERROR(VLOOKUP($B23,'Amort Inv Adic'!$B$7:$BU$67,K$2,0),0)</f>
        <v>51550000</v>
      </c>
      <c r="L23" s="175">
        <f>IFERROR(VLOOKUP($B23,'Amort Inv Inic'!$B$7:$AN$67,L$1,0),0)+IFERROR(VLOOKUP($B23,'Amort Inv Adic'!$B$7:$BU$67,L$2,0),0)</f>
        <v>30137490</v>
      </c>
      <c r="M23" s="175">
        <f t="shared" si="6"/>
        <v>21412510</v>
      </c>
      <c r="N23" s="377">
        <f t="shared" si="7"/>
        <v>37072933</v>
      </c>
      <c r="O23" s="378">
        <f t="shared" si="8"/>
        <v>270275763.92919981</v>
      </c>
      <c r="P23" s="178">
        <f>IF(VLOOKUP($B23,'Ppto-Mes'!$B$8:$AX$68,P$2,0)&lt;0,-VLOOKUP($B23,'Ppto-Mes'!$B$8:$AX$68,P$2,0),0)</f>
        <v>0</v>
      </c>
      <c r="Q23" s="175">
        <f>VLOOKUP($B23,'Financ 1'!$B$15:$P$75,Q$2,0)</f>
        <v>187818750</v>
      </c>
      <c r="R23" s="175">
        <f>VLOOKUP($B23,'Financ 2'!$B$15:$P$75,R$2,0)</f>
        <v>0</v>
      </c>
      <c r="S23" s="175">
        <f>VLOOKUP($B23,'Financ 3'!$B$15:$P$75,S$2,0)</f>
        <v>0</v>
      </c>
      <c r="T23" s="178">
        <f>VLOOKUP($B23,'Ppto-Mes'!$B$8:$AX$68,T$2,0)</f>
        <v>2628000</v>
      </c>
      <c r="U23" s="175">
        <f>VLOOKUP($B23,'Gtos Consultores'!$B$9:$AI$69,U$2,0)</f>
        <v>3266086</v>
      </c>
      <c r="V23" s="175">
        <f>IF($V$1=0,0,IF($V$1=1,IFERROR(HLOOKUP(YEAR($B23),'Gastos Proyect'!$B$4:$F$17,14,0),0),IFERROR(HLOOKUP(YEAR($B22),'Gastos Proyect'!$B$4:$F$17,14,0),0)+IFERROR(HLOOKUP(YEAR($B23),'Gastos Proyect'!$B$4:$F$17,14,0),0)))</f>
        <v>0</v>
      </c>
      <c r="W23" s="377">
        <f t="shared" si="0"/>
        <v>193712836</v>
      </c>
      <c r="X23" s="175">
        <f t="shared" si="15"/>
        <v>50000000</v>
      </c>
      <c r="Y23" s="178">
        <f>IF(MONTH($B23)=12,IF(Y22+ROUND(VLOOKUP($B23,'Ppto-Mes'!$B$8:$AX$68,Y$2,0)*10%,-3)&lt;=50%*X22,Y22+ROUND(VLOOKUP($B23,'Ppto-Mes'!$B$8:$AX$68,Y$2,0)*10%,-3),50%*X22),Y22)</f>
        <v>1734000</v>
      </c>
      <c r="Z23" s="178">
        <f>VLOOKUP($B23,'Ppto-Mes'!$B$8:$AX$68,Z$2,0)-(Y23-Y22)</f>
        <v>9224281.4085999429</v>
      </c>
      <c r="AA23" s="175">
        <f t="shared" si="1"/>
        <v>15604646.520599842</v>
      </c>
      <c r="AB23" s="376">
        <f t="shared" si="9"/>
        <v>76562927.929199785</v>
      </c>
      <c r="AC23" s="378">
        <f t="shared" si="10"/>
        <v>270275763.92919981</v>
      </c>
      <c r="AD23" s="175">
        <f t="shared" si="2"/>
        <v>0</v>
      </c>
      <c r="AF23" s="175">
        <f t="shared" si="11"/>
        <v>452992.13619998097</v>
      </c>
      <c r="AG23" s="175">
        <f t="shared" si="12"/>
        <v>0</v>
      </c>
      <c r="AH23" s="175">
        <f t="shared" si="13"/>
        <v>0</v>
      </c>
      <c r="AI23" s="175">
        <f t="shared" si="14"/>
        <v>-2000000</v>
      </c>
    </row>
    <row r="24" spans="1:35" x14ac:dyDescent="0.35">
      <c r="A24" s="18">
        <v>16</v>
      </c>
      <c r="B24" s="184">
        <v>42490</v>
      </c>
      <c r="C24" s="331">
        <f t="shared" si="3"/>
        <v>2016</v>
      </c>
      <c r="D24" s="178">
        <f>IF(VLOOKUP($B24,'Ppto-Mes'!$B$8:$AX$68,D$2,0)&gt;0,VLOOKUP($B24,'Ppto-Mes'!$B$8:$AX$68,D$2,0),0)</f>
        <v>111513497.06539977</v>
      </c>
      <c r="E24" s="175">
        <f>IFERROR(VLOOKUP($B24,'Inv Temp'!$B$7:$I$67,E$2,0),0)</f>
        <v>0</v>
      </c>
      <c r="F24" s="175">
        <f>IF($F$1=0,0,IF($F$1=1,IFERROR(HLOOKUP(YEAR($B24),'Ing Proyect'!$B$6:$G$12,6,0),0),IFERROR(HLOOKUP(YEAR($B23),'Ing Proyect'!$B$6:$G$12,6,0),0)+IFERROR(HLOOKUP(YEAR($B24),'Ing Proyect'!$B$6:$G$12,6,0),0)))</f>
        <v>119393000</v>
      </c>
      <c r="G24" s="376">
        <f t="shared" si="4"/>
        <v>230906497.06539977</v>
      </c>
      <c r="H24" s="175">
        <f>IFERROR(VLOOKUP($B24,'Amort Inv Inic'!$B$7:$AN$67,H$1,0),0)+IFERROR(VLOOKUP($B24,'Amort Inv Adic'!$B$7:$BU$67,H$2,0),0)</f>
        <v>34400000</v>
      </c>
      <c r="I24" s="175">
        <f>IFERROR(VLOOKUP($B24,'Amort Inv Inic'!$B$7:$AN$67,I$1,0),0)+IFERROR(VLOOKUP($B24,'Amort Inv Adic'!$B$7:$BU$67,I$2,0),0)</f>
        <v>19988882</v>
      </c>
      <c r="J24" s="175">
        <f t="shared" si="5"/>
        <v>14411118</v>
      </c>
      <c r="K24" s="175">
        <f>IFERROR(VLOOKUP($B24,'Amort Inv Inic'!$B$7:$AN$67,K$1,0),0)+IFERROR(VLOOKUP($B24,'Amort Inv Adic'!$B$7:$BU$67,K$2,0),0)</f>
        <v>51550000</v>
      </c>
      <c r="L24" s="175">
        <f>IFERROR(VLOOKUP($B24,'Amort Inv Inic'!$B$7:$AN$67,L$1,0),0)+IFERROR(VLOOKUP($B24,'Amort Inv Adic'!$B$7:$BU$67,L$2,0),0)</f>
        <v>31766656</v>
      </c>
      <c r="M24" s="175">
        <f t="shared" si="6"/>
        <v>19783344</v>
      </c>
      <c r="N24" s="377">
        <f t="shared" si="7"/>
        <v>34194462</v>
      </c>
      <c r="O24" s="378">
        <f t="shared" si="8"/>
        <v>265100959.06539977</v>
      </c>
      <c r="P24" s="178">
        <f>IF(VLOOKUP($B24,'Ppto-Mes'!$B$8:$AX$68,P$2,0)&lt;0,-VLOOKUP($B24,'Ppto-Mes'!$B$8:$AX$68,P$2,0),0)</f>
        <v>0</v>
      </c>
      <c r="Q24" s="175">
        <f>VLOOKUP($B24,'Financ 1'!$B$15:$P$75,Q$2,0)</f>
        <v>178875000</v>
      </c>
      <c r="R24" s="175">
        <f>VLOOKUP($B24,'Financ 2'!$B$15:$P$75,R$2,0)</f>
        <v>0</v>
      </c>
      <c r="S24" s="175">
        <f>VLOOKUP($B24,'Financ 3'!$B$15:$P$75,S$2,0)</f>
        <v>0</v>
      </c>
      <c r="T24" s="178">
        <f>VLOOKUP($B24,'Ppto-Mes'!$B$8:$AX$68,T$2,0)</f>
        <v>2088500</v>
      </c>
      <c r="U24" s="175">
        <f>VLOOKUP($B24,'Gtos Consultores'!$B$9:$AI$69,U$2,0)</f>
        <v>4354782</v>
      </c>
      <c r="V24" s="175">
        <f>IF($V$1=0,0,IF($V$1=1,IFERROR(HLOOKUP(YEAR($B24),'Gastos Proyect'!$B$4:$F$17,14,0),0),IFERROR(HLOOKUP(YEAR($B23),'Gastos Proyect'!$B$4:$F$17,14,0),0)+IFERROR(HLOOKUP(YEAR($B24),'Gastos Proyect'!$B$4:$F$17,14,0),0)))</f>
        <v>0</v>
      </c>
      <c r="W24" s="377">
        <f t="shared" si="0"/>
        <v>185318282</v>
      </c>
      <c r="X24" s="175">
        <f t="shared" si="15"/>
        <v>50000000</v>
      </c>
      <c r="Y24" s="178">
        <f>IF(MONTH($B24)=12,IF(Y23+ROUND(VLOOKUP($B24,'Ppto-Mes'!$B$8:$AX$68,Y$2,0)*10%,-3)&lt;=50%*X23,Y23+ROUND(VLOOKUP($B24,'Ppto-Mes'!$B$8:$AX$68,Y$2,0)*10%,-3),50%*X23),Y23)</f>
        <v>1734000</v>
      </c>
      <c r="Z24" s="178">
        <f>VLOOKUP($B24,'Ppto-Mes'!$B$8:$AX$68,Z$2,0)-(Y24-Y23)</f>
        <v>12444030.544799924</v>
      </c>
      <c r="AA24" s="175">
        <f t="shared" si="1"/>
        <v>15604646.520599842</v>
      </c>
      <c r="AB24" s="376">
        <f t="shared" si="9"/>
        <v>79782677.065399766</v>
      </c>
      <c r="AC24" s="378">
        <f t="shared" si="10"/>
        <v>265100959.06539977</v>
      </c>
      <c r="AD24" s="175">
        <f t="shared" si="2"/>
        <v>0</v>
      </c>
      <c r="AF24" s="175">
        <f t="shared" si="11"/>
        <v>-296333.86380001903</v>
      </c>
      <c r="AG24" s="175">
        <f t="shared" si="12"/>
        <v>0</v>
      </c>
      <c r="AH24" s="175">
        <f t="shared" si="13"/>
        <v>0</v>
      </c>
      <c r="AI24" s="175">
        <f t="shared" si="14"/>
        <v>-2000000</v>
      </c>
    </row>
    <row r="25" spans="1:35" x14ac:dyDescent="0.35">
      <c r="A25" s="18">
        <v>17</v>
      </c>
      <c r="B25" s="184">
        <v>42521</v>
      </c>
      <c r="C25" s="331">
        <f t="shared" si="3"/>
        <v>2016</v>
      </c>
      <c r="D25" s="178">
        <f>IF(VLOOKUP($B25,'Ppto-Mes'!$B$8:$AX$68,D$2,0)&gt;0,VLOOKUP($B25,'Ppto-Mes'!$B$8:$AX$68,D$2,0),0)</f>
        <v>114143974.20159975</v>
      </c>
      <c r="E25" s="175">
        <f>IFERROR(VLOOKUP($B25,'Inv Temp'!$B$7:$I$67,E$2,0),0)</f>
        <v>0</v>
      </c>
      <c r="F25" s="175">
        <f>IF($F$1=0,0,IF($F$1=1,IFERROR(HLOOKUP(YEAR($B25),'Ing Proyect'!$B$6:$G$12,6,0),0),IFERROR(HLOOKUP(YEAR($B24),'Ing Proyect'!$B$6:$G$12,6,0),0)+IFERROR(HLOOKUP(YEAR($B25),'Ing Proyect'!$B$6:$G$12,6,0),0)))</f>
        <v>119393000</v>
      </c>
      <c r="G25" s="376">
        <f t="shared" si="4"/>
        <v>233536974.20159975</v>
      </c>
      <c r="H25" s="175">
        <f>IFERROR(VLOOKUP($B25,'Amort Inv Inic'!$B$7:$AN$67,H$1,0),0)+IFERROR(VLOOKUP($B25,'Amort Inv Adic'!$B$7:$BU$67,H$2,0),0)</f>
        <v>34400000</v>
      </c>
      <c r="I25" s="175">
        <f>IFERROR(VLOOKUP($B25,'Amort Inv Inic'!$B$7:$AN$67,I$1,0),0)+IFERROR(VLOOKUP($B25,'Amort Inv Adic'!$B$7:$BU$67,I$2,0),0)</f>
        <v>21238188</v>
      </c>
      <c r="J25" s="175">
        <f t="shared" si="5"/>
        <v>13161812</v>
      </c>
      <c r="K25" s="175">
        <f>IFERROR(VLOOKUP($B25,'Amort Inv Inic'!$B$7:$AN$67,K$1,0),0)+IFERROR(VLOOKUP($B25,'Amort Inv Adic'!$B$7:$BU$67,K$2,0),0)</f>
        <v>51550000</v>
      </c>
      <c r="L25" s="175">
        <f>IFERROR(VLOOKUP($B25,'Amort Inv Inic'!$B$7:$AN$67,L$1,0),0)+IFERROR(VLOOKUP($B25,'Amort Inv Adic'!$B$7:$BU$67,L$2,0),0)</f>
        <v>33395822</v>
      </c>
      <c r="M25" s="175">
        <f t="shared" si="6"/>
        <v>18154178</v>
      </c>
      <c r="N25" s="377">
        <f t="shared" si="7"/>
        <v>31315990</v>
      </c>
      <c r="O25" s="378">
        <f t="shared" si="8"/>
        <v>264852964.20159975</v>
      </c>
      <c r="P25" s="178">
        <f>IF(VLOOKUP($B25,'Ppto-Mes'!$B$8:$AX$68,P$2,0)&lt;0,-VLOOKUP($B25,'Ppto-Mes'!$B$8:$AX$68,P$2,0),0)</f>
        <v>0</v>
      </c>
      <c r="Q25" s="175">
        <f>VLOOKUP($B25,'Financ 1'!$B$15:$P$75,Q$2,0)</f>
        <v>169931250</v>
      </c>
      <c r="R25" s="175">
        <f>VLOOKUP($B25,'Financ 2'!$B$15:$P$75,R$2,0)</f>
        <v>0</v>
      </c>
      <c r="S25" s="175">
        <f>VLOOKUP($B25,'Financ 3'!$B$15:$P$75,S$2,0)</f>
        <v>4000000</v>
      </c>
      <c r="T25" s="178">
        <f>VLOOKUP($B25,'Ppto-Mes'!$B$8:$AX$68,T$2,0)</f>
        <v>2413500</v>
      </c>
      <c r="U25" s="175">
        <f>VLOOKUP($B25,'Gtos Consultores'!$B$9:$AI$69,U$2,0)</f>
        <v>5443478</v>
      </c>
      <c r="V25" s="175">
        <f>IF($V$1=0,0,IF($V$1=1,IFERROR(HLOOKUP(YEAR($B25),'Gastos Proyect'!$B$4:$F$17,14,0),0),IFERROR(HLOOKUP(YEAR($B24),'Gastos Proyect'!$B$4:$F$17,14,0),0)+IFERROR(HLOOKUP(YEAR($B25),'Gastos Proyect'!$B$4:$F$17,14,0),0)))</f>
        <v>0</v>
      </c>
      <c r="W25" s="377">
        <f t="shared" si="0"/>
        <v>181788228</v>
      </c>
      <c r="X25" s="175">
        <f t="shared" si="15"/>
        <v>50000000</v>
      </c>
      <c r="Y25" s="178">
        <f>IF(MONTH($B25)=12,IF(Y24+ROUND(VLOOKUP($B25,'Ppto-Mes'!$B$8:$AX$68,Y$2,0)*10%,-3)&lt;=50%*X24,Y24+ROUND(VLOOKUP($B25,'Ppto-Mes'!$B$8:$AX$68,Y$2,0)*10%,-3),50%*X24),Y24)</f>
        <v>1734000</v>
      </c>
      <c r="Z25" s="178">
        <f>VLOOKUP($B25,'Ppto-Mes'!$B$8:$AX$68,Z$2,0)-(Y25-Y24)</f>
        <v>15726089.680999905</v>
      </c>
      <c r="AA25" s="175">
        <f t="shared" si="1"/>
        <v>15604646.520599842</v>
      </c>
      <c r="AB25" s="376">
        <f t="shared" si="9"/>
        <v>83064736.201599747</v>
      </c>
      <c r="AC25" s="378">
        <f t="shared" si="10"/>
        <v>264852964.20159975</v>
      </c>
      <c r="AD25" s="175">
        <f t="shared" si="2"/>
        <v>0</v>
      </c>
      <c r="AF25" s="175">
        <f t="shared" si="11"/>
        <v>2630477.136199981</v>
      </c>
      <c r="AG25" s="175">
        <f t="shared" si="12"/>
        <v>0</v>
      </c>
      <c r="AH25" s="175">
        <f t="shared" si="13"/>
        <v>0</v>
      </c>
      <c r="AI25" s="175">
        <f t="shared" si="14"/>
        <v>0</v>
      </c>
    </row>
    <row r="26" spans="1:35" x14ac:dyDescent="0.35">
      <c r="A26" s="18">
        <v>18</v>
      </c>
      <c r="B26" s="184">
        <v>42551</v>
      </c>
      <c r="C26" s="331">
        <f t="shared" si="3"/>
        <v>2016</v>
      </c>
      <c r="D26" s="178">
        <f>IF(VLOOKUP($B26,'Ppto-Mes'!$B$8:$AX$68,D$2,0)&gt;0,VLOOKUP($B26,'Ppto-Mes'!$B$8:$AX$68,D$2,0),0)</f>
        <v>107267711.33779973</v>
      </c>
      <c r="E26" s="175">
        <f>IFERROR(VLOOKUP($B26,'Inv Temp'!$B$7:$I$67,E$2,0),0)</f>
        <v>0</v>
      </c>
      <c r="F26" s="175">
        <f>IF($F$1=0,0,IF($F$1=1,IFERROR(HLOOKUP(YEAR($B26),'Ing Proyect'!$B$6:$G$12,6,0),0),IFERROR(HLOOKUP(YEAR($B25),'Ing Proyect'!$B$6:$G$12,6,0),0)+IFERROR(HLOOKUP(YEAR($B26),'Ing Proyect'!$B$6:$G$12,6,0),0)))</f>
        <v>119393000</v>
      </c>
      <c r="G26" s="376">
        <f t="shared" si="4"/>
        <v>226660711.33779973</v>
      </c>
      <c r="H26" s="175">
        <f>IFERROR(VLOOKUP($B26,'Amort Inv Inic'!$B$7:$AN$67,H$1,0),0)+IFERROR(VLOOKUP($B26,'Amort Inv Adic'!$B$7:$BU$67,H$2,0),0)</f>
        <v>34400000</v>
      </c>
      <c r="I26" s="175">
        <f>IFERROR(VLOOKUP($B26,'Amort Inv Inic'!$B$7:$AN$67,I$1,0),0)+IFERROR(VLOOKUP($B26,'Amort Inv Adic'!$B$7:$BU$67,I$2,0),0)</f>
        <v>22487493</v>
      </c>
      <c r="J26" s="175">
        <f t="shared" si="5"/>
        <v>11912507</v>
      </c>
      <c r="K26" s="175">
        <f>IFERROR(VLOOKUP($B26,'Amort Inv Inic'!$B$7:$AN$67,K$1,0),0)+IFERROR(VLOOKUP($B26,'Amort Inv Adic'!$B$7:$BU$67,K$2,0),0)</f>
        <v>58150000</v>
      </c>
      <c r="L26" s="175">
        <f>IFERROR(VLOOKUP($B26,'Amort Inv Inic'!$B$7:$AN$67,L$1,0),0)+IFERROR(VLOOKUP($B26,'Amort Inv Adic'!$B$7:$BU$67,L$2,0),0)</f>
        <v>35024988</v>
      </c>
      <c r="M26" s="175">
        <f t="shared" si="6"/>
        <v>23125012</v>
      </c>
      <c r="N26" s="377">
        <f t="shared" si="7"/>
        <v>35037519</v>
      </c>
      <c r="O26" s="378">
        <f t="shared" si="8"/>
        <v>261698230.33779973</v>
      </c>
      <c r="P26" s="178">
        <f>IF(VLOOKUP($B26,'Ppto-Mes'!$B$8:$AX$68,P$2,0)&lt;0,-VLOOKUP($B26,'Ppto-Mes'!$B$8:$AX$68,P$2,0),0)</f>
        <v>0</v>
      </c>
      <c r="Q26" s="175">
        <f>VLOOKUP($B26,'Financ 1'!$B$15:$P$75,Q$2,0)</f>
        <v>160987500</v>
      </c>
      <c r="R26" s="175">
        <f>VLOOKUP($B26,'Financ 2'!$B$15:$P$75,R$2,0)</f>
        <v>0</v>
      </c>
      <c r="S26" s="175">
        <f>VLOOKUP($B26,'Financ 3'!$B$15:$P$75,S$2,0)</f>
        <v>9000000</v>
      </c>
      <c r="T26" s="178">
        <f>VLOOKUP($B26,'Ppto-Mes'!$B$8:$AX$68,T$2,0)</f>
        <v>1883000</v>
      </c>
      <c r="U26" s="175">
        <f>VLOOKUP($B26,'Gtos Consultores'!$B$9:$AI$69,U$2,0)</f>
        <v>3450959</v>
      </c>
      <c r="V26" s="175">
        <f>IF($V$1=0,0,IF($V$1=1,IFERROR(HLOOKUP(YEAR($B26),'Gastos Proyect'!$B$4:$F$17,14,0),0),IFERROR(HLOOKUP(YEAR($B25),'Gastos Proyect'!$B$4:$F$17,14,0),0)+IFERROR(HLOOKUP(YEAR($B26),'Gastos Proyect'!$B$4:$F$17,14,0),0)))</f>
        <v>0</v>
      </c>
      <c r="W26" s="377">
        <f t="shared" si="0"/>
        <v>175321459</v>
      </c>
      <c r="X26" s="175">
        <f t="shared" si="15"/>
        <v>50000000</v>
      </c>
      <c r="Y26" s="178">
        <f>IF(MONTH($B26)=12,IF(Y25+ROUND(VLOOKUP($B26,'Ppto-Mes'!$B$8:$AX$68,Y$2,0)*10%,-3)&lt;=50%*X25,Y25+ROUND(VLOOKUP($B26,'Ppto-Mes'!$B$8:$AX$68,Y$2,0)*10%,-3),50%*X25),Y25)</f>
        <v>1734000</v>
      </c>
      <c r="Z26" s="178">
        <f>VLOOKUP($B26,'Ppto-Mes'!$B$8:$AX$68,Z$2,0)-(Y26-Y25)</f>
        <v>19038124.817199886</v>
      </c>
      <c r="AA26" s="175">
        <f t="shared" si="1"/>
        <v>15604646.520599842</v>
      </c>
      <c r="AB26" s="376">
        <f t="shared" si="9"/>
        <v>86376771.337799728</v>
      </c>
      <c r="AC26" s="378">
        <f t="shared" si="10"/>
        <v>261698230.33779973</v>
      </c>
      <c r="AD26" s="175">
        <f t="shared" si="2"/>
        <v>0</v>
      </c>
      <c r="AF26" s="175">
        <f t="shared" si="11"/>
        <v>-6876262.863800019</v>
      </c>
      <c r="AG26" s="175">
        <f t="shared" si="12"/>
        <v>0</v>
      </c>
      <c r="AH26" s="175">
        <f t="shared" si="13"/>
        <v>6600000</v>
      </c>
      <c r="AI26" s="175">
        <f t="shared" si="14"/>
        <v>0</v>
      </c>
    </row>
    <row r="27" spans="1:35" x14ac:dyDescent="0.35">
      <c r="A27" s="18">
        <v>19</v>
      </c>
      <c r="B27" s="184">
        <v>42582</v>
      </c>
      <c r="C27" s="331">
        <f t="shared" si="3"/>
        <v>2016</v>
      </c>
      <c r="D27" s="178">
        <f>IF(VLOOKUP($B27,'Ppto-Mes'!$B$8:$AX$68,D$2,0)&gt;0,VLOOKUP($B27,'Ppto-Mes'!$B$8:$AX$68,D$2,0),0)</f>
        <v>101984922.47399971</v>
      </c>
      <c r="E27" s="175">
        <f>IFERROR(VLOOKUP($B27,'Inv Temp'!$B$7:$I$67,E$2,0),0)</f>
        <v>0</v>
      </c>
      <c r="F27" s="175">
        <f>IF($F$1=0,0,IF($F$1=1,IFERROR(HLOOKUP(YEAR($B27),'Ing Proyect'!$B$6:$G$12,6,0),0),IFERROR(HLOOKUP(YEAR($B26),'Ing Proyect'!$B$6:$G$12,6,0),0)+IFERROR(HLOOKUP(YEAR($B27),'Ing Proyect'!$B$6:$G$12,6,0),0)))</f>
        <v>119393000</v>
      </c>
      <c r="G27" s="376">
        <f t="shared" si="4"/>
        <v>221377922.47399971</v>
      </c>
      <c r="H27" s="175">
        <f>IFERROR(VLOOKUP($B27,'Amort Inv Inic'!$B$7:$AN$67,H$1,0),0)+IFERROR(VLOOKUP($B27,'Amort Inv Adic'!$B$7:$BU$67,H$2,0),0)</f>
        <v>34400000</v>
      </c>
      <c r="I27" s="175">
        <f>IFERROR(VLOOKUP($B27,'Amort Inv Inic'!$B$7:$AN$67,I$1,0),0)+IFERROR(VLOOKUP($B27,'Amort Inv Adic'!$B$7:$BU$67,I$2,0),0)</f>
        <v>23736799</v>
      </c>
      <c r="J27" s="175">
        <f t="shared" si="5"/>
        <v>10663201</v>
      </c>
      <c r="K27" s="175">
        <f>IFERROR(VLOOKUP($B27,'Amort Inv Inic'!$B$7:$AN$67,K$1,0),0)+IFERROR(VLOOKUP($B27,'Amort Inv Adic'!$B$7:$BU$67,K$2,0),0)</f>
        <v>58150000</v>
      </c>
      <c r="L27" s="175">
        <f>IFERROR(VLOOKUP($B27,'Amort Inv Inic'!$B$7:$AN$67,L$1,0),0)+IFERROR(VLOOKUP($B27,'Amort Inv Adic'!$B$7:$BU$67,L$2,0),0)</f>
        <v>36204154</v>
      </c>
      <c r="M27" s="175">
        <f t="shared" si="6"/>
        <v>21945846</v>
      </c>
      <c r="N27" s="377">
        <f t="shared" si="7"/>
        <v>32609047</v>
      </c>
      <c r="O27" s="378">
        <f t="shared" si="8"/>
        <v>253986969.47399971</v>
      </c>
      <c r="P27" s="178">
        <f>IF(VLOOKUP($B27,'Ppto-Mes'!$B$8:$AX$68,P$2,0)&lt;0,-VLOOKUP($B27,'Ppto-Mes'!$B$8:$AX$68,P$2,0),0)</f>
        <v>0</v>
      </c>
      <c r="Q27" s="175">
        <f>VLOOKUP($B27,'Financ 1'!$B$15:$P$75,Q$2,0)</f>
        <v>152043750</v>
      </c>
      <c r="R27" s="175">
        <f>VLOOKUP($B27,'Financ 2'!$B$15:$P$75,R$2,0)</f>
        <v>0</v>
      </c>
      <c r="S27" s="175">
        <f>VLOOKUP($B27,'Financ 3'!$B$15:$P$75,S$2,0)</f>
        <v>5000000</v>
      </c>
      <c r="T27" s="178">
        <f>VLOOKUP($B27,'Ppto-Mes'!$B$8:$AX$68,T$2,0)</f>
        <v>2256000</v>
      </c>
      <c r="U27" s="175">
        <f>VLOOKUP($B27,'Gtos Consultores'!$B$9:$AI$69,U$2,0)</f>
        <v>4539655</v>
      </c>
      <c r="V27" s="175">
        <f>IF($V$1=0,0,IF($V$1=1,IFERROR(HLOOKUP(YEAR($B27),'Gastos Proyect'!$B$4:$F$17,14,0),0),IFERROR(HLOOKUP(YEAR($B26),'Gastos Proyect'!$B$4:$F$17,14,0),0)+IFERROR(HLOOKUP(YEAR($B27),'Gastos Proyect'!$B$4:$F$17,14,0),0)))</f>
        <v>0</v>
      </c>
      <c r="W27" s="377">
        <f t="shared" si="0"/>
        <v>163839405</v>
      </c>
      <c r="X27" s="175">
        <f t="shared" si="15"/>
        <v>50000000</v>
      </c>
      <c r="Y27" s="178">
        <f>IF(MONTH($B27)=12,IF(Y26+ROUND(VLOOKUP($B27,'Ppto-Mes'!$B$8:$AX$68,Y$2,0)*10%,-3)&lt;=50%*X26,Y26+ROUND(VLOOKUP($B27,'Ppto-Mes'!$B$8:$AX$68,Y$2,0)*10%,-3),50%*X26),Y26)</f>
        <v>1734000</v>
      </c>
      <c r="Z27" s="178">
        <f>VLOOKUP($B27,'Ppto-Mes'!$B$8:$AX$68,Z$2,0)-(Y27-Y26)</f>
        <v>22808917.953399867</v>
      </c>
      <c r="AA27" s="175">
        <f t="shared" si="1"/>
        <v>15604646.520599842</v>
      </c>
      <c r="AB27" s="376">
        <f t="shared" si="9"/>
        <v>90147564.473999709</v>
      </c>
      <c r="AC27" s="378">
        <f t="shared" si="10"/>
        <v>253986969.47399971</v>
      </c>
      <c r="AD27" s="175">
        <f t="shared" si="2"/>
        <v>0</v>
      </c>
      <c r="AF27" s="175">
        <f t="shared" si="11"/>
        <v>-5282788.863800019</v>
      </c>
      <c r="AG27" s="175">
        <f t="shared" si="12"/>
        <v>0</v>
      </c>
      <c r="AH27" s="175">
        <f t="shared" si="13"/>
        <v>0</v>
      </c>
      <c r="AI27" s="175">
        <f t="shared" si="14"/>
        <v>0</v>
      </c>
    </row>
    <row r="28" spans="1:35" x14ac:dyDescent="0.35">
      <c r="A28" s="18">
        <v>20</v>
      </c>
      <c r="B28" s="184">
        <v>42613</v>
      </c>
      <c r="C28" s="331">
        <f t="shared" si="3"/>
        <v>2016</v>
      </c>
      <c r="D28" s="178">
        <f>IF(VLOOKUP($B28,'Ppto-Mes'!$B$8:$AX$68,D$2,0)&gt;0,VLOOKUP($B28,'Ppto-Mes'!$B$8:$AX$68,D$2,0),0)</f>
        <v>106824043.61019969</v>
      </c>
      <c r="E28" s="175">
        <f>IFERROR(VLOOKUP($B28,'Inv Temp'!$B$7:$I$67,E$2,0),0)</f>
        <v>0</v>
      </c>
      <c r="F28" s="175">
        <f>IF($F$1=0,0,IF($F$1=1,IFERROR(HLOOKUP(YEAR($B28),'Ing Proyect'!$B$6:$G$12,6,0),0),IFERROR(HLOOKUP(YEAR($B27),'Ing Proyect'!$B$6:$G$12,6,0),0)+IFERROR(HLOOKUP(YEAR($B28),'Ing Proyect'!$B$6:$G$12,6,0),0)))</f>
        <v>119393000</v>
      </c>
      <c r="G28" s="376">
        <f t="shared" si="4"/>
        <v>226217043.61019969</v>
      </c>
      <c r="H28" s="175">
        <f>IFERROR(VLOOKUP($B28,'Amort Inv Inic'!$B$7:$AN$67,H$1,0),0)+IFERROR(VLOOKUP($B28,'Amort Inv Adic'!$B$7:$BU$67,H$2,0),0)</f>
        <v>34400000</v>
      </c>
      <c r="I28" s="175">
        <f>IFERROR(VLOOKUP($B28,'Amort Inv Inic'!$B$7:$AN$67,I$1,0),0)+IFERROR(VLOOKUP($B28,'Amort Inv Adic'!$B$7:$BU$67,I$2,0),0)</f>
        <v>24986104</v>
      </c>
      <c r="J28" s="175">
        <f t="shared" si="5"/>
        <v>9413896</v>
      </c>
      <c r="K28" s="175">
        <f>IFERROR(VLOOKUP($B28,'Amort Inv Inic'!$B$7:$AN$67,K$1,0),0)+IFERROR(VLOOKUP($B28,'Amort Inv Adic'!$B$7:$BU$67,K$2,0),0)</f>
        <v>58150000</v>
      </c>
      <c r="L28" s="175">
        <f>IFERROR(VLOOKUP($B28,'Amort Inv Inic'!$B$7:$AN$67,L$1,0),0)+IFERROR(VLOOKUP($B28,'Amort Inv Adic'!$B$7:$BU$67,L$2,0),0)</f>
        <v>37383320</v>
      </c>
      <c r="M28" s="175">
        <f t="shared" si="6"/>
        <v>20766680</v>
      </c>
      <c r="N28" s="377">
        <f t="shared" si="7"/>
        <v>30180576</v>
      </c>
      <c r="O28" s="378">
        <f t="shared" si="8"/>
        <v>256397619.61019969</v>
      </c>
      <c r="P28" s="178">
        <f>IF(VLOOKUP($B28,'Ppto-Mes'!$B$8:$AX$68,P$2,0)&lt;0,-VLOOKUP($B28,'Ppto-Mes'!$B$8:$AX$68,P$2,0),0)</f>
        <v>0</v>
      </c>
      <c r="Q28" s="175">
        <f>VLOOKUP($B28,'Financ 1'!$B$15:$P$75,Q$2,0)</f>
        <v>143100000</v>
      </c>
      <c r="R28" s="175">
        <f>VLOOKUP($B28,'Financ 2'!$B$15:$P$75,R$2,0)</f>
        <v>0</v>
      </c>
      <c r="S28" s="175">
        <f>VLOOKUP($B28,'Financ 3'!$B$15:$P$75,S$2,0)</f>
        <v>11000000</v>
      </c>
      <c r="T28" s="178">
        <f>VLOOKUP($B28,'Ppto-Mes'!$B$8:$AX$68,T$2,0)</f>
        <v>2640000</v>
      </c>
      <c r="U28" s="175">
        <f>VLOOKUP($B28,'Gtos Consultores'!$B$9:$AI$69,U$2,0)</f>
        <v>5628351</v>
      </c>
      <c r="V28" s="175">
        <f>IF($V$1=0,0,IF($V$1=1,IFERROR(HLOOKUP(YEAR($B28),'Gastos Proyect'!$B$4:$F$17,14,0),0),IFERROR(HLOOKUP(YEAR($B27),'Gastos Proyect'!$B$4:$F$17,14,0),0)+IFERROR(HLOOKUP(YEAR($B28),'Gastos Proyect'!$B$4:$F$17,14,0),0)))</f>
        <v>0</v>
      </c>
      <c r="W28" s="377">
        <f t="shared" si="0"/>
        <v>162368351</v>
      </c>
      <c r="X28" s="175">
        <f t="shared" si="15"/>
        <v>50000000</v>
      </c>
      <c r="Y28" s="178">
        <f>IF(MONTH($B28)=12,IF(Y27+ROUND(VLOOKUP($B28,'Ppto-Mes'!$B$8:$AX$68,Y$2,0)*10%,-3)&lt;=50%*X27,Y27+ROUND(VLOOKUP($B28,'Ppto-Mes'!$B$8:$AX$68,Y$2,0)*10%,-3),50%*X27),Y27)</f>
        <v>1734000</v>
      </c>
      <c r="Z28" s="178">
        <f>VLOOKUP($B28,'Ppto-Mes'!$B$8:$AX$68,Z$2,0)-(Y28-Y27)</f>
        <v>26690622.089599848</v>
      </c>
      <c r="AA28" s="175">
        <f t="shared" si="1"/>
        <v>15604646.520599842</v>
      </c>
      <c r="AB28" s="376">
        <f t="shared" si="9"/>
        <v>94029268.61019969</v>
      </c>
      <c r="AC28" s="378">
        <f t="shared" si="10"/>
        <v>256397619.61019969</v>
      </c>
      <c r="AD28" s="175">
        <f t="shared" si="2"/>
        <v>0</v>
      </c>
      <c r="AF28" s="175">
        <f t="shared" si="11"/>
        <v>4839121.136199981</v>
      </c>
      <c r="AG28" s="175">
        <f t="shared" si="12"/>
        <v>0</v>
      </c>
      <c r="AH28" s="175">
        <f t="shared" si="13"/>
        <v>0</v>
      </c>
      <c r="AI28" s="175">
        <f t="shared" si="14"/>
        <v>0</v>
      </c>
    </row>
    <row r="29" spans="1:35" x14ac:dyDescent="0.35">
      <c r="A29" s="18">
        <v>21</v>
      </c>
      <c r="B29" s="184">
        <v>42643</v>
      </c>
      <c r="C29" s="331">
        <f t="shared" si="3"/>
        <v>2016</v>
      </c>
      <c r="D29" s="178">
        <f>IF(VLOOKUP($B29,'Ppto-Mes'!$B$8:$AX$68,D$2,0)&gt;0,VLOOKUP($B29,'Ppto-Mes'!$B$8:$AX$68,D$2,0),0)</f>
        <v>100671419.74639967</v>
      </c>
      <c r="E29" s="175">
        <f>IFERROR(VLOOKUP($B29,'Inv Temp'!$B$7:$I$67,E$2,0),0)</f>
        <v>0</v>
      </c>
      <c r="F29" s="175">
        <f>IF($F$1=0,0,IF($F$1=1,IFERROR(HLOOKUP(YEAR($B29),'Ing Proyect'!$B$6:$G$12,6,0),0),IFERROR(HLOOKUP(YEAR($B28),'Ing Proyect'!$B$6:$G$12,6,0),0)+IFERROR(HLOOKUP(YEAR($B29),'Ing Proyect'!$B$6:$G$12,6,0),0)))</f>
        <v>119393000</v>
      </c>
      <c r="G29" s="376">
        <f t="shared" si="4"/>
        <v>220064419.74639967</v>
      </c>
      <c r="H29" s="175">
        <f>IFERROR(VLOOKUP($B29,'Amort Inv Inic'!$B$7:$AN$67,H$1,0),0)+IFERROR(VLOOKUP($B29,'Amort Inv Adic'!$B$7:$BU$67,H$2,0),0)</f>
        <v>34400000</v>
      </c>
      <c r="I29" s="175">
        <f>IFERROR(VLOOKUP($B29,'Amort Inv Inic'!$B$7:$AN$67,I$1,0),0)+IFERROR(VLOOKUP($B29,'Amort Inv Adic'!$B$7:$BU$67,I$2,0),0)</f>
        <v>26235411</v>
      </c>
      <c r="J29" s="175">
        <f t="shared" si="5"/>
        <v>8164589</v>
      </c>
      <c r="K29" s="175">
        <f>IFERROR(VLOOKUP($B29,'Amort Inv Inic'!$B$7:$AN$67,K$1,0),0)+IFERROR(VLOOKUP($B29,'Amort Inv Adic'!$B$7:$BU$67,K$2,0),0)</f>
        <v>58150000</v>
      </c>
      <c r="L29" s="175">
        <f>IFERROR(VLOOKUP($B29,'Amort Inv Inic'!$B$7:$AN$67,L$1,0),0)+IFERROR(VLOOKUP($B29,'Amort Inv Adic'!$B$7:$BU$67,L$2,0),0)</f>
        <v>38562488</v>
      </c>
      <c r="M29" s="175">
        <f t="shared" si="6"/>
        <v>19587512</v>
      </c>
      <c r="N29" s="377">
        <f t="shared" si="7"/>
        <v>27752101</v>
      </c>
      <c r="O29" s="378">
        <f t="shared" si="8"/>
        <v>247816520.74639967</v>
      </c>
      <c r="P29" s="178">
        <f>IF(VLOOKUP($B29,'Ppto-Mes'!$B$8:$AX$68,P$2,0)&lt;0,-VLOOKUP($B29,'Ppto-Mes'!$B$8:$AX$68,P$2,0),0)</f>
        <v>0</v>
      </c>
      <c r="Q29" s="175">
        <f>VLOOKUP($B29,'Financ 1'!$B$15:$P$75,Q$2,0)</f>
        <v>134156250</v>
      </c>
      <c r="R29" s="175">
        <f>VLOOKUP($B29,'Financ 2'!$B$15:$P$75,R$2,0)</f>
        <v>0</v>
      </c>
      <c r="S29" s="175">
        <f>VLOOKUP($B29,'Financ 3'!$B$15:$P$75,S$2,0)</f>
        <v>6000000</v>
      </c>
      <c r="T29" s="178">
        <f>VLOOKUP($B29,'Ppto-Mes'!$B$8:$AX$68,T$2,0)</f>
        <v>3025000</v>
      </c>
      <c r="U29" s="175">
        <f>VLOOKUP($B29,'Gtos Consultores'!$B$9:$AI$69,U$2,0)</f>
        <v>6717047</v>
      </c>
      <c r="V29" s="175">
        <f>IF($V$1=0,0,IF($V$1=1,IFERROR(HLOOKUP(YEAR($B29),'Gastos Proyect'!$B$4:$F$17,14,0),0),IFERROR(HLOOKUP(YEAR($B28),'Gastos Proyect'!$B$4:$F$17,14,0),0)+IFERROR(HLOOKUP(YEAR($B29),'Gastos Proyect'!$B$4:$F$17,14,0),0)))</f>
        <v>0</v>
      </c>
      <c r="W29" s="377">
        <f t="shared" si="0"/>
        <v>149898297</v>
      </c>
      <c r="X29" s="175">
        <f t="shared" si="15"/>
        <v>50000000</v>
      </c>
      <c r="Y29" s="178">
        <f>IF(MONTH($B29)=12,IF(Y28+ROUND(VLOOKUP($B29,'Ppto-Mes'!$B$8:$AX$68,Y$2,0)*10%,-3)&lt;=50%*X28,Y28+ROUND(VLOOKUP($B29,'Ppto-Mes'!$B$8:$AX$68,Y$2,0)*10%,-3),50%*X28),Y28)</f>
        <v>1734000</v>
      </c>
      <c r="Z29" s="178">
        <f>VLOOKUP($B29,'Ppto-Mes'!$B$8:$AX$68,Z$2,0)-(Y29-Y28)</f>
        <v>30579577.225799829</v>
      </c>
      <c r="AA29" s="175">
        <f t="shared" si="1"/>
        <v>15604646.520599842</v>
      </c>
      <c r="AB29" s="376">
        <f t="shared" si="9"/>
        <v>97918223.746399671</v>
      </c>
      <c r="AC29" s="378">
        <f t="shared" si="10"/>
        <v>247816520.74639967</v>
      </c>
      <c r="AD29" s="175">
        <f t="shared" si="2"/>
        <v>0</v>
      </c>
      <c r="AF29" s="175">
        <f t="shared" si="11"/>
        <v>-6152623.863800019</v>
      </c>
      <c r="AG29" s="175">
        <f t="shared" si="12"/>
        <v>0</v>
      </c>
      <c r="AH29" s="175">
        <f t="shared" si="13"/>
        <v>0</v>
      </c>
      <c r="AI29" s="175">
        <f t="shared" si="14"/>
        <v>0</v>
      </c>
    </row>
    <row r="30" spans="1:35" x14ac:dyDescent="0.35">
      <c r="A30" s="18">
        <v>22</v>
      </c>
      <c r="B30" s="184">
        <v>42674</v>
      </c>
      <c r="C30" s="331">
        <f t="shared" si="3"/>
        <v>2016</v>
      </c>
      <c r="D30" s="178">
        <f>IF(VLOOKUP($B30,'Ppto-Mes'!$B$8:$AX$68,D$2,0)&gt;0,VLOOKUP($B30,'Ppto-Mes'!$B$8:$AX$68,D$2,0),0)</f>
        <v>105680453.88259965</v>
      </c>
      <c r="E30" s="175">
        <f>IFERROR(VLOOKUP($B30,'Inv Temp'!$B$7:$I$67,E$2,0),0)</f>
        <v>0</v>
      </c>
      <c r="F30" s="175">
        <f>IF($F$1=0,0,IF($F$1=1,IFERROR(HLOOKUP(YEAR($B30),'Ing Proyect'!$B$6:$G$12,6,0),0),IFERROR(HLOOKUP(YEAR($B29),'Ing Proyect'!$B$6:$G$12,6,0),0)+IFERROR(HLOOKUP(YEAR($B30),'Ing Proyect'!$B$6:$G$12,6,0),0)))</f>
        <v>119393000</v>
      </c>
      <c r="G30" s="376">
        <f t="shared" si="4"/>
        <v>225073453.88259965</v>
      </c>
      <c r="H30" s="175">
        <f>IFERROR(VLOOKUP($B30,'Amort Inv Inic'!$B$7:$AN$67,H$1,0),0)+IFERROR(VLOOKUP($B30,'Amort Inv Adic'!$B$7:$BU$67,H$2,0),0)</f>
        <v>34400000</v>
      </c>
      <c r="I30" s="175">
        <f>IFERROR(VLOOKUP($B30,'Amort Inv Inic'!$B$7:$AN$67,I$1,0),0)+IFERROR(VLOOKUP($B30,'Amort Inv Adic'!$B$7:$BU$67,I$2,0),0)</f>
        <v>27484716</v>
      </c>
      <c r="J30" s="175">
        <f t="shared" si="5"/>
        <v>6915284</v>
      </c>
      <c r="K30" s="175">
        <f>IFERROR(VLOOKUP($B30,'Amort Inv Inic'!$B$7:$AN$67,K$1,0),0)+IFERROR(VLOOKUP($B30,'Amort Inv Adic'!$B$7:$BU$67,K$2,0),0)</f>
        <v>58150000</v>
      </c>
      <c r="L30" s="175">
        <f>IFERROR(VLOOKUP($B30,'Amort Inv Inic'!$B$7:$AN$67,L$1,0),0)+IFERROR(VLOOKUP($B30,'Amort Inv Adic'!$B$7:$BU$67,L$2,0),0)</f>
        <v>39741654</v>
      </c>
      <c r="M30" s="175">
        <f t="shared" si="6"/>
        <v>18408346</v>
      </c>
      <c r="N30" s="377">
        <f t="shared" si="7"/>
        <v>25323630</v>
      </c>
      <c r="O30" s="378">
        <f t="shared" si="8"/>
        <v>250397083.88259965</v>
      </c>
      <c r="P30" s="178">
        <f>IF(VLOOKUP($B30,'Ppto-Mes'!$B$8:$AX$68,P$2,0)&lt;0,-VLOOKUP($B30,'Ppto-Mes'!$B$8:$AX$68,P$2,0),0)</f>
        <v>0</v>
      </c>
      <c r="Q30" s="175">
        <f>VLOOKUP($B30,'Financ 1'!$B$15:$P$75,Q$2,0)</f>
        <v>125212500</v>
      </c>
      <c r="R30" s="175">
        <f>VLOOKUP($B30,'Financ 2'!$B$15:$P$75,R$2,0)</f>
        <v>0</v>
      </c>
      <c r="S30" s="175">
        <f>VLOOKUP($B30,'Financ 3'!$B$15:$P$75,S$2,0)</f>
        <v>12000000</v>
      </c>
      <c r="T30" s="178">
        <f>VLOOKUP($B30,'Ppto-Mes'!$B$8:$AX$68,T$2,0)</f>
        <v>3424000</v>
      </c>
      <c r="U30" s="175">
        <f>VLOOKUP($B30,'Gtos Consultores'!$B$9:$AI$69,U$2,0)</f>
        <v>7805743</v>
      </c>
      <c r="V30" s="175">
        <f>IF($V$1=0,0,IF($V$1=1,IFERROR(HLOOKUP(YEAR($B30),'Gastos Proyect'!$B$4:$F$17,14,0),0),IFERROR(HLOOKUP(YEAR($B29),'Gastos Proyect'!$B$4:$F$17,14,0),0)+IFERROR(HLOOKUP(YEAR($B30),'Gastos Proyect'!$B$4:$F$17,14,0),0)))</f>
        <v>0</v>
      </c>
      <c r="W30" s="377">
        <f t="shared" si="0"/>
        <v>148442243</v>
      </c>
      <c r="X30" s="175">
        <f t="shared" si="15"/>
        <v>50000000</v>
      </c>
      <c r="Y30" s="178">
        <f>IF(MONTH($B30)=12,IF(Y29+ROUND(VLOOKUP($B30,'Ppto-Mes'!$B$8:$AX$68,Y$2,0)*10%,-3)&lt;=50%*X29,Y29+ROUND(VLOOKUP($B30,'Ppto-Mes'!$B$8:$AX$68,Y$2,0)*10%,-3),50%*X29),Y29)</f>
        <v>1734000</v>
      </c>
      <c r="Z30" s="178">
        <f>VLOOKUP($B30,'Ppto-Mes'!$B$8:$AX$68,Z$2,0)-(Y30-Y29)</f>
        <v>34616194.36199981</v>
      </c>
      <c r="AA30" s="175">
        <f t="shared" si="1"/>
        <v>15604646.520599842</v>
      </c>
      <c r="AB30" s="376">
        <f t="shared" si="9"/>
        <v>101954840.88259965</v>
      </c>
      <c r="AC30" s="378">
        <f t="shared" si="10"/>
        <v>250397083.88259965</v>
      </c>
      <c r="AD30" s="175">
        <f t="shared" si="2"/>
        <v>0</v>
      </c>
      <c r="AF30" s="175">
        <f t="shared" si="11"/>
        <v>5009034.136199981</v>
      </c>
      <c r="AG30" s="175">
        <f t="shared" si="12"/>
        <v>0</v>
      </c>
      <c r="AH30" s="175">
        <f t="shared" si="13"/>
        <v>0</v>
      </c>
      <c r="AI30" s="175">
        <f t="shared" si="14"/>
        <v>0</v>
      </c>
    </row>
    <row r="31" spans="1:35" x14ac:dyDescent="0.35">
      <c r="A31" s="18">
        <v>23</v>
      </c>
      <c r="B31" s="184">
        <v>42704</v>
      </c>
      <c r="C31" s="331">
        <f t="shared" si="3"/>
        <v>2016</v>
      </c>
      <c r="D31" s="178">
        <f>IF(VLOOKUP($B31,'Ppto-Mes'!$B$8:$AX$68,D$2,0)&gt;0,VLOOKUP($B31,'Ppto-Mes'!$B$8:$AX$68,D$2,0),0)</f>
        <v>102697160.01879963</v>
      </c>
      <c r="E31" s="175">
        <f>IFERROR(VLOOKUP($B31,'Inv Temp'!$B$7:$I$67,E$2,0),0)</f>
        <v>0</v>
      </c>
      <c r="F31" s="175">
        <f>IF($F$1=0,0,IF($F$1=1,IFERROR(HLOOKUP(YEAR($B31),'Ing Proyect'!$B$6:$G$12,6,0),0),IFERROR(HLOOKUP(YEAR($B30),'Ing Proyect'!$B$6:$G$12,6,0),0)+IFERROR(HLOOKUP(YEAR($B31),'Ing Proyect'!$B$6:$G$12,6,0),0)))</f>
        <v>119393000</v>
      </c>
      <c r="G31" s="376">
        <f t="shared" si="4"/>
        <v>222090160.01879963</v>
      </c>
      <c r="H31" s="175">
        <f>IFERROR(VLOOKUP($B31,'Amort Inv Inic'!$B$7:$AN$67,H$1,0),0)+IFERROR(VLOOKUP($B31,'Amort Inv Adic'!$B$7:$BU$67,H$2,0),0)</f>
        <v>34400000</v>
      </c>
      <c r="I31" s="175">
        <f>IFERROR(VLOOKUP($B31,'Amort Inv Inic'!$B$7:$AN$67,I$1,0),0)+IFERROR(VLOOKUP($B31,'Amort Inv Adic'!$B$7:$BU$67,I$2,0),0)</f>
        <v>28734023</v>
      </c>
      <c r="J31" s="175">
        <f t="shared" si="5"/>
        <v>5665977</v>
      </c>
      <c r="K31" s="175">
        <f>IFERROR(VLOOKUP($B31,'Amort Inv Inic'!$B$7:$AN$67,K$1,0),0)+IFERROR(VLOOKUP($B31,'Amort Inv Adic'!$B$7:$BU$67,K$2,0),0)</f>
        <v>58150000</v>
      </c>
      <c r="L31" s="175">
        <f>IFERROR(VLOOKUP($B31,'Amort Inv Inic'!$B$7:$AN$67,L$1,0),0)+IFERROR(VLOOKUP($B31,'Amort Inv Adic'!$B$7:$BU$67,L$2,0),0)</f>
        <v>40920822</v>
      </c>
      <c r="M31" s="175">
        <f t="shared" si="6"/>
        <v>17229178</v>
      </c>
      <c r="N31" s="377">
        <f t="shared" si="7"/>
        <v>22895155</v>
      </c>
      <c r="O31" s="378">
        <f t="shared" si="8"/>
        <v>244985315.01879963</v>
      </c>
      <c r="P31" s="178">
        <f>IF(VLOOKUP($B31,'Ppto-Mes'!$B$8:$AX$68,P$2,0)&lt;0,-VLOOKUP($B31,'Ppto-Mes'!$B$8:$AX$68,P$2,0),0)</f>
        <v>0</v>
      </c>
      <c r="Q31" s="175">
        <f>VLOOKUP($B31,'Financ 1'!$B$15:$P$75,Q$2,0)</f>
        <v>116268750</v>
      </c>
      <c r="R31" s="175">
        <f>VLOOKUP($B31,'Financ 2'!$B$15:$P$75,R$2,0)</f>
        <v>0</v>
      </c>
      <c r="S31" s="175">
        <f>VLOOKUP($B31,'Financ 3'!$B$15:$P$75,S$2,0)</f>
        <v>10000000</v>
      </c>
      <c r="T31" s="178">
        <f>VLOOKUP($B31,'Ppto-Mes'!$B$8:$AX$68,T$2,0)</f>
        <v>3824000</v>
      </c>
      <c r="U31" s="175">
        <f>VLOOKUP($B31,'Gtos Consultores'!$B$9:$AI$69,U$2,0)</f>
        <v>8894439</v>
      </c>
      <c r="V31" s="175">
        <f>IF($V$1=0,0,IF($V$1=1,IFERROR(HLOOKUP(YEAR($B31),'Gastos Proyect'!$B$4:$F$17,14,0),0),IFERROR(HLOOKUP(YEAR($B30),'Gastos Proyect'!$B$4:$F$17,14,0),0)+IFERROR(HLOOKUP(YEAR($B31),'Gastos Proyect'!$B$4:$F$17,14,0),0)))</f>
        <v>0</v>
      </c>
      <c r="W31" s="377">
        <f t="shared" si="0"/>
        <v>138987189</v>
      </c>
      <c r="X31" s="175">
        <f t="shared" si="15"/>
        <v>50000000</v>
      </c>
      <c r="Y31" s="178">
        <f>IF(MONTH($B31)=12,IF(Y30+ROUND(VLOOKUP($B31,'Ppto-Mes'!$B$8:$AX$68,Y$2,0)*10%,-3)&lt;=50%*X30,Y30+ROUND(VLOOKUP($B31,'Ppto-Mes'!$B$8:$AX$68,Y$2,0)*10%,-3),50%*X30),Y30)</f>
        <v>1734000</v>
      </c>
      <c r="Z31" s="178">
        <f>VLOOKUP($B31,'Ppto-Mes'!$B$8:$AX$68,Z$2,0)-(Y31-Y30)</f>
        <v>38659479.498199791</v>
      </c>
      <c r="AA31" s="175">
        <f t="shared" si="1"/>
        <v>15604646.520599842</v>
      </c>
      <c r="AB31" s="376">
        <f t="shared" si="9"/>
        <v>105998126.01879963</v>
      </c>
      <c r="AC31" s="378">
        <f t="shared" si="10"/>
        <v>244985315.01879963</v>
      </c>
      <c r="AD31" s="175">
        <f t="shared" si="2"/>
        <v>0</v>
      </c>
      <c r="AF31" s="175">
        <f t="shared" si="11"/>
        <v>-2983293.863800019</v>
      </c>
      <c r="AG31" s="175">
        <f t="shared" si="12"/>
        <v>0</v>
      </c>
      <c r="AH31" s="175">
        <f t="shared" si="13"/>
        <v>0</v>
      </c>
      <c r="AI31" s="175">
        <f t="shared" si="14"/>
        <v>0</v>
      </c>
    </row>
    <row r="32" spans="1:35" x14ac:dyDescent="0.35">
      <c r="A32" s="18">
        <v>24</v>
      </c>
      <c r="B32" s="184">
        <v>42735</v>
      </c>
      <c r="C32" s="331">
        <f t="shared" si="3"/>
        <v>2016</v>
      </c>
      <c r="D32" s="178">
        <f>IF(VLOOKUP($B32,'Ppto-Mes'!$B$8:$AX$68,D$2,0)&gt;0,VLOOKUP($B32,'Ppto-Mes'!$B$8:$AX$68,D$2,0),0)</f>
        <v>123921610.15499961</v>
      </c>
      <c r="E32" s="175">
        <f>IFERROR(VLOOKUP($B32,'Inv Temp'!$B$7:$I$67,E$2,0),0)</f>
        <v>0</v>
      </c>
      <c r="F32" s="175">
        <f>IF($F$1=0,0,IF($F$1=1,IFERROR(HLOOKUP(YEAR($B32),'Ing Proyect'!$B$6:$G$12,6,0),0),IFERROR(HLOOKUP(YEAR($B31),'Ing Proyect'!$B$6:$G$12,6,0),0)+IFERROR(HLOOKUP(YEAR($B32),'Ing Proyect'!$B$6:$G$12,6,0),0)))</f>
        <v>119393000</v>
      </c>
      <c r="G32" s="376">
        <f t="shared" si="4"/>
        <v>243314610.15499961</v>
      </c>
      <c r="H32" s="175">
        <f>IFERROR(VLOOKUP($B32,'Amort Inv Inic'!$B$7:$AN$67,H$1,0),0)+IFERROR(VLOOKUP($B32,'Amort Inv Adic'!$B$7:$BU$67,H$2,0),0)</f>
        <v>71578000</v>
      </c>
      <c r="I32" s="175">
        <f>IFERROR(VLOOKUP($B32,'Amort Inv Inic'!$B$7:$AN$67,I$1,0),0)+IFERROR(VLOOKUP($B32,'Amort Inv Adic'!$B$7:$BU$67,I$2,0),0)</f>
        <v>29983328</v>
      </c>
      <c r="J32" s="175">
        <f t="shared" si="5"/>
        <v>41594672</v>
      </c>
      <c r="K32" s="175">
        <f>IFERROR(VLOOKUP($B32,'Amort Inv Inic'!$B$7:$AN$67,K$1,0),0)+IFERROR(VLOOKUP($B32,'Amort Inv Adic'!$B$7:$BU$67,K$2,0),0)</f>
        <v>61780000</v>
      </c>
      <c r="L32" s="175">
        <f>IFERROR(VLOOKUP($B32,'Amort Inv Inic'!$B$7:$AN$67,L$1,0),0)+IFERROR(VLOOKUP($B32,'Amort Inv Adic'!$B$7:$BU$67,L$2,0),0)</f>
        <v>42099988</v>
      </c>
      <c r="M32" s="175">
        <f t="shared" si="6"/>
        <v>19680012</v>
      </c>
      <c r="N32" s="377">
        <f t="shared" si="7"/>
        <v>61274684</v>
      </c>
      <c r="O32" s="378">
        <f t="shared" si="8"/>
        <v>304589294.15499961</v>
      </c>
      <c r="P32" s="178">
        <f>IF(VLOOKUP($B32,'Ppto-Mes'!$B$8:$AX$68,P$2,0)&lt;0,-VLOOKUP($B32,'Ppto-Mes'!$B$8:$AX$68,P$2,0),0)</f>
        <v>0</v>
      </c>
      <c r="Q32" s="175">
        <f>VLOOKUP($B32,'Financ 1'!$B$15:$P$75,Q$2,0)</f>
        <v>107325000</v>
      </c>
      <c r="R32" s="175">
        <f>VLOOKUP($B32,'Financ 2'!$B$15:$P$75,R$2,0)</f>
        <v>0</v>
      </c>
      <c r="S32" s="175">
        <f>VLOOKUP($B32,'Financ 3'!$B$15:$P$75,S$2,0)</f>
        <v>76000000</v>
      </c>
      <c r="T32" s="178">
        <f>VLOOKUP($B32,'Ppto-Mes'!$B$8:$AX$68,T$2,0)</f>
        <v>4233000</v>
      </c>
      <c r="U32" s="175">
        <f>VLOOKUP($B32,'Gtos Consultores'!$B$9:$AI$69,U$2,0)</f>
        <v>6901920</v>
      </c>
      <c r="V32" s="175">
        <f>IF($V$1=0,0,IF($V$1=1,IFERROR(HLOOKUP(YEAR($B32),'Gastos Proyect'!$B$4:$F$17,14,0),0),IFERROR(HLOOKUP(YEAR($B31),'Gastos Proyect'!$B$4:$F$17,14,0),0)+IFERROR(HLOOKUP(YEAR($B32),'Gastos Proyect'!$B$4:$F$17,14,0),0)))</f>
        <v>0</v>
      </c>
      <c r="W32" s="377">
        <f t="shared" si="0"/>
        <v>194459920</v>
      </c>
      <c r="X32" s="175">
        <f t="shared" si="15"/>
        <v>50000000</v>
      </c>
      <c r="Y32" s="178">
        <f>IF(MONTH($B32)=12,IF(Y31+ROUND(VLOOKUP($B32,'Ppto-Mes'!$B$8:$AX$68,Y$2,0)*10%,-3)&lt;=50%*X31,Y31+ROUND(VLOOKUP($B32,'Ppto-Mes'!$B$8:$AX$68,Y$2,0)*10%,-3),50%*X31),Y31)</f>
        <v>6013000</v>
      </c>
      <c r="Z32" s="178">
        <f>VLOOKUP($B32,'Ppto-Mes'!$B$8:$AX$68,Z$2,0)-(Y32-Y31)</f>
        <v>38511727.634399772</v>
      </c>
      <c r="AA32" s="175">
        <f t="shared" si="1"/>
        <v>15604646.520599842</v>
      </c>
      <c r="AB32" s="376">
        <f t="shared" si="9"/>
        <v>110129374.15499961</v>
      </c>
      <c r="AC32" s="378">
        <f t="shared" si="10"/>
        <v>304589294.15499961</v>
      </c>
      <c r="AD32" s="175">
        <f t="shared" si="2"/>
        <v>0</v>
      </c>
      <c r="AF32" s="175">
        <f t="shared" si="11"/>
        <v>21224450.136199981</v>
      </c>
      <c r="AG32" s="175">
        <f t="shared" si="12"/>
        <v>37178000</v>
      </c>
      <c r="AH32" s="175">
        <f t="shared" si="13"/>
        <v>3630000</v>
      </c>
      <c r="AI32" s="175">
        <f t="shared" si="14"/>
        <v>0</v>
      </c>
    </row>
    <row r="33" spans="1:35" x14ac:dyDescent="0.35">
      <c r="A33" s="18">
        <v>25</v>
      </c>
      <c r="B33" s="184">
        <v>42766</v>
      </c>
      <c r="C33" s="331">
        <f t="shared" si="3"/>
        <v>2017</v>
      </c>
      <c r="D33" s="178">
        <f>IF(VLOOKUP($B33,'Ppto-Mes'!$B$8:$AX$68,D$2,0)&gt;0,VLOOKUP($B33,'Ppto-Mes'!$B$8:$AX$68,D$2,0),0)</f>
        <v>51071034.051124617</v>
      </c>
      <c r="E33" s="175">
        <f>IFERROR(VLOOKUP($B33,'Inv Temp'!$B$7:$I$67,E$2,0),0)</f>
        <v>0</v>
      </c>
      <c r="F33" s="175">
        <f>IF($F$1=0,0,IF($F$1=1,IFERROR(HLOOKUP(YEAR($B33),'Ing Proyect'!$B$6:$G$12,6,0),0),IFERROR(HLOOKUP(YEAR($B32),'Ing Proyect'!$B$6:$G$12,6,0),0)+IFERROR(HLOOKUP(YEAR($B33),'Ing Proyect'!$B$6:$G$12,6,0),0)))</f>
        <v>136718000</v>
      </c>
      <c r="G33" s="376">
        <f t="shared" si="4"/>
        <v>187789034.05112463</v>
      </c>
      <c r="H33" s="175">
        <f>IFERROR(VLOOKUP($B33,'Amort Inv Inic'!$B$7:$AN$67,H$1,0),0)+IFERROR(VLOOKUP($B33,'Amort Inv Adic'!$B$7:$BU$67,H$2,0),0)</f>
        <v>71578000</v>
      </c>
      <c r="I33" s="175">
        <f>IFERROR(VLOOKUP($B33,'Amort Inv Inic'!$B$7:$AN$67,I$1,0),0)+IFERROR(VLOOKUP($B33,'Amort Inv Adic'!$B$7:$BU$67,I$2,0),0)</f>
        <v>31707232</v>
      </c>
      <c r="J33" s="175">
        <f t="shared" si="5"/>
        <v>39870768</v>
      </c>
      <c r="K33" s="175">
        <f>IFERROR(VLOOKUP($B33,'Amort Inv Inic'!$B$7:$AN$67,K$1,0),0)+IFERROR(VLOOKUP($B33,'Amort Inv Adic'!$B$7:$BU$67,K$2,0),0)</f>
        <v>61780000</v>
      </c>
      <c r="L33" s="175">
        <f>IFERROR(VLOOKUP($B33,'Amort Inv Inic'!$B$7:$AN$67,L$1,0),0)+IFERROR(VLOOKUP($B33,'Amort Inv Adic'!$B$7:$BU$67,L$2,0),0)</f>
        <v>43306656</v>
      </c>
      <c r="M33" s="175">
        <f t="shared" si="6"/>
        <v>18473344</v>
      </c>
      <c r="N33" s="377">
        <f t="shared" si="7"/>
        <v>58344112</v>
      </c>
      <c r="O33" s="378">
        <f t="shared" si="8"/>
        <v>246133146.05112463</v>
      </c>
      <c r="P33" s="178">
        <f>IF(VLOOKUP($B33,'Ppto-Mes'!$B$8:$AX$68,P$2,0)&lt;0,-VLOOKUP($B33,'Ppto-Mes'!$B$8:$AX$68,P$2,0),0)</f>
        <v>0</v>
      </c>
      <c r="Q33" s="175">
        <f>VLOOKUP($B33,'Financ 1'!$B$15:$P$75,Q$2,0)</f>
        <v>98381250</v>
      </c>
      <c r="R33" s="175">
        <f>VLOOKUP($B33,'Financ 2'!$B$15:$P$75,R$2,0)</f>
        <v>0</v>
      </c>
      <c r="S33" s="175">
        <f>VLOOKUP($B33,'Financ 3'!$B$15:$P$75,S$2,0)</f>
        <v>28000000</v>
      </c>
      <c r="T33" s="178">
        <f>VLOOKUP($B33,'Ppto-Mes'!$B$8:$AX$68,T$2,0)</f>
        <v>4874000</v>
      </c>
      <c r="U33" s="175">
        <f>VLOOKUP($B33,'Gtos Consultores'!$B$9:$AI$69,U$2,0)</f>
        <v>1191193</v>
      </c>
      <c r="V33" s="175">
        <f>IF($V$1=0,0,IF($V$1=1,IFERROR(HLOOKUP(YEAR($B33),'Gastos Proyect'!$B$4:$F$17,14,0),0),IFERROR(HLOOKUP(YEAR($B32),'Gastos Proyect'!$B$4:$F$17,14,0),0)+IFERROR(HLOOKUP(YEAR($B33),'Gastos Proyect'!$B$4:$F$17,14,0),0)))</f>
        <v>0</v>
      </c>
      <c r="W33" s="377">
        <f t="shared" si="0"/>
        <v>132446443</v>
      </c>
      <c r="X33" s="175">
        <f t="shared" si="15"/>
        <v>50000000</v>
      </c>
      <c r="Y33" s="178">
        <f>IF(MONTH($B33)=12,IF(Y32+ROUND(VLOOKUP($B33,'Ppto-Mes'!$B$8:$AX$68,Y$2,0)*10%,-3)&lt;=50%*X32,Y32+ROUND(VLOOKUP($B33,'Ppto-Mes'!$B$8:$AX$68,Y$2,0)*10%,-3),50%*X32),Y32)</f>
        <v>6013000</v>
      </c>
      <c r="Z33" s="178">
        <f>VLOOKUP($B33,'Ppto-Mes'!$B$8:$AX$68,Z$2,0)-(Y33-Y32)</f>
        <v>3557328.8961250037</v>
      </c>
      <c r="AA33" s="175">
        <f t="shared" si="1"/>
        <v>54116374.154999614</v>
      </c>
      <c r="AB33" s="376">
        <f t="shared" si="9"/>
        <v>113686703.05112462</v>
      </c>
      <c r="AC33" s="378">
        <f t="shared" si="10"/>
        <v>246133146.05112463</v>
      </c>
      <c r="AD33" s="175">
        <f t="shared" si="2"/>
        <v>0</v>
      </c>
      <c r="AF33" s="175">
        <f t="shared" si="11"/>
        <v>-72850576.103874996</v>
      </c>
      <c r="AG33" s="175">
        <f t="shared" si="12"/>
        <v>0</v>
      </c>
      <c r="AH33" s="175">
        <f t="shared" si="13"/>
        <v>0</v>
      </c>
      <c r="AI33" s="175">
        <f t="shared" si="14"/>
        <v>0</v>
      </c>
    </row>
    <row r="34" spans="1:35" x14ac:dyDescent="0.35">
      <c r="A34" s="18">
        <v>26</v>
      </c>
      <c r="B34" s="184">
        <v>42794</v>
      </c>
      <c r="C34" s="331">
        <f t="shared" si="3"/>
        <v>2017</v>
      </c>
      <c r="D34" s="178">
        <f>IF(VLOOKUP($B34,'Ppto-Mes'!$B$8:$AX$68,D$2,0)&gt;0,VLOOKUP($B34,'Ppto-Mes'!$B$8:$AX$68,D$2,0),0)</f>
        <v>99069364.947249621</v>
      </c>
      <c r="E34" s="175">
        <f>IFERROR(VLOOKUP($B34,'Inv Temp'!$B$7:$I$67,E$2,0),0)</f>
        <v>0</v>
      </c>
      <c r="F34" s="175">
        <f>IF($F$1=0,0,IF($F$1=1,IFERROR(HLOOKUP(YEAR($B34),'Ing Proyect'!$B$6:$G$12,6,0),0),IFERROR(HLOOKUP(YEAR($B33),'Ing Proyect'!$B$6:$G$12,6,0),0)+IFERROR(HLOOKUP(YEAR($B34),'Ing Proyect'!$B$6:$G$12,6,0),0)))</f>
        <v>136718000</v>
      </c>
      <c r="G34" s="376">
        <f t="shared" si="4"/>
        <v>235787364.94724962</v>
      </c>
      <c r="H34" s="175">
        <f>IFERROR(VLOOKUP($B34,'Amort Inv Inic'!$B$7:$AN$67,H$1,0),0)+IFERROR(VLOOKUP($B34,'Amort Inv Adic'!$B$7:$BU$67,H$2,0),0)</f>
        <v>71578000</v>
      </c>
      <c r="I34" s="175">
        <f>IFERROR(VLOOKUP($B34,'Amort Inv Inic'!$B$7:$AN$67,I$1,0),0)+IFERROR(VLOOKUP($B34,'Amort Inv Adic'!$B$7:$BU$67,I$2,0),0)</f>
        <v>33431134</v>
      </c>
      <c r="J34" s="175">
        <f t="shared" si="5"/>
        <v>38146866</v>
      </c>
      <c r="K34" s="175">
        <f>IFERROR(VLOOKUP($B34,'Amort Inv Inic'!$B$7:$AN$67,K$1,0),0)+IFERROR(VLOOKUP($B34,'Amort Inv Adic'!$B$7:$BU$67,K$2,0),0)</f>
        <v>61780000</v>
      </c>
      <c r="L34" s="175">
        <f>IFERROR(VLOOKUP($B34,'Amort Inv Inic'!$B$7:$AN$67,L$1,0),0)+IFERROR(VLOOKUP($B34,'Amort Inv Adic'!$B$7:$BU$67,L$2,0),0)</f>
        <v>44513322</v>
      </c>
      <c r="M34" s="175">
        <f t="shared" si="6"/>
        <v>17266678</v>
      </c>
      <c r="N34" s="377">
        <f t="shared" si="7"/>
        <v>55413544</v>
      </c>
      <c r="O34" s="378">
        <f t="shared" si="8"/>
        <v>291200908.94724965</v>
      </c>
      <c r="P34" s="178">
        <f>IF(VLOOKUP($B34,'Ppto-Mes'!$B$8:$AX$68,P$2,0)&lt;0,-VLOOKUP($B34,'Ppto-Mes'!$B$8:$AX$68,P$2,0),0)</f>
        <v>0</v>
      </c>
      <c r="Q34" s="175">
        <f>VLOOKUP($B34,'Financ 1'!$B$15:$P$75,Q$2,0)</f>
        <v>89437500</v>
      </c>
      <c r="R34" s="175">
        <f>VLOOKUP($B34,'Financ 2'!$B$15:$P$75,R$2,0)</f>
        <v>0</v>
      </c>
      <c r="S34" s="175">
        <f>VLOOKUP($B34,'Financ 3'!$B$15:$P$75,S$2,0)</f>
        <v>76000000</v>
      </c>
      <c r="T34" s="178">
        <f>VLOOKUP($B34,'Ppto-Mes'!$B$8:$AX$68,T$2,0)</f>
        <v>5609000</v>
      </c>
      <c r="U34" s="175">
        <f>VLOOKUP($B34,'Gtos Consultores'!$B$9:$AI$69,U$2,0)</f>
        <v>2382387</v>
      </c>
      <c r="V34" s="175">
        <f>IF($V$1=0,0,IF($V$1=1,IFERROR(HLOOKUP(YEAR($B34),'Gastos Proyect'!$B$4:$F$17,14,0),0),IFERROR(HLOOKUP(YEAR($B33),'Gastos Proyect'!$B$4:$F$17,14,0),0)+IFERROR(HLOOKUP(YEAR($B34),'Gastos Proyect'!$B$4:$F$17,14,0),0)))</f>
        <v>0</v>
      </c>
      <c r="W34" s="377">
        <f t="shared" si="0"/>
        <v>173428887</v>
      </c>
      <c r="X34" s="175">
        <f t="shared" si="15"/>
        <v>50000000</v>
      </c>
      <c r="Y34" s="178">
        <f>IF(MONTH($B34)=12,IF(Y33+ROUND(VLOOKUP($B34,'Ppto-Mes'!$B$8:$AX$68,Y$2,0)*10%,-3)&lt;=50%*X33,Y33+ROUND(VLOOKUP($B34,'Ppto-Mes'!$B$8:$AX$68,Y$2,0)*10%,-3),50%*X33),Y33)</f>
        <v>6013000</v>
      </c>
      <c r="Z34" s="178">
        <f>VLOOKUP($B34,'Ppto-Mes'!$B$8:$AX$68,Z$2,0)-(Y34-Y33)</f>
        <v>7642647.7922500074</v>
      </c>
      <c r="AA34" s="175">
        <f t="shared" si="1"/>
        <v>54116374.154999614</v>
      </c>
      <c r="AB34" s="376">
        <f t="shared" si="9"/>
        <v>117772021.94724962</v>
      </c>
      <c r="AC34" s="378">
        <f t="shared" si="10"/>
        <v>291200908.94724965</v>
      </c>
      <c r="AD34" s="175">
        <f t="shared" si="2"/>
        <v>0</v>
      </c>
      <c r="AF34" s="175">
        <f t="shared" si="11"/>
        <v>47998330.896125004</v>
      </c>
      <c r="AG34" s="175">
        <f t="shared" si="12"/>
        <v>0</v>
      </c>
      <c r="AH34" s="175">
        <f t="shared" si="13"/>
        <v>0</v>
      </c>
      <c r="AI34" s="175">
        <f t="shared" si="14"/>
        <v>0</v>
      </c>
    </row>
    <row r="35" spans="1:35" x14ac:dyDescent="0.35">
      <c r="A35" s="18">
        <v>27</v>
      </c>
      <c r="B35" s="184">
        <v>42825</v>
      </c>
      <c r="C35" s="331">
        <f t="shared" si="3"/>
        <v>2017</v>
      </c>
      <c r="D35" s="178">
        <f>IF(VLOOKUP($B35,'Ppto-Mes'!$B$8:$AX$68,D$2,0)&gt;0,VLOOKUP($B35,'Ppto-Mes'!$B$8:$AX$68,D$2,0),0)</f>
        <v>50598604.843374625</v>
      </c>
      <c r="E35" s="175">
        <f>IFERROR(VLOOKUP($B35,'Inv Temp'!$B$7:$I$67,E$2,0),0)</f>
        <v>0</v>
      </c>
      <c r="F35" s="175">
        <f>IF($F$1=0,0,IF($F$1=1,IFERROR(HLOOKUP(YEAR($B35),'Ing Proyect'!$B$6:$G$12,6,0),0),IFERROR(HLOOKUP(YEAR($B34),'Ing Proyect'!$B$6:$G$12,6,0),0)+IFERROR(HLOOKUP(YEAR($B35),'Ing Proyect'!$B$6:$G$12,6,0),0)))</f>
        <v>136718000</v>
      </c>
      <c r="G35" s="376">
        <f t="shared" si="4"/>
        <v>187316604.84337461</v>
      </c>
      <c r="H35" s="175">
        <f>IFERROR(VLOOKUP($B35,'Amort Inv Inic'!$B$7:$AN$67,H$1,0),0)+IFERROR(VLOOKUP($B35,'Amort Inv Adic'!$B$7:$BU$67,H$2,0),0)</f>
        <v>71578000</v>
      </c>
      <c r="I35" s="175">
        <f>IFERROR(VLOOKUP($B35,'Amort Inv Inic'!$B$7:$AN$67,I$1,0),0)+IFERROR(VLOOKUP($B35,'Amort Inv Adic'!$B$7:$BU$67,I$2,0),0)</f>
        <v>35155038</v>
      </c>
      <c r="J35" s="175">
        <f t="shared" si="5"/>
        <v>36422962</v>
      </c>
      <c r="K35" s="175">
        <f>IFERROR(VLOOKUP($B35,'Amort Inv Inic'!$B$7:$AN$67,K$1,0),0)+IFERROR(VLOOKUP($B35,'Amort Inv Adic'!$B$7:$BU$67,K$2,0),0)</f>
        <v>61780000</v>
      </c>
      <c r="L35" s="175">
        <f>IFERROR(VLOOKUP($B35,'Amort Inv Inic'!$B$7:$AN$67,L$1,0),0)+IFERROR(VLOOKUP($B35,'Amort Inv Adic'!$B$7:$BU$67,L$2,0),0)</f>
        <v>45719990</v>
      </c>
      <c r="M35" s="175">
        <f t="shared" si="6"/>
        <v>16060010</v>
      </c>
      <c r="N35" s="377">
        <f t="shared" si="7"/>
        <v>52482972</v>
      </c>
      <c r="O35" s="378">
        <f t="shared" si="8"/>
        <v>239799576.84337461</v>
      </c>
      <c r="P35" s="178">
        <f>IF(VLOOKUP($B35,'Ppto-Mes'!$B$8:$AX$68,P$2,0)&lt;0,-VLOOKUP($B35,'Ppto-Mes'!$B$8:$AX$68,P$2,0),0)</f>
        <v>0</v>
      </c>
      <c r="Q35" s="175">
        <f>VLOOKUP($B35,'Financ 1'!$B$15:$P$75,Q$2,0)</f>
        <v>80493750</v>
      </c>
      <c r="R35" s="175">
        <f>VLOOKUP($B35,'Financ 2'!$B$15:$P$75,R$2,0)</f>
        <v>0</v>
      </c>
      <c r="S35" s="175">
        <f>VLOOKUP($B35,'Financ 3'!$B$15:$P$75,S$2,0)</f>
        <v>28000000</v>
      </c>
      <c r="T35" s="178">
        <f>VLOOKUP($B35,'Ppto-Mes'!$B$8:$AX$68,T$2,0)</f>
        <v>6273000</v>
      </c>
      <c r="U35" s="175">
        <f>VLOOKUP($B35,'Gtos Consultores'!$B$9:$AI$69,U$2,0)</f>
        <v>3573581</v>
      </c>
      <c r="V35" s="175">
        <f>IF($V$1=0,0,IF($V$1=1,IFERROR(HLOOKUP(YEAR($B35),'Gastos Proyect'!$B$4:$F$17,14,0),0),IFERROR(HLOOKUP(YEAR($B34),'Gastos Proyect'!$B$4:$F$17,14,0),0)+IFERROR(HLOOKUP(YEAR($B35),'Gastos Proyect'!$B$4:$F$17,14,0),0)))</f>
        <v>0</v>
      </c>
      <c r="W35" s="377">
        <f t="shared" si="0"/>
        <v>118340331</v>
      </c>
      <c r="X35" s="175">
        <f t="shared" si="15"/>
        <v>50000000</v>
      </c>
      <c r="Y35" s="178">
        <f>IF(MONTH($B35)=12,IF(Y34+ROUND(VLOOKUP($B35,'Ppto-Mes'!$B$8:$AX$68,Y$2,0)*10%,-3)&lt;=50%*X34,Y34+ROUND(VLOOKUP($B35,'Ppto-Mes'!$B$8:$AX$68,Y$2,0)*10%,-3),50%*X34),Y34)</f>
        <v>6013000</v>
      </c>
      <c r="Z35" s="178">
        <f>VLOOKUP($B35,'Ppto-Mes'!$B$8:$AX$68,Z$2,0)-(Y35-Y34)</f>
        <v>11329871.688375011</v>
      </c>
      <c r="AA35" s="175">
        <f t="shared" si="1"/>
        <v>54116374.154999614</v>
      </c>
      <c r="AB35" s="376">
        <f t="shared" si="9"/>
        <v>121459245.84337462</v>
      </c>
      <c r="AC35" s="378">
        <f t="shared" si="10"/>
        <v>239799576.84337461</v>
      </c>
      <c r="AD35" s="175">
        <f t="shared" si="2"/>
        <v>0</v>
      </c>
      <c r="AF35" s="175">
        <f t="shared" si="11"/>
        <v>-48470760.103874996</v>
      </c>
      <c r="AG35" s="175">
        <f t="shared" si="12"/>
        <v>0</v>
      </c>
      <c r="AH35" s="175">
        <f t="shared" si="13"/>
        <v>0</v>
      </c>
      <c r="AI35" s="175">
        <f t="shared" si="14"/>
        <v>0</v>
      </c>
    </row>
    <row r="36" spans="1:35" x14ac:dyDescent="0.35">
      <c r="A36" s="18">
        <v>28</v>
      </c>
      <c r="B36" s="184">
        <v>42855</v>
      </c>
      <c r="C36" s="331">
        <f t="shared" si="3"/>
        <v>2017</v>
      </c>
      <c r="D36" s="178">
        <f>IF(VLOOKUP($B36,'Ppto-Mes'!$B$8:$AX$68,D$2,0)&gt;0,VLOOKUP($B36,'Ppto-Mes'!$B$8:$AX$68,D$2,0),0)</f>
        <v>99655354.739499629</v>
      </c>
      <c r="E36" s="175">
        <f>IFERROR(VLOOKUP($B36,'Inv Temp'!$B$7:$I$67,E$2,0),0)</f>
        <v>0</v>
      </c>
      <c r="F36" s="175">
        <f>IF($F$1=0,0,IF($F$1=1,IFERROR(HLOOKUP(YEAR($B36),'Ing Proyect'!$B$6:$G$12,6,0),0),IFERROR(HLOOKUP(YEAR($B35),'Ing Proyect'!$B$6:$G$12,6,0),0)+IFERROR(HLOOKUP(YEAR($B36),'Ing Proyect'!$B$6:$G$12,6,0),0)))</f>
        <v>136718000</v>
      </c>
      <c r="G36" s="376">
        <f t="shared" si="4"/>
        <v>236373354.73949963</v>
      </c>
      <c r="H36" s="175">
        <f>IFERROR(VLOOKUP($B36,'Amort Inv Inic'!$B$7:$AN$67,H$1,0),0)+IFERROR(VLOOKUP($B36,'Amort Inv Adic'!$B$7:$BU$67,H$2,0),0)</f>
        <v>71578000</v>
      </c>
      <c r="I36" s="175">
        <f>IFERROR(VLOOKUP($B36,'Amort Inv Inic'!$B$7:$AN$67,I$1,0),0)+IFERROR(VLOOKUP($B36,'Amort Inv Adic'!$B$7:$BU$67,I$2,0),0)</f>
        <v>36878940</v>
      </c>
      <c r="J36" s="175">
        <f t="shared" si="5"/>
        <v>34699060</v>
      </c>
      <c r="K36" s="175">
        <f>IFERROR(VLOOKUP($B36,'Amort Inv Inic'!$B$7:$AN$67,K$1,0),0)+IFERROR(VLOOKUP($B36,'Amort Inv Adic'!$B$7:$BU$67,K$2,0),0)</f>
        <v>61780000</v>
      </c>
      <c r="L36" s="175">
        <f>IFERROR(VLOOKUP($B36,'Amort Inv Inic'!$B$7:$AN$67,L$1,0),0)+IFERROR(VLOOKUP($B36,'Amort Inv Adic'!$B$7:$BU$67,L$2,0),0)</f>
        <v>46926656</v>
      </c>
      <c r="M36" s="175">
        <f t="shared" si="6"/>
        <v>14853344</v>
      </c>
      <c r="N36" s="377">
        <f t="shared" si="7"/>
        <v>49552404</v>
      </c>
      <c r="O36" s="378">
        <f t="shared" si="8"/>
        <v>285925758.73949963</v>
      </c>
      <c r="P36" s="178">
        <f>IF(VLOOKUP($B36,'Ppto-Mes'!$B$8:$AX$68,P$2,0)&lt;0,-VLOOKUP($B36,'Ppto-Mes'!$B$8:$AX$68,P$2,0),0)</f>
        <v>0</v>
      </c>
      <c r="Q36" s="175">
        <f>VLOOKUP($B36,'Financ 1'!$B$15:$P$75,Q$2,0)</f>
        <v>71550000</v>
      </c>
      <c r="R36" s="175">
        <f>VLOOKUP($B36,'Financ 2'!$B$15:$P$75,R$2,0)</f>
        <v>0</v>
      </c>
      <c r="S36" s="175">
        <f>VLOOKUP($B36,'Financ 3'!$B$15:$P$75,S$2,0)</f>
        <v>79000000</v>
      </c>
      <c r="T36" s="178">
        <f>VLOOKUP($B36,'Ppto-Mes'!$B$8:$AX$68,T$2,0)</f>
        <v>4917500</v>
      </c>
      <c r="U36" s="175">
        <f>VLOOKUP($B36,'Gtos Consultores'!$B$9:$AI$69,U$2,0)</f>
        <v>4764775</v>
      </c>
      <c r="V36" s="175">
        <f>IF($V$1=0,0,IF($V$1=1,IFERROR(HLOOKUP(YEAR($B36),'Gastos Proyect'!$B$4:$F$17,14,0),0),IFERROR(HLOOKUP(YEAR($B35),'Gastos Proyect'!$B$4:$F$17,14,0),0)+IFERROR(HLOOKUP(YEAR($B36),'Gastos Proyect'!$B$4:$F$17,14,0),0)))</f>
        <v>0</v>
      </c>
      <c r="W36" s="377">
        <f t="shared" si="0"/>
        <v>160232275</v>
      </c>
      <c r="X36" s="175">
        <f t="shared" si="15"/>
        <v>50000000</v>
      </c>
      <c r="Y36" s="178">
        <f>IF(MONTH($B36)=12,IF(Y35+ROUND(VLOOKUP($B36,'Ppto-Mes'!$B$8:$AX$68,Y$2,0)*10%,-3)&lt;=50%*X35,Y35+ROUND(VLOOKUP($B36,'Ppto-Mes'!$B$8:$AX$68,Y$2,0)*10%,-3),50%*X35),Y35)</f>
        <v>6013000</v>
      </c>
      <c r="Z36" s="178">
        <f>VLOOKUP($B36,'Ppto-Mes'!$B$8:$AX$68,Z$2,0)-(Y36-Y35)</f>
        <v>15564109.584500015</v>
      </c>
      <c r="AA36" s="175">
        <f t="shared" si="1"/>
        <v>54116374.154999614</v>
      </c>
      <c r="AB36" s="376">
        <f t="shared" si="9"/>
        <v>125693483.73949963</v>
      </c>
      <c r="AC36" s="378">
        <f t="shared" si="10"/>
        <v>285925758.73949963</v>
      </c>
      <c r="AD36" s="175">
        <f t="shared" si="2"/>
        <v>0</v>
      </c>
      <c r="AF36" s="175">
        <f t="shared" si="11"/>
        <v>49056749.896125004</v>
      </c>
      <c r="AG36" s="175">
        <f t="shared" si="12"/>
        <v>0</v>
      </c>
      <c r="AH36" s="175">
        <f t="shared" si="13"/>
        <v>0</v>
      </c>
      <c r="AI36" s="175">
        <f t="shared" si="14"/>
        <v>0</v>
      </c>
    </row>
    <row r="37" spans="1:35" x14ac:dyDescent="0.35">
      <c r="A37" s="18">
        <v>29</v>
      </c>
      <c r="B37" s="184">
        <v>42886</v>
      </c>
      <c r="C37" s="331">
        <f t="shared" si="3"/>
        <v>2017</v>
      </c>
      <c r="D37" s="178">
        <f>IF(VLOOKUP($B37,'Ppto-Mes'!$B$8:$AX$68,D$2,0)&gt;0,VLOOKUP($B37,'Ppto-Mes'!$B$8:$AX$68,D$2,0),0)</f>
        <v>50334045.635624632</v>
      </c>
      <c r="E37" s="175">
        <f>IFERROR(VLOOKUP($B37,'Inv Temp'!$B$7:$I$67,E$2,0),0)</f>
        <v>0</v>
      </c>
      <c r="F37" s="175">
        <f>IF($F$1=0,0,IF($F$1=1,IFERROR(HLOOKUP(YEAR($B37),'Ing Proyect'!$B$6:$G$12,6,0),0),IFERROR(HLOOKUP(YEAR($B36),'Ing Proyect'!$B$6:$G$12,6,0),0)+IFERROR(HLOOKUP(YEAR($B37),'Ing Proyect'!$B$6:$G$12,6,0),0)))</f>
        <v>136718000</v>
      </c>
      <c r="G37" s="376">
        <f t="shared" si="4"/>
        <v>187052045.63562465</v>
      </c>
      <c r="H37" s="175">
        <f>IFERROR(VLOOKUP($B37,'Amort Inv Inic'!$B$7:$AN$67,H$1,0),0)+IFERROR(VLOOKUP($B37,'Amort Inv Adic'!$B$7:$BU$67,H$2,0),0)</f>
        <v>71578000</v>
      </c>
      <c r="I37" s="175">
        <f>IFERROR(VLOOKUP($B37,'Amort Inv Inic'!$B$7:$AN$67,I$1,0),0)+IFERROR(VLOOKUP($B37,'Amort Inv Adic'!$B$7:$BU$67,I$2,0),0)</f>
        <v>38602844</v>
      </c>
      <c r="J37" s="175">
        <f t="shared" si="5"/>
        <v>32975156</v>
      </c>
      <c r="K37" s="175">
        <f>IFERROR(VLOOKUP($B37,'Amort Inv Inic'!$B$7:$AN$67,K$1,0),0)+IFERROR(VLOOKUP($B37,'Amort Inv Adic'!$B$7:$BU$67,K$2,0),0)</f>
        <v>61780000</v>
      </c>
      <c r="L37" s="175">
        <f>IFERROR(VLOOKUP($B37,'Amort Inv Inic'!$B$7:$AN$67,L$1,0),0)+IFERROR(VLOOKUP($B37,'Amort Inv Adic'!$B$7:$BU$67,L$2,0),0)</f>
        <v>48133324</v>
      </c>
      <c r="M37" s="175">
        <f t="shared" si="6"/>
        <v>13646676</v>
      </c>
      <c r="N37" s="377">
        <f t="shared" si="7"/>
        <v>46621832</v>
      </c>
      <c r="O37" s="378">
        <f t="shared" si="8"/>
        <v>233673877.63562465</v>
      </c>
      <c r="P37" s="178">
        <f>IF(VLOOKUP($B37,'Ppto-Mes'!$B$8:$AX$68,P$2,0)&lt;0,-VLOOKUP($B37,'Ppto-Mes'!$B$8:$AX$68,P$2,0),0)</f>
        <v>0</v>
      </c>
      <c r="Q37" s="175">
        <f>VLOOKUP($B37,'Financ 1'!$B$15:$P$75,Q$2,0)</f>
        <v>62606250</v>
      </c>
      <c r="R37" s="175">
        <f>VLOOKUP($B37,'Financ 2'!$B$15:$P$75,R$2,0)</f>
        <v>0</v>
      </c>
      <c r="S37" s="175">
        <f>VLOOKUP($B37,'Financ 3'!$B$15:$P$75,S$2,0)</f>
        <v>30000000</v>
      </c>
      <c r="T37" s="178">
        <f>VLOOKUP($B37,'Ppto-Mes'!$B$8:$AX$68,T$2,0)</f>
        <v>5604500</v>
      </c>
      <c r="U37" s="175">
        <f>VLOOKUP($B37,'Gtos Consultores'!$B$9:$AI$69,U$2,0)</f>
        <v>5955969</v>
      </c>
      <c r="V37" s="175">
        <f>IF($V$1=0,0,IF($V$1=1,IFERROR(HLOOKUP(YEAR($B37),'Gastos Proyect'!$B$4:$F$17,14,0),0),IFERROR(HLOOKUP(YEAR($B36),'Gastos Proyect'!$B$4:$F$17,14,0),0)+IFERROR(HLOOKUP(YEAR($B37),'Gastos Proyect'!$B$4:$F$17,14,0),0)))</f>
        <v>0</v>
      </c>
      <c r="W37" s="377">
        <f t="shared" si="0"/>
        <v>104166719</v>
      </c>
      <c r="X37" s="175">
        <f t="shared" si="15"/>
        <v>50000000</v>
      </c>
      <c r="Y37" s="178">
        <f>IF(MONTH($B37)=12,IF(Y36+ROUND(VLOOKUP($B37,'Ppto-Mes'!$B$8:$AX$68,Y$2,0)*10%,-3)&lt;=50%*X36,Y36+ROUND(VLOOKUP($B37,'Ppto-Mes'!$B$8:$AX$68,Y$2,0)*10%,-3),50%*X36),Y36)</f>
        <v>6013000</v>
      </c>
      <c r="Z37" s="178">
        <f>VLOOKUP($B37,'Ppto-Mes'!$B$8:$AX$68,Z$2,0)-(Y37-Y36)</f>
        <v>19377784.480625018</v>
      </c>
      <c r="AA37" s="175">
        <f t="shared" si="1"/>
        <v>54116374.154999614</v>
      </c>
      <c r="AB37" s="376">
        <f t="shared" si="9"/>
        <v>129507158.63562463</v>
      </c>
      <c r="AC37" s="378">
        <f t="shared" si="10"/>
        <v>233673877.63562465</v>
      </c>
      <c r="AD37" s="175">
        <f t="shared" si="2"/>
        <v>0</v>
      </c>
      <c r="AF37" s="175">
        <f t="shared" si="11"/>
        <v>-49321309.103874996</v>
      </c>
      <c r="AG37" s="175">
        <f t="shared" si="12"/>
        <v>0</v>
      </c>
      <c r="AH37" s="175">
        <f t="shared" si="13"/>
        <v>0</v>
      </c>
      <c r="AI37" s="175">
        <f t="shared" si="14"/>
        <v>0</v>
      </c>
    </row>
    <row r="38" spans="1:35" x14ac:dyDescent="0.35">
      <c r="A38" s="18">
        <v>30</v>
      </c>
      <c r="B38" s="184">
        <v>42916</v>
      </c>
      <c r="C38" s="331">
        <f t="shared" si="3"/>
        <v>2017</v>
      </c>
      <c r="D38" s="178">
        <f>IF(VLOOKUP($B38,'Ppto-Mes'!$B$8:$AX$68,D$2,0)&gt;0,VLOOKUP($B38,'Ppto-Mes'!$B$8:$AX$68,D$2,0),0)</f>
        <v>96886444.531749636</v>
      </c>
      <c r="E38" s="175">
        <f>IFERROR(VLOOKUP($B38,'Inv Temp'!$B$7:$I$67,E$2,0),0)</f>
        <v>0</v>
      </c>
      <c r="F38" s="175">
        <f>IF($F$1=0,0,IF($F$1=1,IFERROR(HLOOKUP(YEAR($B38),'Ing Proyect'!$B$6:$G$12,6,0),0),IFERROR(HLOOKUP(YEAR($B37),'Ing Proyect'!$B$6:$G$12,6,0),0)+IFERROR(HLOOKUP(YEAR($B38),'Ing Proyect'!$B$6:$G$12,6,0),0)))</f>
        <v>136718000</v>
      </c>
      <c r="G38" s="376">
        <f t="shared" si="4"/>
        <v>233604444.53174964</v>
      </c>
      <c r="H38" s="175">
        <f>IFERROR(VLOOKUP($B38,'Amort Inv Inic'!$B$7:$AN$67,H$1,0),0)+IFERROR(VLOOKUP($B38,'Amort Inv Adic'!$B$7:$BU$67,H$2,0),0)</f>
        <v>71578000</v>
      </c>
      <c r="I38" s="175">
        <f>IFERROR(VLOOKUP($B38,'Amort Inv Inic'!$B$7:$AN$67,I$1,0),0)+IFERROR(VLOOKUP($B38,'Amort Inv Adic'!$B$7:$BU$67,I$2,0),0)</f>
        <v>40326746</v>
      </c>
      <c r="J38" s="175">
        <f t="shared" si="5"/>
        <v>31251254</v>
      </c>
      <c r="K38" s="175">
        <f>IFERROR(VLOOKUP($B38,'Amort Inv Inic'!$B$7:$AN$67,K$1,0),0)+IFERROR(VLOOKUP($B38,'Amort Inv Adic'!$B$7:$BU$67,K$2,0),0)</f>
        <v>69040000</v>
      </c>
      <c r="L38" s="175">
        <f>IFERROR(VLOOKUP($B38,'Amort Inv Inic'!$B$7:$AN$67,L$1,0),0)+IFERROR(VLOOKUP($B38,'Amort Inv Adic'!$B$7:$BU$67,L$2,0),0)</f>
        <v>49339990</v>
      </c>
      <c r="M38" s="175">
        <f t="shared" si="6"/>
        <v>19700010</v>
      </c>
      <c r="N38" s="377">
        <f t="shared" si="7"/>
        <v>50951264</v>
      </c>
      <c r="O38" s="378">
        <f t="shared" si="8"/>
        <v>284555708.53174961</v>
      </c>
      <c r="P38" s="178">
        <f>IF(VLOOKUP($B38,'Ppto-Mes'!$B$8:$AX$68,P$2,0)&lt;0,-VLOOKUP($B38,'Ppto-Mes'!$B$8:$AX$68,P$2,0),0)</f>
        <v>0</v>
      </c>
      <c r="Q38" s="175">
        <f>VLOOKUP($B38,'Financ 1'!$B$15:$P$75,Q$2,0)</f>
        <v>53662500</v>
      </c>
      <c r="R38" s="175">
        <f>VLOOKUP($B38,'Financ 2'!$B$15:$P$75,R$2,0)</f>
        <v>0</v>
      </c>
      <c r="S38" s="175">
        <f>VLOOKUP($B38,'Financ 3'!$B$15:$P$75,S$2,0)</f>
        <v>89000000</v>
      </c>
      <c r="T38" s="178">
        <f>VLOOKUP($B38,'Ppto-Mes'!$B$8:$AX$68,T$2,0)</f>
        <v>4269000</v>
      </c>
      <c r="U38" s="175">
        <f>VLOOKUP($B38,'Gtos Consultores'!$B$9:$AI$69,U$2,0)</f>
        <v>3775858</v>
      </c>
      <c r="V38" s="175">
        <f>IF($V$1=0,0,IF($V$1=1,IFERROR(HLOOKUP(YEAR($B38),'Gastos Proyect'!$B$4:$F$17,14,0),0),IFERROR(HLOOKUP(YEAR($B37),'Gastos Proyect'!$B$4:$F$17,14,0),0)+IFERROR(HLOOKUP(YEAR($B38),'Gastos Proyect'!$B$4:$F$17,14,0),0)))</f>
        <v>0</v>
      </c>
      <c r="W38" s="377">
        <f t="shared" si="0"/>
        <v>150707358</v>
      </c>
      <c r="X38" s="175">
        <f t="shared" si="15"/>
        <v>50000000</v>
      </c>
      <c r="Y38" s="178">
        <f>IF(MONTH($B38)=12,IF(Y37+ROUND(VLOOKUP($B38,'Ppto-Mes'!$B$8:$AX$68,Y$2,0)*10%,-3)&lt;=50%*X37,Y37+ROUND(VLOOKUP($B38,'Ppto-Mes'!$B$8:$AX$68,Y$2,0)*10%,-3),50%*X37),Y37)</f>
        <v>6013000</v>
      </c>
      <c r="Z38" s="178">
        <f>VLOOKUP($B38,'Ppto-Mes'!$B$8:$AX$68,Z$2,0)-(Y38-Y37)</f>
        <v>23718976.376750022</v>
      </c>
      <c r="AA38" s="175">
        <f t="shared" si="1"/>
        <v>54116374.154999614</v>
      </c>
      <c r="AB38" s="376">
        <f t="shared" si="9"/>
        <v>133848350.53174964</v>
      </c>
      <c r="AC38" s="378">
        <f t="shared" si="10"/>
        <v>284555708.53174961</v>
      </c>
      <c r="AD38" s="175">
        <f t="shared" si="2"/>
        <v>0</v>
      </c>
      <c r="AF38" s="175">
        <f t="shared" si="11"/>
        <v>46552398.896125004</v>
      </c>
      <c r="AG38" s="175">
        <f t="shared" si="12"/>
        <v>0</v>
      </c>
      <c r="AH38" s="175">
        <f t="shared" si="13"/>
        <v>7260000</v>
      </c>
      <c r="AI38" s="175">
        <f t="shared" si="14"/>
        <v>0</v>
      </c>
    </row>
    <row r="39" spans="1:35" x14ac:dyDescent="0.35">
      <c r="A39" s="18">
        <v>31</v>
      </c>
      <c r="B39" s="184">
        <v>42947</v>
      </c>
      <c r="C39" s="331">
        <f t="shared" si="3"/>
        <v>2017</v>
      </c>
      <c r="D39" s="178">
        <f>IF(VLOOKUP($B39,'Ppto-Mes'!$B$8:$AX$68,D$2,0)&gt;0,VLOOKUP($B39,'Ppto-Mes'!$B$8:$AX$68,D$2,0),0)</f>
        <v>37631945.42787464</v>
      </c>
      <c r="E39" s="175">
        <f>IFERROR(VLOOKUP($B39,'Inv Temp'!$B$7:$I$67,E$2,0),0)</f>
        <v>0</v>
      </c>
      <c r="F39" s="175">
        <f>IF($F$1=0,0,IF($F$1=1,IFERROR(HLOOKUP(YEAR($B39),'Ing Proyect'!$B$6:$G$12,6,0),0),IFERROR(HLOOKUP(YEAR($B38),'Ing Proyect'!$B$6:$G$12,6,0),0)+IFERROR(HLOOKUP(YEAR($B39),'Ing Proyect'!$B$6:$G$12,6,0),0)))</f>
        <v>136718000</v>
      </c>
      <c r="G39" s="376">
        <f t="shared" si="4"/>
        <v>174349945.42787462</v>
      </c>
      <c r="H39" s="175">
        <f>IFERROR(VLOOKUP($B39,'Amort Inv Inic'!$B$7:$AN$67,H$1,0),0)+IFERROR(VLOOKUP($B39,'Amort Inv Adic'!$B$7:$BU$67,H$2,0),0)</f>
        <v>71578000</v>
      </c>
      <c r="I39" s="175">
        <f>IFERROR(VLOOKUP($B39,'Amort Inv Inic'!$B$7:$AN$67,I$1,0),0)+IFERROR(VLOOKUP($B39,'Amort Inv Adic'!$B$7:$BU$67,I$2,0),0)</f>
        <v>42050650</v>
      </c>
      <c r="J39" s="175">
        <f t="shared" si="5"/>
        <v>29527350</v>
      </c>
      <c r="K39" s="175">
        <f>IFERROR(VLOOKUP($B39,'Amort Inv Inic'!$B$7:$AN$67,K$1,0),0)+IFERROR(VLOOKUP($B39,'Amort Inv Adic'!$B$7:$BU$67,K$2,0),0)</f>
        <v>69040000</v>
      </c>
      <c r="L39" s="175">
        <f>IFERROR(VLOOKUP($B39,'Amort Inv Inic'!$B$7:$AN$67,L$1,0),0)+IFERROR(VLOOKUP($B39,'Amort Inv Adic'!$B$7:$BU$67,L$2,0),0)</f>
        <v>50601658</v>
      </c>
      <c r="M39" s="175">
        <f t="shared" si="6"/>
        <v>18438342</v>
      </c>
      <c r="N39" s="377">
        <f t="shared" si="7"/>
        <v>47965692</v>
      </c>
      <c r="O39" s="378">
        <f t="shared" si="8"/>
        <v>222315637.42787462</v>
      </c>
      <c r="P39" s="178">
        <f>IF(VLOOKUP($B39,'Ppto-Mes'!$B$8:$AX$68,P$2,0)&lt;0,-VLOOKUP($B39,'Ppto-Mes'!$B$8:$AX$68,P$2,0),0)</f>
        <v>0</v>
      </c>
      <c r="Q39" s="175">
        <f>VLOOKUP($B39,'Financ 1'!$B$15:$P$75,Q$2,0)</f>
        <v>44718750</v>
      </c>
      <c r="R39" s="175">
        <f>VLOOKUP($B39,'Financ 2'!$B$15:$P$75,R$2,0)</f>
        <v>0</v>
      </c>
      <c r="S39" s="175">
        <f>VLOOKUP($B39,'Financ 3'!$B$15:$P$75,S$2,0)</f>
        <v>30000000</v>
      </c>
      <c r="T39" s="178">
        <f>VLOOKUP($B39,'Ppto-Mes'!$B$8:$AX$68,T$2,0)</f>
        <v>4958000</v>
      </c>
      <c r="U39" s="175">
        <f>VLOOKUP($B39,'Gtos Consultores'!$B$9:$AI$69,U$2,0)</f>
        <v>4967052</v>
      </c>
      <c r="V39" s="175">
        <f>IF($V$1=0,0,IF($V$1=1,IFERROR(HLOOKUP(YEAR($B39),'Gastos Proyect'!$B$4:$F$17,14,0),0),IFERROR(HLOOKUP(YEAR($B38),'Gastos Proyect'!$B$4:$F$17,14,0),0)+IFERROR(HLOOKUP(YEAR($B39),'Gastos Proyect'!$B$4:$F$17,14,0),0)))</f>
        <v>0</v>
      </c>
      <c r="W39" s="377">
        <f t="shared" si="0"/>
        <v>84643802</v>
      </c>
      <c r="X39" s="175">
        <f t="shared" si="15"/>
        <v>50000000</v>
      </c>
      <c r="Y39" s="178">
        <f>IF(MONTH($B39)=12,IF(Y38+ROUND(VLOOKUP($B39,'Ppto-Mes'!$B$8:$AX$68,Y$2,0)*10%,-3)&lt;=50%*X38,Y38+ROUND(VLOOKUP($B39,'Ppto-Mes'!$B$8:$AX$68,Y$2,0)*10%,-3),50%*X38),Y38)</f>
        <v>6013000</v>
      </c>
      <c r="Z39" s="178">
        <f>VLOOKUP($B39,'Ppto-Mes'!$B$8:$AX$68,Z$2,0)-(Y39-Y38)</f>
        <v>27542461.272875026</v>
      </c>
      <c r="AA39" s="175">
        <f t="shared" si="1"/>
        <v>54116374.154999614</v>
      </c>
      <c r="AB39" s="376">
        <f t="shared" si="9"/>
        <v>137671835.42787462</v>
      </c>
      <c r="AC39" s="378">
        <f t="shared" si="10"/>
        <v>222315637.42787462</v>
      </c>
      <c r="AD39" s="175">
        <f t="shared" si="2"/>
        <v>0</v>
      </c>
      <c r="AF39" s="175">
        <f t="shared" si="11"/>
        <v>-59254499.103874996</v>
      </c>
      <c r="AG39" s="175">
        <f t="shared" si="12"/>
        <v>0</v>
      </c>
      <c r="AH39" s="175">
        <f t="shared" si="13"/>
        <v>0</v>
      </c>
      <c r="AI39" s="175">
        <f t="shared" si="14"/>
        <v>0</v>
      </c>
    </row>
    <row r="40" spans="1:35" x14ac:dyDescent="0.35">
      <c r="A40" s="18">
        <v>32</v>
      </c>
      <c r="B40" s="184">
        <v>42978</v>
      </c>
      <c r="C40" s="331">
        <f t="shared" si="3"/>
        <v>2017</v>
      </c>
      <c r="D40" s="178">
        <f>IF(VLOOKUP($B40,'Ppto-Mes'!$B$8:$AX$68,D$2,0)&gt;0,VLOOKUP($B40,'Ppto-Mes'!$B$8:$AX$68,D$2,0),0)</f>
        <v>97096648.323999643</v>
      </c>
      <c r="E40" s="175">
        <f>IFERROR(VLOOKUP($B40,'Inv Temp'!$B$7:$I$67,E$2,0),0)</f>
        <v>0</v>
      </c>
      <c r="F40" s="175">
        <f>IF($F$1=0,0,IF($F$1=1,IFERROR(HLOOKUP(YEAR($B40),'Ing Proyect'!$B$6:$G$12,6,0),0),IFERROR(HLOOKUP(YEAR($B39),'Ing Proyect'!$B$6:$G$12,6,0),0)+IFERROR(HLOOKUP(YEAR($B40),'Ing Proyect'!$B$6:$G$12,6,0),0)))</f>
        <v>136718000</v>
      </c>
      <c r="G40" s="376">
        <f t="shared" si="4"/>
        <v>233814648.32399964</v>
      </c>
      <c r="H40" s="175">
        <f>IFERROR(VLOOKUP($B40,'Amort Inv Inic'!$B$7:$AN$67,H$1,0),0)+IFERROR(VLOOKUP($B40,'Amort Inv Adic'!$B$7:$BU$67,H$2,0),0)</f>
        <v>71578000</v>
      </c>
      <c r="I40" s="175">
        <f>IFERROR(VLOOKUP($B40,'Amort Inv Inic'!$B$7:$AN$67,I$1,0),0)+IFERROR(VLOOKUP($B40,'Amort Inv Adic'!$B$7:$BU$67,I$2,0),0)</f>
        <v>43774552</v>
      </c>
      <c r="J40" s="175">
        <f t="shared" si="5"/>
        <v>27803448</v>
      </c>
      <c r="K40" s="175">
        <f>IFERROR(VLOOKUP($B40,'Amort Inv Inic'!$B$7:$AN$67,K$1,0),0)+IFERROR(VLOOKUP($B40,'Amort Inv Adic'!$B$7:$BU$67,K$2,0),0)</f>
        <v>69040000</v>
      </c>
      <c r="L40" s="175">
        <f>IFERROR(VLOOKUP($B40,'Amort Inv Inic'!$B$7:$AN$67,L$1,0),0)+IFERROR(VLOOKUP($B40,'Amort Inv Adic'!$B$7:$BU$67,L$2,0),0)</f>
        <v>51863324</v>
      </c>
      <c r="M40" s="175">
        <f t="shared" si="6"/>
        <v>17176676</v>
      </c>
      <c r="N40" s="377">
        <f t="shared" si="7"/>
        <v>44980124</v>
      </c>
      <c r="O40" s="378">
        <f t="shared" si="8"/>
        <v>278794772.32399964</v>
      </c>
      <c r="P40" s="178">
        <f>IF(VLOOKUP($B40,'Ppto-Mes'!$B$8:$AX$68,P$2,0)&lt;0,-VLOOKUP($B40,'Ppto-Mes'!$B$8:$AX$68,P$2,0),0)</f>
        <v>0</v>
      </c>
      <c r="Q40" s="175">
        <f>VLOOKUP($B40,'Financ 1'!$B$15:$P$75,Q$2,0)</f>
        <v>35775000</v>
      </c>
      <c r="R40" s="175">
        <f>VLOOKUP($B40,'Financ 2'!$B$15:$P$75,R$2,0)</f>
        <v>0</v>
      </c>
      <c r="S40" s="175">
        <f>VLOOKUP($B40,'Financ 3'!$B$15:$P$75,S$2,0)</f>
        <v>89000000</v>
      </c>
      <c r="T40" s="178">
        <f>VLOOKUP($B40,'Ppto-Mes'!$B$8:$AX$68,T$2,0)</f>
        <v>5755000</v>
      </c>
      <c r="U40" s="175">
        <f>VLOOKUP($B40,'Gtos Consultores'!$B$9:$AI$69,U$2,0)</f>
        <v>6158246</v>
      </c>
      <c r="V40" s="175">
        <f>IF($V$1=0,0,IF($V$1=1,IFERROR(HLOOKUP(YEAR($B40),'Gastos Proyect'!$B$4:$F$17,14,0),0),IFERROR(HLOOKUP(YEAR($B39),'Gastos Proyect'!$B$4:$F$17,14,0),0)+IFERROR(HLOOKUP(YEAR($B40),'Gastos Proyect'!$B$4:$F$17,14,0),0)))</f>
        <v>0</v>
      </c>
      <c r="W40" s="377">
        <f t="shared" ref="W40:W68" si="16">SUM(P40:V40)</f>
        <v>136688246</v>
      </c>
      <c r="X40" s="175">
        <f t="shared" si="15"/>
        <v>50000000</v>
      </c>
      <c r="Y40" s="178">
        <f>IF(MONTH($B40)=12,IF(Y39+ROUND(VLOOKUP($B40,'Ppto-Mes'!$B$8:$AX$68,Y$2,0)*10%,-3)&lt;=50%*X39,Y39+ROUND(VLOOKUP($B40,'Ppto-Mes'!$B$8:$AX$68,Y$2,0)*10%,-3),50%*X39),Y39)</f>
        <v>6013000</v>
      </c>
      <c r="Z40" s="178">
        <f>VLOOKUP($B40,'Ppto-Mes'!$B$8:$AX$68,Z$2,0)-(Y40-Y39)</f>
        <v>31977152.16900003</v>
      </c>
      <c r="AA40" s="175">
        <f t="shared" ref="AA40:AA68" si="17">IF(MONTH(B40)=1,AA39+Z39,AA39)</f>
        <v>54116374.154999614</v>
      </c>
      <c r="AB40" s="376">
        <f t="shared" si="9"/>
        <v>142106526.32399964</v>
      </c>
      <c r="AC40" s="378">
        <f t="shared" si="10"/>
        <v>278794772.32399964</v>
      </c>
      <c r="AD40" s="175">
        <f t="shared" ref="AD40:AD68" si="18">O40-AC40</f>
        <v>0</v>
      </c>
      <c r="AF40" s="175">
        <f t="shared" si="11"/>
        <v>59464702.896125004</v>
      </c>
      <c r="AG40" s="175">
        <f t="shared" si="12"/>
        <v>0</v>
      </c>
      <c r="AH40" s="175">
        <f t="shared" si="13"/>
        <v>0</v>
      </c>
      <c r="AI40" s="175">
        <f t="shared" si="14"/>
        <v>0</v>
      </c>
    </row>
    <row r="41" spans="1:35" x14ac:dyDescent="0.35">
      <c r="A41" s="18">
        <v>33</v>
      </c>
      <c r="B41" s="184">
        <v>43008</v>
      </c>
      <c r="C41" s="331">
        <f t="shared" si="3"/>
        <v>2017</v>
      </c>
      <c r="D41" s="178">
        <f>IF(VLOOKUP($B41,'Ppto-Mes'!$B$8:$AX$68,D$2,0)&gt;0,VLOOKUP($B41,'Ppto-Mes'!$B$8:$AX$68,D$2,0),0)</f>
        <v>37987795.220124647</v>
      </c>
      <c r="E41" s="175">
        <f>IFERROR(VLOOKUP($B41,'Inv Temp'!$B$7:$I$67,E$2,0),0)</f>
        <v>0</v>
      </c>
      <c r="F41" s="175">
        <f>IF($F$1=0,0,IF($F$1=1,IFERROR(HLOOKUP(YEAR($B41),'Ing Proyect'!$B$6:$G$12,6,0),0),IFERROR(HLOOKUP(YEAR($B40),'Ing Proyect'!$B$6:$G$12,6,0),0)+IFERROR(HLOOKUP(YEAR($B41),'Ing Proyect'!$B$6:$G$12,6,0),0)))</f>
        <v>136718000</v>
      </c>
      <c r="G41" s="376">
        <f t="shared" si="4"/>
        <v>174705795.22012466</v>
      </c>
      <c r="H41" s="175">
        <f>IFERROR(VLOOKUP($B41,'Amort Inv Inic'!$B$7:$AN$67,H$1,0),0)+IFERROR(VLOOKUP($B41,'Amort Inv Adic'!$B$7:$BU$67,H$2,0),0)</f>
        <v>71578000</v>
      </c>
      <c r="I41" s="175">
        <f>IFERROR(VLOOKUP($B41,'Amort Inv Inic'!$B$7:$AN$67,I$1,0),0)+IFERROR(VLOOKUP($B41,'Amort Inv Adic'!$B$7:$BU$67,I$2,0),0)</f>
        <v>45498456</v>
      </c>
      <c r="J41" s="175">
        <f t="shared" si="5"/>
        <v>26079544</v>
      </c>
      <c r="K41" s="175">
        <f>IFERROR(VLOOKUP($B41,'Amort Inv Inic'!$B$7:$AN$67,K$1,0),0)+IFERROR(VLOOKUP($B41,'Amort Inv Adic'!$B$7:$BU$67,K$2,0),0)</f>
        <v>69040000</v>
      </c>
      <c r="L41" s="175">
        <f>IFERROR(VLOOKUP($B41,'Amort Inv Inic'!$B$7:$AN$67,L$1,0),0)+IFERROR(VLOOKUP($B41,'Amort Inv Adic'!$B$7:$BU$67,L$2,0),0)</f>
        <v>53124992</v>
      </c>
      <c r="M41" s="175">
        <f t="shared" si="6"/>
        <v>15915008</v>
      </c>
      <c r="N41" s="377">
        <f t="shared" si="7"/>
        <v>41994552</v>
      </c>
      <c r="O41" s="378">
        <f t="shared" si="8"/>
        <v>216700347.22012466</v>
      </c>
      <c r="P41" s="178">
        <f>IF(VLOOKUP($B41,'Ppto-Mes'!$B$8:$AX$68,P$2,0)&lt;0,-VLOOKUP($B41,'Ppto-Mes'!$B$8:$AX$68,P$2,0),0)</f>
        <v>0</v>
      </c>
      <c r="Q41" s="175">
        <f>VLOOKUP($B41,'Financ 1'!$B$15:$P$75,Q$2,0)</f>
        <v>26831250</v>
      </c>
      <c r="R41" s="175">
        <f>VLOOKUP($B41,'Financ 2'!$B$15:$P$75,R$2,0)</f>
        <v>0</v>
      </c>
      <c r="S41" s="175">
        <f>VLOOKUP($B41,'Financ 3'!$B$15:$P$75,S$2,0)</f>
        <v>30000000</v>
      </c>
      <c r="T41" s="178">
        <f>VLOOKUP($B41,'Ppto-Mes'!$B$8:$AX$68,T$2,0)</f>
        <v>6466000</v>
      </c>
      <c r="U41" s="175">
        <f>VLOOKUP($B41,'Gtos Consultores'!$B$9:$AI$69,U$2,0)</f>
        <v>7349440</v>
      </c>
      <c r="V41" s="175">
        <f>IF($V$1=0,0,IF($V$1=1,IFERROR(HLOOKUP(YEAR($B41),'Gastos Proyect'!$B$4:$F$17,14,0),0),IFERROR(HLOOKUP(YEAR($B40),'Gastos Proyect'!$B$4:$F$17,14,0),0)+IFERROR(HLOOKUP(YEAR($B41),'Gastos Proyect'!$B$4:$F$17,14,0),0)))</f>
        <v>0</v>
      </c>
      <c r="W41" s="377">
        <f t="shared" si="16"/>
        <v>70646690</v>
      </c>
      <c r="X41" s="175">
        <f t="shared" si="15"/>
        <v>50000000</v>
      </c>
      <c r="Y41" s="178">
        <f>IF(MONTH($B41)=12,IF(Y40+ROUND(VLOOKUP($B41,'Ppto-Mes'!$B$8:$AX$68,Y$2,0)*10%,-3)&lt;=50%*X40,Y40+ROUND(VLOOKUP($B41,'Ppto-Mes'!$B$8:$AX$68,Y$2,0)*10%,-3),50%*X40),Y40)</f>
        <v>6013000</v>
      </c>
      <c r="Z41" s="178">
        <f>VLOOKUP($B41,'Ppto-Mes'!$B$8:$AX$68,Z$2,0)-(Y41-Y40)</f>
        <v>35924283.065125033</v>
      </c>
      <c r="AA41" s="175">
        <f t="shared" si="17"/>
        <v>54116374.154999614</v>
      </c>
      <c r="AB41" s="376">
        <f t="shared" si="9"/>
        <v>146053657.22012466</v>
      </c>
      <c r="AC41" s="378">
        <f t="shared" si="10"/>
        <v>216700347.22012466</v>
      </c>
      <c r="AD41" s="175">
        <f t="shared" si="18"/>
        <v>0</v>
      </c>
      <c r="AF41" s="175">
        <f t="shared" ref="AF41:AF68" si="19">D41-D40</f>
        <v>-59108853.103874996</v>
      </c>
      <c r="AG41" s="175">
        <f t="shared" ref="AG41:AG68" si="20">(H41-H40)</f>
        <v>0</v>
      </c>
      <c r="AH41" s="175">
        <f t="shared" ref="AH41:AH68" si="21">(K41-K40)</f>
        <v>0</v>
      </c>
      <c r="AI41" s="175">
        <f t="shared" ref="AI41:AI68" si="22">(E41-E40)</f>
        <v>0</v>
      </c>
    </row>
    <row r="42" spans="1:35" x14ac:dyDescent="0.35">
      <c r="A42" s="18">
        <v>34</v>
      </c>
      <c r="B42" s="184">
        <v>43039</v>
      </c>
      <c r="C42" s="331">
        <f t="shared" si="3"/>
        <v>2017</v>
      </c>
      <c r="D42" s="178">
        <f>IF(VLOOKUP($B42,'Ppto-Mes'!$B$8:$AX$68,D$2,0)&gt;0,VLOOKUP($B42,'Ppto-Mes'!$B$8:$AX$68,D$2,0),0)</f>
        <v>97609767.116249651</v>
      </c>
      <c r="E42" s="175">
        <f>IFERROR(VLOOKUP($B42,'Inv Temp'!$B$7:$I$67,E$2,0),0)</f>
        <v>0</v>
      </c>
      <c r="F42" s="175">
        <f>IF($F$1=0,0,IF($F$1=1,IFERROR(HLOOKUP(YEAR($B42),'Ing Proyect'!$B$6:$G$12,6,0),0),IFERROR(HLOOKUP(YEAR($B41),'Ing Proyect'!$B$6:$G$12,6,0),0)+IFERROR(HLOOKUP(YEAR($B42),'Ing Proyect'!$B$6:$G$12,6,0),0)))</f>
        <v>136718000</v>
      </c>
      <c r="G42" s="376">
        <f t="shared" si="4"/>
        <v>234327767.11624965</v>
      </c>
      <c r="H42" s="175">
        <f>IFERROR(VLOOKUP($B42,'Amort Inv Inic'!$B$7:$AN$67,H$1,0),0)+IFERROR(VLOOKUP($B42,'Amort Inv Adic'!$B$7:$BU$67,H$2,0),0)</f>
        <v>71578000</v>
      </c>
      <c r="I42" s="175">
        <f>IFERROR(VLOOKUP($B42,'Amort Inv Inic'!$B$7:$AN$67,I$1,0),0)+IFERROR(VLOOKUP($B42,'Amort Inv Adic'!$B$7:$BU$67,I$2,0),0)</f>
        <v>47222358</v>
      </c>
      <c r="J42" s="175">
        <f t="shared" si="5"/>
        <v>24355642</v>
      </c>
      <c r="K42" s="175">
        <f>IFERROR(VLOOKUP($B42,'Amort Inv Inic'!$B$7:$AN$67,K$1,0),0)+IFERROR(VLOOKUP($B42,'Amort Inv Adic'!$B$7:$BU$67,K$2,0),0)</f>
        <v>69040000</v>
      </c>
      <c r="L42" s="175">
        <f>IFERROR(VLOOKUP($B42,'Amort Inv Inic'!$B$7:$AN$67,L$1,0),0)+IFERROR(VLOOKUP($B42,'Amort Inv Adic'!$B$7:$BU$67,L$2,0),0)</f>
        <v>54386658</v>
      </c>
      <c r="M42" s="175">
        <f t="shared" si="6"/>
        <v>14653342</v>
      </c>
      <c r="N42" s="377">
        <f t="shared" si="7"/>
        <v>39008984</v>
      </c>
      <c r="O42" s="378">
        <f t="shared" si="8"/>
        <v>273336751.11624968</v>
      </c>
      <c r="P42" s="178">
        <f>IF(VLOOKUP($B42,'Ppto-Mes'!$B$8:$AX$68,P$2,0)&lt;0,-VLOOKUP($B42,'Ppto-Mes'!$B$8:$AX$68,P$2,0),0)</f>
        <v>0</v>
      </c>
      <c r="Q42" s="175">
        <f>VLOOKUP($B42,'Financ 1'!$B$15:$P$75,Q$2,0)</f>
        <v>17887500</v>
      </c>
      <c r="R42" s="175">
        <f>VLOOKUP($B42,'Financ 2'!$B$15:$P$75,R$2,0)</f>
        <v>0</v>
      </c>
      <c r="S42" s="175">
        <f>VLOOKUP($B42,'Financ 3'!$B$15:$P$75,S$2,0)</f>
        <v>89000000</v>
      </c>
      <c r="T42" s="178">
        <f>VLOOKUP($B42,'Ppto-Mes'!$B$8:$AX$68,T$2,0)</f>
        <v>7288000</v>
      </c>
      <c r="U42" s="175">
        <f>VLOOKUP($B42,'Gtos Consultores'!$B$9:$AI$69,U$2,0)</f>
        <v>8540634</v>
      </c>
      <c r="V42" s="175">
        <f>IF($V$1=0,0,IF($V$1=1,IFERROR(HLOOKUP(YEAR($B42),'Gastos Proyect'!$B$4:$F$17,14,0),0),IFERROR(HLOOKUP(YEAR($B41),'Gastos Proyect'!$B$4:$F$17,14,0),0)+IFERROR(HLOOKUP(YEAR($B42),'Gastos Proyect'!$B$4:$F$17,14,0),0)))</f>
        <v>0</v>
      </c>
      <c r="W42" s="377">
        <f t="shared" si="16"/>
        <v>122716134</v>
      </c>
      <c r="X42" s="175">
        <f t="shared" si="15"/>
        <v>50000000</v>
      </c>
      <c r="Y42" s="178">
        <f>IF(MONTH($B42)=12,IF(Y41+ROUND(VLOOKUP($B42,'Ppto-Mes'!$B$8:$AX$68,Y$2,0)*10%,-3)&lt;=50%*X41,Y41+ROUND(VLOOKUP($B42,'Ppto-Mes'!$B$8:$AX$68,Y$2,0)*10%,-3),50%*X41),Y41)</f>
        <v>6013000</v>
      </c>
      <c r="Z42" s="178">
        <f>VLOOKUP($B42,'Ppto-Mes'!$B$8:$AX$68,Z$2,0)-(Y42-Y41)</f>
        <v>40491242.961250037</v>
      </c>
      <c r="AA42" s="175">
        <f t="shared" si="17"/>
        <v>54116374.154999614</v>
      </c>
      <c r="AB42" s="376">
        <f t="shared" si="9"/>
        <v>150620617.11624965</v>
      </c>
      <c r="AC42" s="378">
        <f t="shared" si="10"/>
        <v>273336751.11624968</v>
      </c>
      <c r="AD42" s="175">
        <f t="shared" si="18"/>
        <v>0</v>
      </c>
      <c r="AF42" s="175">
        <f t="shared" si="19"/>
        <v>59621971.896125004</v>
      </c>
      <c r="AG42" s="175">
        <f t="shared" si="20"/>
        <v>0</v>
      </c>
      <c r="AH42" s="175">
        <f t="shared" si="21"/>
        <v>0</v>
      </c>
      <c r="AI42" s="175">
        <f t="shared" si="22"/>
        <v>0</v>
      </c>
    </row>
    <row r="43" spans="1:35" x14ac:dyDescent="0.35">
      <c r="A43" s="18">
        <v>35</v>
      </c>
      <c r="B43" s="184">
        <v>43069</v>
      </c>
      <c r="C43" s="331">
        <f t="shared" si="3"/>
        <v>2017</v>
      </c>
      <c r="D43" s="178">
        <f>IF(VLOOKUP($B43,'Ppto-Mes'!$B$8:$AX$68,D$2,0)&gt;0,VLOOKUP($B43,'Ppto-Mes'!$B$8:$AX$68,D$2,0),0)</f>
        <v>40668492.012374654</v>
      </c>
      <c r="E43" s="175">
        <f>IFERROR(VLOOKUP($B43,'Inv Temp'!$B$7:$I$67,E$2,0),0)</f>
        <v>0</v>
      </c>
      <c r="F43" s="175">
        <f>IF($F$1=0,0,IF($F$1=1,IFERROR(HLOOKUP(YEAR($B43),'Ing Proyect'!$B$6:$G$12,6,0),0),IFERROR(HLOOKUP(YEAR($B42),'Ing Proyect'!$B$6:$G$12,6,0),0)+IFERROR(HLOOKUP(YEAR($B43),'Ing Proyect'!$B$6:$G$12,6,0),0)))</f>
        <v>136718000</v>
      </c>
      <c r="G43" s="376">
        <f t="shared" si="4"/>
        <v>177386492.01237464</v>
      </c>
      <c r="H43" s="175">
        <f>IFERROR(VLOOKUP($B43,'Amort Inv Inic'!$B$7:$AN$67,H$1,0),0)+IFERROR(VLOOKUP($B43,'Amort Inv Adic'!$B$7:$BU$67,H$2,0),0)</f>
        <v>71578000</v>
      </c>
      <c r="I43" s="175">
        <f>IFERROR(VLOOKUP($B43,'Amort Inv Inic'!$B$7:$AN$67,I$1,0),0)+IFERROR(VLOOKUP($B43,'Amort Inv Adic'!$B$7:$BU$67,I$2,0),0)</f>
        <v>48946262</v>
      </c>
      <c r="J43" s="175">
        <f t="shared" si="5"/>
        <v>22631738</v>
      </c>
      <c r="K43" s="175">
        <f>IFERROR(VLOOKUP($B43,'Amort Inv Inic'!$B$7:$AN$67,K$1,0),0)+IFERROR(VLOOKUP($B43,'Amort Inv Adic'!$B$7:$BU$67,K$2,0),0)</f>
        <v>69040000</v>
      </c>
      <c r="L43" s="175">
        <f>IFERROR(VLOOKUP($B43,'Amort Inv Inic'!$B$7:$AN$67,L$1,0),0)+IFERROR(VLOOKUP($B43,'Amort Inv Adic'!$B$7:$BU$67,L$2,0),0)</f>
        <v>55648326</v>
      </c>
      <c r="M43" s="175">
        <f t="shared" si="6"/>
        <v>13391674</v>
      </c>
      <c r="N43" s="377">
        <f t="shared" si="7"/>
        <v>36023412</v>
      </c>
      <c r="O43" s="378">
        <f t="shared" si="8"/>
        <v>213409904.01237464</v>
      </c>
      <c r="P43" s="178">
        <f>IF(VLOOKUP($B43,'Ppto-Mes'!$B$8:$AX$68,P$2,0)&lt;0,-VLOOKUP($B43,'Ppto-Mes'!$B$8:$AX$68,P$2,0),0)</f>
        <v>0</v>
      </c>
      <c r="Q43" s="175">
        <f>VLOOKUP($B43,'Financ 1'!$B$15:$P$75,Q$2,0)</f>
        <v>8943750</v>
      </c>
      <c r="R43" s="175">
        <f>VLOOKUP($B43,'Financ 2'!$B$15:$P$75,R$2,0)</f>
        <v>0</v>
      </c>
      <c r="S43" s="175">
        <f>VLOOKUP($B43,'Financ 3'!$B$15:$P$75,S$2,0)</f>
        <v>32000000</v>
      </c>
      <c r="T43" s="178">
        <f>VLOOKUP($B43,'Ppto-Mes'!$B$8:$AX$68,T$2,0)</f>
        <v>8023000</v>
      </c>
      <c r="U43" s="175">
        <f>VLOOKUP($B43,'Gtos Consultores'!$B$9:$AI$69,U$2,0)</f>
        <v>9731828</v>
      </c>
      <c r="V43" s="175">
        <f>IF($V$1=0,0,IF($V$1=1,IFERROR(HLOOKUP(YEAR($B43),'Gastos Proyect'!$B$4:$F$17,14,0),0),IFERROR(HLOOKUP(YEAR($B42),'Gastos Proyect'!$B$4:$F$17,14,0),0)+IFERROR(HLOOKUP(YEAR($B43),'Gastos Proyect'!$B$4:$F$17,14,0),0)))</f>
        <v>0</v>
      </c>
      <c r="W43" s="377">
        <f t="shared" si="16"/>
        <v>58698578</v>
      </c>
      <c r="X43" s="175">
        <f t="shared" si="15"/>
        <v>50000000</v>
      </c>
      <c r="Y43" s="178">
        <f>IF(MONTH($B43)=12,IF(Y42+ROUND(VLOOKUP($B43,'Ppto-Mes'!$B$8:$AX$68,Y$2,0)*10%,-3)&lt;=50%*X42,Y42+ROUND(VLOOKUP($B43,'Ppto-Mes'!$B$8:$AX$68,Y$2,0)*10%,-3),50%*X42),Y42)</f>
        <v>6013000</v>
      </c>
      <c r="Z43" s="178">
        <f>VLOOKUP($B43,'Ppto-Mes'!$B$8:$AX$68,Z$2,0)-(Y43-Y42)</f>
        <v>44581951.857375041</v>
      </c>
      <c r="AA43" s="175">
        <f t="shared" si="17"/>
        <v>54116374.154999614</v>
      </c>
      <c r="AB43" s="376">
        <f t="shared" si="9"/>
        <v>154711326.01237464</v>
      </c>
      <c r="AC43" s="378">
        <f t="shared" si="10"/>
        <v>213409904.01237464</v>
      </c>
      <c r="AD43" s="175">
        <f t="shared" si="18"/>
        <v>0</v>
      </c>
      <c r="AF43" s="175">
        <f t="shared" si="19"/>
        <v>-56941275.103874996</v>
      </c>
      <c r="AG43" s="175">
        <f t="shared" si="20"/>
        <v>0</v>
      </c>
      <c r="AH43" s="175">
        <f t="shared" si="21"/>
        <v>0</v>
      </c>
      <c r="AI43" s="175">
        <f t="shared" si="22"/>
        <v>0</v>
      </c>
    </row>
    <row r="44" spans="1:35" x14ac:dyDescent="0.35">
      <c r="A44" s="18">
        <v>36</v>
      </c>
      <c r="B44" s="184">
        <v>43100</v>
      </c>
      <c r="C44" s="331">
        <f t="shared" si="3"/>
        <v>2017</v>
      </c>
      <c r="D44" s="178">
        <f>IF(VLOOKUP($B44,'Ppto-Mes'!$B$8:$AX$68,D$2,0)&gt;0,VLOOKUP($B44,'Ppto-Mes'!$B$8:$AX$68,D$2,0),0)</f>
        <v>121046666.90849966</v>
      </c>
      <c r="E44" s="175">
        <f>IFERROR(VLOOKUP($B44,'Inv Temp'!$B$7:$I$67,E$2,0),0)</f>
        <v>0</v>
      </c>
      <c r="F44" s="175">
        <f>IF($F$1=0,0,IF($F$1=1,IFERROR(HLOOKUP(YEAR($B44),'Ing Proyect'!$B$6:$G$12,6,0),0),IFERROR(HLOOKUP(YEAR($B43),'Ing Proyect'!$B$6:$G$12,6,0),0)+IFERROR(HLOOKUP(YEAR($B44),'Ing Proyect'!$B$6:$G$12,6,0),0)))</f>
        <v>136718000</v>
      </c>
      <c r="G44" s="376">
        <f t="shared" si="4"/>
        <v>257764666.90849966</v>
      </c>
      <c r="H44" s="175">
        <f>IFERROR(VLOOKUP($B44,'Amort Inv Inic'!$B$7:$AN$67,H$1,0),0)+IFERROR(VLOOKUP($B44,'Amort Inv Adic'!$B$7:$BU$67,H$2,0),0)</f>
        <v>71578000</v>
      </c>
      <c r="I44" s="175">
        <f>IFERROR(VLOOKUP($B44,'Amort Inv Inic'!$B$7:$AN$67,I$1,0),0)+IFERROR(VLOOKUP($B44,'Amort Inv Adic'!$B$7:$BU$67,I$2,0),0)</f>
        <v>50670164</v>
      </c>
      <c r="J44" s="175">
        <f t="shared" si="5"/>
        <v>20907836</v>
      </c>
      <c r="K44" s="175">
        <f>IFERROR(VLOOKUP($B44,'Amort Inv Inic'!$B$7:$AN$67,K$1,0),0)+IFERROR(VLOOKUP($B44,'Amort Inv Adic'!$B$7:$BU$67,K$2,0),0)</f>
        <v>73033000</v>
      </c>
      <c r="L44" s="175">
        <f>IFERROR(VLOOKUP($B44,'Amort Inv Inic'!$B$7:$AN$67,L$1,0),0)+IFERROR(VLOOKUP($B44,'Amort Inv Adic'!$B$7:$BU$67,L$2,0),0)</f>
        <v>56909992</v>
      </c>
      <c r="M44" s="175">
        <f t="shared" si="6"/>
        <v>16123008</v>
      </c>
      <c r="N44" s="377">
        <f t="shared" si="7"/>
        <v>37030844</v>
      </c>
      <c r="O44" s="378">
        <f t="shared" si="8"/>
        <v>294795510.90849966</v>
      </c>
      <c r="P44" s="178">
        <f>IF(VLOOKUP($B44,'Ppto-Mes'!$B$8:$AX$68,P$2,0)&lt;0,-VLOOKUP($B44,'Ppto-Mes'!$B$8:$AX$68,P$2,0),0)</f>
        <v>0</v>
      </c>
      <c r="Q44" s="175">
        <f>VLOOKUP($B44,'Financ 1'!$B$15:$P$75,Q$2,0)</f>
        <v>0</v>
      </c>
      <c r="R44" s="175">
        <f>VLOOKUP($B44,'Financ 2'!$B$15:$P$75,R$2,0)</f>
        <v>0</v>
      </c>
      <c r="S44" s="175">
        <f>VLOOKUP($B44,'Financ 3'!$B$15:$P$75,S$2,0)</f>
        <v>119000000</v>
      </c>
      <c r="T44" s="178">
        <f>VLOOKUP($B44,'Ppto-Mes'!$B$8:$AX$68,T$2,0)</f>
        <v>8864000</v>
      </c>
      <c r="U44" s="175">
        <f>VLOOKUP($B44,'Gtos Consultores'!$B$9:$AI$69,U$2,0)</f>
        <v>7551717</v>
      </c>
      <c r="V44" s="175">
        <f>IF($V$1=0,0,IF($V$1=1,IFERROR(HLOOKUP(YEAR($B44),'Gastos Proyect'!$B$4:$F$17,14,0),0),IFERROR(HLOOKUP(YEAR($B43),'Gastos Proyect'!$B$4:$F$17,14,0),0)+IFERROR(HLOOKUP(YEAR($B44),'Gastos Proyect'!$B$4:$F$17,14,0),0)))</f>
        <v>0</v>
      </c>
      <c r="W44" s="377">
        <f t="shared" si="16"/>
        <v>135415717</v>
      </c>
      <c r="X44" s="175">
        <f t="shared" si="15"/>
        <v>50000000</v>
      </c>
      <c r="Y44" s="178">
        <f>IF(MONTH($B44)=12,IF(Y43+ROUND(VLOOKUP($B44,'Ppto-Mes'!$B$8:$AX$68,Y$2,0)*10%,-3)&lt;=50%*X43,Y43+ROUND(VLOOKUP($B44,'Ppto-Mes'!$B$8:$AX$68,Y$2,0)*10%,-3),50%*X43),Y43)</f>
        <v>10938000</v>
      </c>
      <c r="Z44" s="178">
        <f>VLOOKUP($B44,'Ppto-Mes'!$B$8:$AX$68,Z$2,0)-(Y44-Y43)</f>
        <v>44325419.753500044</v>
      </c>
      <c r="AA44" s="175">
        <f t="shared" si="17"/>
        <v>54116374.154999614</v>
      </c>
      <c r="AB44" s="376">
        <f t="shared" si="9"/>
        <v>159379793.90849966</v>
      </c>
      <c r="AC44" s="378">
        <f t="shared" si="10"/>
        <v>294795510.90849966</v>
      </c>
      <c r="AD44" s="175">
        <f t="shared" si="18"/>
        <v>0</v>
      </c>
      <c r="AF44" s="175">
        <f t="shared" si="19"/>
        <v>80378174.896125004</v>
      </c>
      <c r="AG44" s="175">
        <f t="shared" si="20"/>
        <v>0</v>
      </c>
      <c r="AH44" s="175">
        <f t="shared" si="21"/>
        <v>3993000</v>
      </c>
      <c r="AI44" s="175">
        <f t="shared" si="22"/>
        <v>0</v>
      </c>
    </row>
    <row r="45" spans="1:35" x14ac:dyDescent="0.35">
      <c r="A45" s="18">
        <v>37</v>
      </c>
      <c r="B45" s="184">
        <v>43131</v>
      </c>
      <c r="C45" s="331">
        <f t="shared" si="3"/>
        <v>2018</v>
      </c>
      <c r="D45" s="178">
        <f>IF(VLOOKUP($B45,'Ppto-Mes'!$B$8:$AX$68,D$2,0)&gt;0,VLOOKUP($B45,'Ppto-Mes'!$B$8:$AX$68,D$2,0),0)</f>
        <v>25871164.421299636</v>
      </c>
      <c r="E45" s="175">
        <f>IFERROR(VLOOKUP($B45,'Inv Temp'!$B$7:$I$67,E$2,0),0)</f>
        <v>0</v>
      </c>
      <c r="F45" s="175">
        <f>IF($F$1=0,0,IF($F$1=1,IFERROR(HLOOKUP(YEAR($B45),'Ing Proyect'!$B$6:$G$12,6,0),0),IFERROR(HLOOKUP(YEAR($B44),'Ing Proyect'!$B$6:$G$12,6,0),0)+IFERROR(HLOOKUP(YEAR($B45),'Ing Proyect'!$B$6:$G$12,6,0),0)))</f>
        <v>156674000</v>
      </c>
      <c r="G45" s="376">
        <f t="shared" si="4"/>
        <v>182545164.42129964</v>
      </c>
      <c r="H45" s="175">
        <f>IFERROR(VLOOKUP($B45,'Amort Inv Inic'!$B$7:$AN$67,H$1,0),0)+IFERROR(VLOOKUP($B45,'Amort Inv Adic'!$B$7:$BU$67,H$2,0),0)</f>
        <v>71578000</v>
      </c>
      <c r="I45" s="175">
        <f>IFERROR(VLOOKUP($B45,'Amort Inv Inic'!$B$7:$AN$67,I$1,0),0)+IFERROR(VLOOKUP($B45,'Amort Inv Adic'!$B$7:$BU$67,I$2,0),0)</f>
        <v>52026011</v>
      </c>
      <c r="J45" s="175">
        <f t="shared" si="5"/>
        <v>19551989</v>
      </c>
      <c r="K45" s="175">
        <f>IFERROR(VLOOKUP($B45,'Amort Inv Inic'!$B$7:$AN$67,K$1,0),0)+IFERROR(VLOOKUP($B45,'Amort Inv Adic'!$B$7:$BU$67,K$2,0),0)</f>
        <v>73033000</v>
      </c>
      <c r="L45" s="175">
        <f>IFERROR(VLOOKUP($B45,'Amort Inv Inic'!$B$7:$AN$67,L$1,0),0)+IFERROR(VLOOKUP($B45,'Amort Inv Adic'!$B$7:$BU$67,L$2,0),0)</f>
        <v>58201910</v>
      </c>
      <c r="M45" s="175">
        <f t="shared" si="6"/>
        <v>14831090</v>
      </c>
      <c r="N45" s="377">
        <f t="shared" si="7"/>
        <v>34383079</v>
      </c>
      <c r="O45" s="378">
        <f t="shared" si="8"/>
        <v>216928243.42129964</v>
      </c>
      <c r="P45" s="178">
        <f>IF(VLOOKUP($B45,'Ppto-Mes'!$B$8:$AX$68,P$2,0)&lt;0,-VLOOKUP($B45,'Ppto-Mes'!$B$8:$AX$68,P$2,0),0)</f>
        <v>0</v>
      </c>
      <c r="Q45" s="175">
        <f>VLOOKUP($B45,'Financ 1'!$B$15:$P$75,Q$2,0)</f>
        <v>0</v>
      </c>
      <c r="R45" s="175">
        <f>VLOOKUP($B45,'Financ 2'!$B$15:$P$75,R$2,0)</f>
        <v>0</v>
      </c>
      <c r="S45" s="175">
        <f>VLOOKUP($B45,'Financ 3'!$B$15:$P$75,S$2,0)</f>
        <v>41000000</v>
      </c>
      <c r="T45" s="178">
        <f>VLOOKUP($B45,'Ppto-Mes'!$B$8:$AX$68,T$2,0)</f>
        <v>10236000</v>
      </c>
      <c r="U45" s="175">
        <f>VLOOKUP($B45,'Gtos Consultores'!$B$9:$AI$69,U$2,0)</f>
        <v>1306788</v>
      </c>
      <c r="V45" s="175">
        <f>IF($V$1=0,0,IF($V$1=1,IFERROR(HLOOKUP(YEAR($B45),'Gastos Proyect'!$B$4:$F$17,14,0),0),IFERROR(HLOOKUP(YEAR($B44),'Gastos Proyect'!$B$4:$F$17,14,0),0)+IFERROR(HLOOKUP(YEAR($B45),'Gastos Proyect'!$B$4:$F$17,14,0),0)))</f>
        <v>0</v>
      </c>
      <c r="W45" s="377">
        <f t="shared" si="16"/>
        <v>52542788</v>
      </c>
      <c r="X45" s="175">
        <f t="shared" si="15"/>
        <v>50000000</v>
      </c>
      <c r="Y45" s="178">
        <f>IF(MONTH($B45)=12,IF(Y44+ROUND(VLOOKUP($B45,'Ppto-Mes'!$B$8:$AX$68,Y$2,0)*10%,-3)&lt;=50%*X44,Y44+ROUND(VLOOKUP($B45,'Ppto-Mes'!$B$8:$AX$68,Y$2,0)*10%,-3),50%*X44),Y44)</f>
        <v>10938000</v>
      </c>
      <c r="Z45" s="178">
        <f>VLOOKUP($B45,'Ppto-Mes'!$B$8:$AX$68,Z$2,0)-(Y45-Y44)</f>
        <v>5005661.5127999783</v>
      </c>
      <c r="AA45" s="175">
        <f t="shared" si="17"/>
        <v>98441793.908499658</v>
      </c>
      <c r="AB45" s="376">
        <f t="shared" si="9"/>
        <v>164385455.42129964</v>
      </c>
      <c r="AC45" s="378">
        <f t="shared" si="10"/>
        <v>216928243.42129964</v>
      </c>
      <c r="AD45" s="175">
        <f t="shared" si="18"/>
        <v>0</v>
      </c>
      <c r="AF45" s="175">
        <f t="shared" si="19"/>
        <v>-95175502.487200022</v>
      </c>
      <c r="AG45" s="175">
        <f t="shared" si="20"/>
        <v>0</v>
      </c>
      <c r="AH45" s="175">
        <f t="shared" si="21"/>
        <v>0</v>
      </c>
      <c r="AI45" s="175">
        <f t="shared" si="22"/>
        <v>0</v>
      </c>
    </row>
    <row r="46" spans="1:35" x14ac:dyDescent="0.35">
      <c r="A46" s="18">
        <v>38</v>
      </c>
      <c r="B46" s="184">
        <v>43159</v>
      </c>
      <c r="C46" s="331">
        <f t="shared" si="3"/>
        <v>2018</v>
      </c>
      <c r="D46" s="178">
        <f>IF(VLOOKUP($B46,'Ppto-Mes'!$B$8:$AX$68,D$2,0)&gt;0,VLOOKUP($B46,'Ppto-Mes'!$B$8:$AX$68,D$2,0),0)</f>
        <v>105057919.93409961</v>
      </c>
      <c r="E46" s="175">
        <f>IFERROR(VLOOKUP($B46,'Inv Temp'!$B$7:$I$67,E$2,0),0)</f>
        <v>0</v>
      </c>
      <c r="F46" s="175">
        <f>IF($F$1=0,0,IF($F$1=1,IFERROR(HLOOKUP(YEAR($B46),'Ing Proyect'!$B$6:$G$12,6,0),0),IFERROR(HLOOKUP(YEAR($B45),'Ing Proyect'!$B$6:$G$12,6,0),0)+IFERROR(HLOOKUP(YEAR($B46),'Ing Proyect'!$B$6:$G$12,6,0),0)))</f>
        <v>156674000</v>
      </c>
      <c r="G46" s="376">
        <f t="shared" si="4"/>
        <v>261731919.93409961</v>
      </c>
      <c r="H46" s="175">
        <f>IFERROR(VLOOKUP($B46,'Amort Inv Inic'!$B$7:$AN$67,H$1,0),0)+IFERROR(VLOOKUP($B46,'Amort Inv Adic'!$B$7:$BU$67,H$2,0),0)</f>
        <v>71578000</v>
      </c>
      <c r="I46" s="175">
        <f>IFERROR(VLOOKUP($B46,'Amort Inv Inic'!$B$7:$AN$67,I$1,0),0)+IFERROR(VLOOKUP($B46,'Amort Inv Adic'!$B$7:$BU$67,I$2,0),0)</f>
        <v>53381858</v>
      </c>
      <c r="J46" s="175">
        <f t="shared" si="5"/>
        <v>18196142</v>
      </c>
      <c r="K46" s="175">
        <f>IFERROR(VLOOKUP($B46,'Amort Inv Inic'!$B$7:$AN$67,K$1,0),0)+IFERROR(VLOOKUP($B46,'Amort Inv Adic'!$B$7:$BU$67,K$2,0),0)</f>
        <v>73033000</v>
      </c>
      <c r="L46" s="175">
        <f>IFERROR(VLOOKUP($B46,'Amort Inv Inic'!$B$7:$AN$67,L$1,0),0)+IFERROR(VLOOKUP($B46,'Amort Inv Adic'!$B$7:$BU$67,L$2,0),0)</f>
        <v>59493826</v>
      </c>
      <c r="M46" s="175">
        <f t="shared" si="6"/>
        <v>13539174</v>
      </c>
      <c r="N46" s="377">
        <f t="shared" si="7"/>
        <v>31735316</v>
      </c>
      <c r="O46" s="378">
        <f t="shared" si="8"/>
        <v>293467235.93409961</v>
      </c>
      <c r="P46" s="178">
        <f>IF(VLOOKUP($B46,'Ppto-Mes'!$B$8:$AX$68,P$2,0)&lt;0,-VLOOKUP($B46,'Ppto-Mes'!$B$8:$AX$68,P$2,0),0)</f>
        <v>0</v>
      </c>
      <c r="Q46" s="175">
        <f>VLOOKUP($B46,'Financ 1'!$B$15:$P$75,Q$2,0)</f>
        <v>0</v>
      </c>
      <c r="R46" s="175">
        <f>VLOOKUP($B46,'Financ 2'!$B$15:$P$75,R$2,0)</f>
        <v>0</v>
      </c>
      <c r="S46" s="175">
        <f>VLOOKUP($B46,'Financ 3'!$B$15:$P$75,S$2,0)</f>
        <v>109000000</v>
      </c>
      <c r="T46" s="178">
        <f>VLOOKUP($B46,'Ppto-Mes'!$B$8:$AX$68,T$2,0)</f>
        <v>11791000</v>
      </c>
      <c r="U46" s="175">
        <f>VLOOKUP($B46,'Gtos Consultores'!$B$9:$AI$69,U$2,0)</f>
        <v>2613581</v>
      </c>
      <c r="V46" s="175">
        <f>IF($V$1=0,0,IF($V$1=1,IFERROR(HLOOKUP(YEAR($B46),'Gastos Proyect'!$B$4:$F$17,14,0),0),IFERROR(HLOOKUP(YEAR($B45),'Gastos Proyect'!$B$4:$F$17,14,0),0)+IFERROR(HLOOKUP(YEAR($B46),'Gastos Proyect'!$B$4:$F$17,14,0),0)))</f>
        <v>0</v>
      </c>
      <c r="W46" s="377">
        <f t="shared" si="16"/>
        <v>123404581</v>
      </c>
      <c r="X46" s="175">
        <f t="shared" si="15"/>
        <v>50000000</v>
      </c>
      <c r="Y46" s="178">
        <f>IF(MONTH($B46)=12,IF(Y45+ROUND(VLOOKUP($B46,'Ppto-Mes'!$B$8:$AX$68,Y$2,0)*10%,-3)&lt;=50%*X45,Y45+ROUND(VLOOKUP($B46,'Ppto-Mes'!$B$8:$AX$68,Y$2,0)*10%,-3),50%*X45),Y45)</f>
        <v>10938000</v>
      </c>
      <c r="Z46" s="178">
        <f>VLOOKUP($B46,'Ppto-Mes'!$B$8:$AX$68,Z$2,0)-(Y46-Y45)</f>
        <v>10682861.025599957</v>
      </c>
      <c r="AA46" s="175">
        <f t="shared" si="17"/>
        <v>98441793.908499658</v>
      </c>
      <c r="AB46" s="376">
        <f t="shared" si="9"/>
        <v>170062654.93409961</v>
      </c>
      <c r="AC46" s="378">
        <f t="shared" si="10"/>
        <v>293467235.93409961</v>
      </c>
      <c r="AD46" s="175">
        <f t="shared" si="18"/>
        <v>0</v>
      </c>
      <c r="AF46" s="175">
        <f t="shared" si="19"/>
        <v>79186755.512799978</v>
      </c>
      <c r="AG46" s="175">
        <f t="shared" si="20"/>
        <v>0</v>
      </c>
      <c r="AH46" s="175">
        <f t="shared" si="21"/>
        <v>0</v>
      </c>
      <c r="AI46" s="175">
        <f t="shared" si="22"/>
        <v>0</v>
      </c>
    </row>
    <row r="47" spans="1:35" x14ac:dyDescent="0.35">
      <c r="A47" s="18">
        <v>39</v>
      </c>
      <c r="B47" s="184">
        <v>43190</v>
      </c>
      <c r="C47" s="331">
        <f t="shared" si="3"/>
        <v>2018</v>
      </c>
      <c r="D47" s="178">
        <f>IF(VLOOKUP($B47,'Ppto-Mes'!$B$8:$AX$68,D$2,0)&gt;0,VLOOKUP($B47,'Ppto-Mes'!$B$8:$AX$68,D$2,0),0)</f>
        <v>36499695.446899593</v>
      </c>
      <c r="E47" s="175">
        <f>IFERROR(VLOOKUP($B47,'Inv Temp'!$B$7:$I$67,E$2,0),0)</f>
        <v>0</v>
      </c>
      <c r="F47" s="175">
        <f>IF($F$1=0,0,IF($F$1=1,IFERROR(HLOOKUP(YEAR($B47),'Ing Proyect'!$B$6:$G$12,6,0),0),IFERROR(HLOOKUP(YEAR($B46),'Ing Proyect'!$B$6:$G$12,6,0),0)+IFERROR(HLOOKUP(YEAR($B47),'Ing Proyect'!$B$6:$G$12,6,0),0)))</f>
        <v>156674000</v>
      </c>
      <c r="G47" s="376">
        <f t="shared" si="4"/>
        <v>193173695.44689959</v>
      </c>
      <c r="H47" s="175">
        <f>IFERROR(VLOOKUP($B47,'Amort Inv Inic'!$B$7:$AN$67,H$1,0),0)+IFERROR(VLOOKUP($B47,'Amort Inv Adic'!$B$7:$BU$67,H$2,0),0)</f>
        <v>71578000</v>
      </c>
      <c r="I47" s="175">
        <f>IFERROR(VLOOKUP($B47,'Amort Inv Inic'!$B$7:$AN$67,I$1,0),0)+IFERROR(VLOOKUP($B47,'Amort Inv Adic'!$B$7:$BU$67,I$2,0),0)</f>
        <v>54737705</v>
      </c>
      <c r="J47" s="175">
        <f t="shared" si="5"/>
        <v>16840295</v>
      </c>
      <c r="K47" s="175">
        <f>IFERROR(VLOOKUP($B47,'Amort Inv Inic'!$B$7:$AN$67,K$1,0),0)+IFERROR(VLOOKUP($B47,'Amort Inv Adic'!$B$7:$BU$67,K$2,0),0)</f>
        <v>73033000</v>
      </c>
      <c r="L47" s="175">
        <f>IFERROR(VLOOKUP($B47,'Amort Inv Inic'!$B$7:$AN$67,L$1,0),0)+IFERROR(VLOOKUP($B47,'Amort Inv Adic'!$B$7:$BU$67,L$2,0),0)</f>
        <v>60785744</v>
      </c>
      <c r="M47" s="175">
        <f t="shared" si="6"/>
        <v>12247256</v>
      </c>
      <c r="N47" s="377">
        <f t="shared" si="7"/>
        <v>29087551</v>
      </c>
      <c r="O47" s="378">
        <f t="shared" si="8"/>
        <v>222261246.44689959</v>
      </c>
      <c r="P47" s="178">
        <f>IF(VLOOKUP($B47,'Ppto-Mes'!$B$8:$AX$68,P$2,0)&lt;0,-VLOOKUP($B47,'Ppto-Mes'!$B$8:$AX$68,P$2,0),0)</f>
        <v>0</v>
      </c>
      <c r="Q47" s="175">
        <f>VLOOKUP($B47,'Financ 1'!$B$15:$P$75,Q$2,0)</f>
        <v>0</v>
      </c>
      <c r="R47" s="175">
        <f>VLOOKUP($B47,'Financ 2'!$B$15:$P$75,R$2,0)</f>
        <v>0</v>
      </c>
      <c r="S47" s="175">
        <f>VLOOKUP($B47,'Financ 3'!$B$15:$P$75,S$2,0)</f>
        <v>30000000</v>
      </c>
      <c r="T47" s="178">
        <f>VLOOKUP($B47,'Ppto-Mes'!$B$8:$AX$68,T$2,0)</f>
        <v>13186000</v>
      </c>
      <c r="U47" s="175">
        <f>VLOOKUP($B47,'Gtos Consultores'!$B$9:$AI$69,U$2,0)</f>
        <v>3920374</v>
      </c>
      <c r="V47" s="175">
        <f>IF($V$1=0,0,IF($V$1=1,IFERROR(HLOOKUP(YEAR($B47),'Gastos Proyect'!$B$4:$F$17,14,0),0),IFERROR(HLOOKUP(YEAR($B46),'Gastos Proyect'!$B$4:$F$17,14,0),0)+IFERROR(HLOOKUP(YEAR($B47),'Gastos Proyect'!$B$4:$F$17,14,0),0)))</f>
        <v>0</v>
      </c>
      <c r="W47" s="377">
        <f t="shared" si="16"/>
        <v>47106374</v>
      </c>
      <c r="X47" s="175">
        <f t="shared" si="15"/>
        <v>50000000</v>
      </c>
      <c r="Y47" s="178">
        <f>IF(MONTH($B47)=12,IF(Y46+ROUND(VLOOKUP($B47,'Ppto-Mes'!$B$8:$AX$68,Y$2,0)*10%,-3)&lt;=50%*X46,Y46+ROUND(VLOOKUP($B47,'Ppto-Mes'!$B$8:$AX$68,Y$2,0)*10%,-3),50%*X46),Y46)</f>
        <v>10938000</v>
      </c>
      <c r="Z47" s="178">
        <f>VLOOKUP($B47,'Ppto-Mes'!$B$8:$AX$68,Z$2,0)-(Y47-Y46)</f>
        <v>15775078.538399935</v>
      </c>
      <c r="AA47" s="175">
        <f t="shared" si="17"/>
        <v>98441793.908499658</v>
      </c>
      <c r="AB47" s="376">
        <f t="shared" si="9"/>
        <v>175154872.44689959</v>
      </c>
      <c r="AC47" s="378">
        <f t="shared" si="10"/>
        <v>222261246.44689959</v>
      </c>
      <c r="AD47" s="175">
        <f t="shared" si="18"/>
        <v>0</v>
      </c>
      <c r="AF47" s="175">
        <f t="shared" si="19"/>
        <v>-68558224.487200022</v>
      </c>
      <c r="AG47" s="175">
        <f t="shared" si="20"/>
        <v>0</v>
      </c>
      <c r="AH47" s="175">
        <f t="shared" si="21"/>
        <v>0</v>
      </c>
      <c r="AI47" s="175">
        <f t="shared" si="22"/>
        <v>0</v>
      </c>
    </row>
    <row r="48" spans="1:35" x14ac:dyDescent="0.35">
      <c r="A48" s="18">
        <v>40</v>
      </c>
      <c r="B48" s="184">
        <v>43220</v>
      </c>
      <c r="C48" s="331">
        <f t="shared" si="3"/>
        <v>2018</v>
      </c>
      <c r="D48" s="178">
        <f>IF(VLOOKUP($B48,'Ppto-Mes'!$B$8:$AX$68,D$2,0)&gt;0,VLOOKUP($B48,'Ppto-Mes'!$B$8:$AX$68,D$2,0),0)</f>
        <v>116381129.95969957</v>
      </c>
      <c r="E48" s="175">
        <f>IFERROR(VLOOKUP($B48,'Inv Temp'!$B$7:$I$67,E$2,0),0)</f>
        <v>0</v>
      </c>
      <c r="F48" s="175">
        <f>IF($F$1=0,0,IF($F$1=1,IFERROR(HLOOKUP(YEAR($B48),'Ing Proyect'!$B$6:$G$12,6,0),0),IFERROR(HLOOKUP(YEAR($B47),'Ing Proyect'!$B$6:$G$12,6,0),0)+IFERROR(HLOOKUP(YEAR($B48),'Ing Proyect'!$B$6:$G$12,6,0),0)))</f>
        <v>156674000</v>
      </c>
      <c r="G48" s="376">
        <f t="shared" si="4"/>
        <v>273055129.95969957</v>
      </c>
      <c r="H48" s="175">
        <f>IFERROR(VLOOKUP($B48,'Amort Inv Inic'!$B$7:$AN$67,H$1,0),0)+IFERROR(VLOOKUP($B48,'Amort Inv Adic'!$B$7:$BU$67,H$2,0),0)</f>
        <v>71578000</v>
      </c>
      <c r="I48" s="175">
        <f>IFERROR(VLOOKUP($B48,'Amort Inv Inic'!$B$7:$AN$67,I$1,0),0)+IFERROR(VLOOKUP($B48,'Amort Inv Adic'!$B$7:$BU$67,I$2,0),0)</f>
        <v>56093552</v>
      </c>
      <c r="J48" s="175">
        <f t="shared" si="5"/>
        <v>15484448</v>
      </c>
      <c r="K48" s="175">
        <f>IFERROR(VLOOKUP($B48,'Amort Inv Inic'!$B$7:$AN$67,K$1,0),0)+IFERROR(VLOOKUP($B48,'Amort Inv Adic'!$B$7:$BU$67,K$2,0),0)</f>
        <v>73033000</v>
      </c>
      <c r="L48" s="175">
        <f>IFERROR(VLOOKUP($B48,'Amort Inv Inic'!$B$7:$AN$67,L$1,0),0)+IFERROR(VLOOKUP($B48,'Amort Inv Adic'!$B$7:$BU$67,L$2,0),0)</f>
        <v>62077660</v>
      </c>
      <c r="M48" s="175">
        <f t="shared" si="6"/>
        <v>10955340</v>
      </c>
      <c r="N48" s="377">
        <f t="shared" si="7"/>
        <v>26439788</v>
      </c>
      <c r="O48" s="378">
        <f t="shared" si="8"/>
        <v>299494917.95969957</v>
      </c>
      <c r="P48" s="178">
        <f>IF(VLOOKUP($B48,'Ppto-Mes'!$B$8:$AX$68,P$2,0)&lt;0,-VLOOKUP($B48,'Ppto-Mes'!$B$8:$AX$68,P$2,0),0)</f>
        <v>0</v>
      </c>
      <c r="Q48" s="175">
        <f>VLOOKUP($B48,'Financ 1'!$B$15:$P$75,Q$2,0)</f>
        <v>0</v>
      </c>
      <c r="R48" s="175">
        <f>VLOOKUP($B48,'Financ 2'!$B$15:$P$75,R$2,0)</f>
        <v>0</v>
      </c>
      <c r="S48" s="175">
        <f>VLOOKUP($B48,'Financ 3'!$B$15:$P$75,S$2,0)</f>
        <v>103000000</v>
      </c>
      <c r="T48" s="178">
        <f>VLOOKUP($B48,'Ppto-Mes'!$B$8:$AX$68,T$2,0)</f>
        <v>10336000</v>
      </c>
      <c r="U48" s="175">
        <f>VLOOKUP($B48,'Gtos Consultores'!$B$9:$AI$69,U$2,0)</f>
        <v>5227167</v>
      </c>
      <c r="V48" s="175">
        <f>IF($V$1=0,0,IF($V$1=1,IFERROR(HLOOKUP(YEAR($B48),'Gastos Proyect'!$B$4:$F$17,14,0),0),IFERROR(HLOOKUP(YEAR($B47),'Gastos Proyect'!$B$4:$F$17,14,0),0)+IFERROR(HLOOKUP(YEAR($B48),'Gastos Proyect'!$B$4:$F$17,14,0),0)))</f>
        <v>0</v>
      </c>
      <c r="W48" s="377">
        <f t="shared" si="16"/>
        <v>118563167</v>
      </c>
      <c r="X48" s="175">
        <f t="shared" si="15"/>
        <v>50000000</v>
      </c>
      <c r="Y48" s="178">
        <f>IF(MONTH($B48)=12,IF(Y47+ROUND(VLOOKUP($B48,'Ppto-Mes'!$B$8:$AX$68,Y$2,0)*10%,-3)&lt;=50%*X47,Y47+ROUND(VLOOKUP($B48,'Ppto-Mes'!$B$8:$AX$68,Y$2,0)*10%,-3),50%*X47),Y47)</f>
        <v>10938000</v>
      </c>
      <c r="Z48" s="178">
        <f>VLOOKUP($B48,'Ppto-Mes'!$B$8:$AX$68,Z$2,0)-(Y48-Y47)</f>
        <v>21551957.051199913</v>
      </c>
      <c r="AA48" s="175">
        <f t="shared" si="17"/>
        <v>98441793.908499658</v>
      </c>
      <c r="AB48" s="376">
        <f t="shared" si="9"/>
        <v>180931750.95969957</v>
      </c>
      <c r="AC48" s="378">
        <f t="shared" si="10"/>
        <v>299494917.95969957</v>
      </c>
      <c r="AD48" s="175">
        <f t="shared" si="18"/>
        <v>0</v>
      </c>
      <c r="AF48" s="175">
        <f t="shared" si="19"/>
        <v>79881434.512799978</v>
      </c>
      <c r="AG48" s="175">
        <f t="shared" si="20"/>
        <v>0</v>
      </c>
      <c r="AH48" s="175">
        <f t="shared" si="21"/>
        <v>0</v>
      </c>
      <c r="AI48" s="175">
        <f t="shared" si="22"/>
        <v>0</v>
      </c>
    </row>
    <row r="49" spans="1:35" x14ac:dyDescent="0.35">
      <c r="A49" s="18">
        <v>41</v>
      </c>
      <c r="B49" s="184">
        <v>43251</v>
      </c>
      <c r="C49" s="331">
        <f t="shared" si="3"/>
        <v>2018</v>
      </c>
      <c r="D49" s="178">
        <f>IF(VLOOKUP($B49,'Ppto-Mes'!$B$8:$AX$68,D$2,0)&gt;0,VLOOKUP($B49,'Ppto-Mes'!$B$8:$AX$68,D$2,0),0)</f>
        <v>44909812.472499549</v>
      </c>
      <c r="E49" s="175">
        <f>IFERROR(VLOOKUP($B49,'Inv Temp'!$B$7:$I$67,E$2,0),0)</f>
        <v>0</v>
      </c>
      <c r="F49" s="175">
        <f>IF($F$1=0,0,IF($F$1=1,IFERROR(HLOOKUP(YEAR($B49),'Ing Proyect'!$B$6:$G$12,6,0),0),IFERROR(HLOOKUP(YEAR($B48),'Ing Proyect'!$B$6:$G$12,6,0),0)+IFERROR(HLOOKUP(YEAR($B49),'Ing Proyect'!$B$6:$G$12,6,0),0)))</f>
        <v>156674000</v>
      </c>
      <c r="G49" s="376">
        <f t="shared" si="4"/>
        <v>201583812.47249955</v>
      </c>
      <c r="H49" s="175">
        <f>IFERROR(VLOOKUP($B49,'Amort Inv Inic'!$B$7:$AN$67,H$1,0),0)+IFERROR(VLOOKUP($B49,'Amort Inv Adic'!$B$7:$BU$67,H$2,0),0)</f>
        <v>71578000</v>
      </c>
      <c r="I49" s="175">
        <f>IFERROR(VLOOKUP($B49,'Amort Inv Inic'!$B$7:$AN$67,I$1,0),0)+IFERROR(VLOOKUP($B49,'Amort Inv Adic'!$B$7:$BU$67,I$2,0),0)</f>
        <v>57449399</v>
      </c>
      <c r="J49" s="175">
        <f t="shared" si="5"/>
        <v>14128601</v>
      </c>
      <c r="K49" s="175">
        <f>IFERROR(VLOOKUP($B49,'Amort Inv Inic'!$B$7:$AN$67,K$1,0),0)+IFERROR(VLOOKUP($B49,'Amort Inv Adic'!$B$7:$BU$67,K$2,0),0)</f>
        <v>73033000</v>
      </c>
      <c r="L49" s="175">
        <f>IFERROR(VLOOKUP($B49,'Amort Inv Inic'!$B$7:$AN$67,L$1,0),0)+IFERROR(VLOOKUP($B49,'Amort Inv Adic'!$B$7:$BU$67,L$2,0),0)</f>
        <v>63369578</v>
      </c>
      <c r="M49" s="175">
        <f t="shared" si="6"/>
        <v>9663422</v>
      </c>
      <c r="N49" s="377">
        <f t="shared" si="7"/>
        <v>23792023</v>
      </c>
      <c r="O49" s="378">
        <f t="shared" si="8"/>
        <v>225375835.47249955</v>
      </c>
      <c r="P49" s="178">
        <f>IF(VLOOKUP($B49,'Ppto-Mes'!$B$8:$AX$68,P$2,0)&lt;0,-VLOOKUP($B49,'Ppto-Mes'!$B$8:$AX$68,P$2,0),0)</f>
        <v>0</v>
      </c>
      <c r="Q49" s="175">
        <f>VLOOKUP($B49,'Financ 1'!$B$15:$P$75,Q$2,0)</f>
        <v>0</v>
      </c>
      <c r="R49" s="175">
        <f>VLOOKUP($B49,'Financ 2'!$B$15:$P$75,R$2,0)</f>
        <v>0</v>
      </c>
      <c r="S49" s="175">
        <f>VLOOKUP($B49,'Financ 3'!$B$15:$P$75,S$2,0)</f>
        <v>21000000</v>
      </c>
      <c r="T49" s="178">
        <f>VLOOKUP($B49,'Ppto-Mes'!$B$8:$AX$68,T$2,0)</f>
        <v>11749000</v>
      </c>
      <c r="U49" s="175">
        <f>VLOOKUP($B49,'Gtos Consultores'!$B$9:$AI$69,U$2,0)</f>
        <v>6533960</v>
      </c>
      <c r="V49" s="175">
        <f>IF($V$1=0,0,IF($V$1=1,IFERROR(HLOOKUP(YEAR($B49),'Gastos Proyect'!$B$4:$F$17,14,0),0),IFERROR(HLOOKUP(YEAR($B48),'Gastos Proyect'!$B$4:$F$17,14,0),0)+IFERROR(HLOOKUP(YEAR($B49),'Gastos Proyect'!$B$4:$F$17,14,0),0)))</f>
        <v>0</v>
      </c>
      <c r="W49" s="377">
        <f t="shared" si="16"/>
        <v>39282960</v>
      </c>
      <c r="X49" s="175">
        <f t="shared" si="15"/>
        <v>50000000</v>
      </c>
      <c r="Y49" s="178">
        <f>IF(MONTH($B49)=12,IF(Y48+ROUND(VLOOKUP($B49,'Ppto-Mes'!$B$8:$AX$68,Y$2,0)*10%,-3)&lt;=50%*X48,Y48+ROUND(VLOOKUP($B49,'Ppto-Mes'!$B$8:$AX$68,Y$2,0)*10%,-3),50%*X48),Y48)</f>
        <v>10938000</v>
      </c>
      <c r="Z49" s="178">
        <f>VLOOKUP($B49,'Ppto-Mes'!$B$8:$AX$68,Z$2,0)-(Y49-Y48)</f>
        <v>26713081.563999891</v>
      </c>
      <c r="AA49" s="175">
        <f t="shared" si="17"/>
        <v>98441793.908499658</v>
      </c>
      <c r="AB49" s="376">
        <f t="shared" si="9"/>
        <v>186092875.47249955</v>
      </c>
      <c r="AC49" s="378">
        <f t="shared" si="10"/>
        <v>225375835.47249955</v>
      </c>
      <c r="AD49" s="175">
        <f t="shared" si="18"/>
        <v>0</v>
      </c>
      <c r="AF49" s="175">
        <f t="shared" si="19"/>
        <v>-71471317.487200022</v>
      </c>
      <c r="AG49" s="175">
        <f t="shared" si="20"/>
        <v>0</v>
      </c>
      <c r="AH49" s="175">
        <f t="shared" si="21"/>
        <v>0</v>
      </c>
      <c r="AI49" s="175">
        <f t="shared" si="22"/>
        <v>0</v>
      </c>
    </row>
    <row r="50" spans="1:35" x14ac:dyDescent="0.35">
      <c r="A50" s="18">
        <v>42</v>
      </c>
      <c r="B50" s="184">
        <v>43281</v>
      </c>
      <c r="C50" s="331">
        <f t="shared" si="3"/>
        <v>2018</v>
      </c>
      <c r="D50" s="178">
        <f>IF(VLOOKUP($B50,'Ppto-Mes'!$B$8:$AX$68,D$2,0)&gt;0,VLOOKUP($B50,'Ppto-Mes'!$B$8:$AX$68,D$2,0),0)</f>
        <v>125203524.98529953</v>
      </c>
      <c r="E50" s="175">
        <f>IFERROR(VLOOKUP($B50,'Inv Temp'!$B$7:$I$67,E$2,0),0)</f>
        <v>0</v>
      </c>
      <c r="F50" s="175">
        <f>IF($F$1=0,0,IF($F$1=1,IFERROR(HLOOKUP(YEAR($B50),'Ing Proyect'!$B$6:$G$12,6,0),0),IFERROR(HLOOKUP(YEAR($B49),'Ing Proyect'!$B$6:$G$12,6,0),0)+IFERROR(HLOOKUP(YEAR($B50),'Ing Proyect'!$B$6:$G$12,6,0),0)))</f>
        <v>156674000</v>
      </c>
      <c r="G50" s="376">
        <f t="shared" si="4"/>
        <v>281877524.98529953</v>
      </c>
      <c r="H50" s="175">
        <f>IFERROR(VLOOKUP($B50,'Amort Inv Inic'!$B$7:$AN$67,H$1,0),0)+IFERROR(VLOOKUP($B50,'Amort Inv Adic'!$B$7:$BU$67,H$2,0),0)</f>
        <v>71578000</v>
      </c>
      <c r="I50" s="175">
        <f>IFERROR(VLOOKUP($B50,'Amort Inv Inic'!$B$7:$AN$67,I$1,0),0)+IFERROR(VLOOKUP($B50,'Amort Inv Adic'!$B$7:$BU$67,I$2,0),0)</f>
        <v>58805246</v>
      </c>
      <c r="J50" s="175">
        <f t="shared" si="5"/>
        <v>12772754</v>
      </c>
      <c r="K50" s="175">
        <f>IFERROR(VLOOKUP($B50,'Amort Inv Inic'!$B$7:$AN$67,K$1,0),0)+IFERROR(VLOOKUP($B50,'Amort Inv Adic'!$B$7:$BU$67,K$2,0),0)</f>
        <v>81019000</v>
      </c>
      <c r="L50" s="175">
        <f>IFERROR(VLOOKUP($B50,'Amort Inv Inic'!$B$7:$AN$67,L$1,0),0)+IFERROR(VLOOKUP($B50,'Amort Inv Adic'!$B$7:$BU$67,L$2,0),0)</f>
        <v>64661494</v>
      </c>
      <c r="M50" s="175">
        <f t="shared" si="6"/>
        <v>16357506</v>
      </c>
      <c r="N50" s="377">
        <f t="shared" si="7"/>
        <v>29130260</v>
      </c>
      <c r="O50" s="378">
        <f t="shared" si="8"/>
        <v>311007784.98529953</v>
      </c>
      <c r="P50" s="178">
        <f>IF(VLOOKUP($B50,'Ppto-Mes'!$B$8:$AX$68,P$2,0)&lt;0,-VLOOKUP($B50,'Ppto-Mes'!$B$8:$AX$68,P$2,0),0)</f>
        <v>0</v>
      </c>
      <c r="Q50" s="175">
        <f>VLOOKUP($B50,'Financ 1'!$B$15:$P$75,Q$2,0)</f>
        <v>0</v>
      </c>
      <c r="R50" s="175">
        <f>VLOOKUP($B50,'Financ 2'!$B$15:$P$75,R$2,0)</f>
        <v>0</v>
      </c>
      <c r="S50" s="175">
        <f>VLOOKUP($B50,'Financ 3'!$B$15:$P$75,S$2,0)</f>
        <v>106000000</v>
      </c>
      <c r="T50" s="178">
        <f>VLOOKUP($B50,'Ppto-Mes'!$B$8:$AX$68,T$2,0)</f>
        <v>8920000</v>
      </c>
      <c r="U50" s="175">
        <f>VLOOKUP($B50,'Gtos Consultores'!$B$9:$AI$69,U$2,0)</f>
        <v>4142281</v>
      </c>
      <c r="V50" s="175">
        <f>IF($V$1=0,0,IF($V$1=1,IFERROR(HLOOKUP(YEAR($B50),'Gastos Proyect'!$B$4:$F$17,14,0),0),IFERROR(HLOOKUP(YEAR($B49),'Gastos Proyect'!$B$4:$F$17,14,0),0)+IFERROR(HLOOKUP(YEAR($B50),'Gastos Proyect'!$B$4:$F$17,14,0),0)))</f>
        <v>0</v>
      </c>
      <c r="W50" s="377">
        <f t="shared" si="16"/>
        <v>119062281</v>
      </c>
      <c r="X50" s="175">
        <f t="shared" si="15"/>
        <v>50000000</v>
      </c>
      <c r="Y50" s="178">
        <f>IF(MONTH($B50)=12,IF(Y49+ROUND(VLOOKUP($B50,'Ppto-Mes'!$B$8:$AX$68,Y$2,0)*10%,-3)&lt;=50%*X49,Y49+ROUND(VLOOKUP($B50,'Ppto-Mes'!$B$8:$AX$68,Y$2,0)*10%,-3),50%*X49),Y49)</f>
        <v>10938000</v>
      </c>
      <c r="Z50" s="178">
        <f>VLOOKUP($B50,'Ppto-Mes'!$B$8:$AX$68,Z$2,0)-(Y50-Y49)</f>
        <v>32565710.07679987</v>
      </c>
      <c r="AA50" s="175">
        <f t="shared" si="17"/>
        <v>98441793.908499658</v>
      </c>
      <c r="AB50" s="376">
        <f t="shared" si="9"/>
        <v>191945503.98529953</v>
      </c>
      <c r="AC50" s="378">
        <f t="shared" si="10"/>
        <v>311007784.98529953</v>
      </c>
      <c r="AD50" s="175">
        <f t="shared" si="18"/>
        <v>0</v>
      </c>
      <c r="AF50" s="175">
        <f t="shared" si="19"/>
        <v>80293712.512799978</v>
      </c>
      <c r="AG50" s="175">
        <f t="shared" si="20"/>
        <v>0</v>
      </c>
      <c r="AH50" s="175">
        <f t="shared" si="21"/>
        <v>7986000</v>
      </c>
      <c r="AI50" s="175">
        <f t="shared" si="22"/>
        <v>0</v>
      </c>
    </row>
    <row r="51" spans="1:35" x14ac:dyDescent="0.35">
      <c r="A51" s="18">
        <v>43</v>
      </c>
      <c r="B51" s="184">
        <v>43312</v>
      </c>
      <c r="C51" s="331">
        <f t="shared" si="3"/>
        <v>2018</v>
      </c>
      <c r="D51" s="178">
        <f>IF(VLOOKUP($B51,'Ppto-Mes'!$B$8:$AX$68,D$2,0)&gt;0,VLOOKUP($B51,'Ppto-Mes'!$B$8:$AX$68,D$2,0),0)</f>
        <v>39699957.498099506</v>
      </c>
      <c r="E51" s="175">
        <f>IFERROR(VLOOKUP($B51,'Inv Temp'!$B$7:$I$67,E$2,0),0)</f>
        <v>0</v>
      </c>
      <c r="F51" s="175">
        <f>IF($F$1=0,0,IF($F$1=1,IFERROR(HLOOKUP(YEAR($B51),'Ing Proyect'!$B$6:$G$12,6,0),0),IFERROR(HLOOKUP(YEAR($B50),'Ing Proyect'!$B$6:$G$12,6,0),0)+IFERROR(HLOOKUP(YEAR($B51),'Ing Proyect'!$B$6:$G$12,6,0),0)))</f>
        <v>156674000</v>
      </c>
      <c r="G51" s="376">
        <f t="shared" si="4"/>
        <v>196373957.49809951</v>
      </c>
      <c r="H51" s="175">
        <f>IFERROR(VLOOKUP($B51,'Amort Inv Inic'!$B$7:$AN$67,H$1,0),0)+IFERROR(VLOOKUP($B51,'Amort Inv Adic'!$B$7:$BU$67,H$2,0),0)</f>
        <v>71578000</v>
      </c>
      <c r="I51" s="175">
        <f>IFERROR(VLOOKUP($B51,'Amort Inv Inic'!$B$7:$AN$67,I$1,0),0)+IFERROR(VLOOKUP($B51,'Amort Inv Adic'!$B$7:$BU$67,I$2,0),0)</f>
        <v>60161093</v>
      </c>
      <c r="J51" s="175">
        <f t="shared" si="5"/>
        <v>11416907</v>
      </c>
      <c r="K51" s="175">
        <f>IFERROR(VLOOKUP($B51,'Amort Inv Inic'!$B$7:$AN$67,K$1,0),0)+IFERROR(VLOOKUP($B51,'Amort Inv Adic'!$B$7:$BU$67,K$2,0),0)</f>
        <v>81019000</v>
      </c>
      <c r="L51" s="175">
        <f>IFERROR(VLOOKUP($B51,'Amort Inv Inic'!$B$7:$AN$67,L$1,0),0)+IFERROR(VLOOKUP($B51,'Amort Inv Adic'!$B$7:$BU$67,L$2,0),0)</f>
        <v>66013912</v>
      </c>
      <c r="M51" s="175">
        <f t="shared" si="6"/>
        <v>15005088</v>
      </c>
      <c r="N51" s="377">
        <f t="shared" si="7"/>
        <v>26421995</v>
      </c>
      <c r="O51" s="378">
        <f t="shared" si="8"/>
        <v>222795952.49809951</v>
      </c>
      <c r="P51" s="178">
        <f>IF(VLOOKUP($B51,'Ppto-Mes'!$B$8:$AX$68,P$2,0)&lt;0,-VLOOKUP($B51,'Ppto-Mes'!$B$8:$AX$68,P$2,0),0)</f>
        <v>0</v>
      </c>
      <c r="Q51" s="175">
        <f>VLOOKUP($B51,'Financ 1'!$B$15:$P$75,Q$2,0)</f>
        <v>0</v>
      </c>
      <c r="R51" s="175">
        <f>VLOOKUP($B51,'Financ 2'!$B$15:$P$75,R$2,0)</f>
        <v>0</v>
      </c>
      <c r="S51" s="175">
        <f>VLOOKUP($B51,'Financ 3'!$B$15:$P$75,S$2,0)</f>
        <v>10000000</v>
      </c>
      <c r="T51" s="178">
        <f>VLOOKUP($B51,'Ppto-Mes'!$B$8:$AX$68,T$2,0)</f>
        <v>10314000</v>
      </c>
      <c r="U51" s="175">
        <f>VLOOKUP($B51,'Gtos Consultores'!$B$9:$AI$69,U$2,0)</f>
        <v>5449074</v>
      </c>
      <c r="V51" s="175">
        <f>IF($V$1=0,0,IF($V$1=1,IFERROR(HLOOKUP(YEAR($B51),'Gastos Proyect'!$B$4:$F$17,14,0),0),IFERROR(HLOOKUP(YEAR($B50),'Gastos Proyect'!$B$4:$F$17,14,0),0)+IFERROR(HLOOKUP(YEAR($B51),'Gastos Proyect'!$B$4:$F$17,14,0),0)))</f>
        <v>0</v>
      </c>
      <c r="W51" s="377">
        <f t="shared" si="16"/>
        <v>25763074</v>
      </c>
      <c r="X51" s="175">
        <f t="shared" si="15"/>
        <v>50000000</v>
      </c>
      <c r="Y51" s="178">
        <f>IF(MONTH($B51)=12,IF(Y50+ROUND(VLOOKUP($B51,'Ppto-Mes'!$B$8:$AX$68,Y$2,0)*10%,-3)&lt;=50%*X50,Y50+ROUND(VLOOKUP($B51,'Ppto-Mes'!$B$8:$AX$68,Y$2,0)*10%,-3),50%*X50),Y50)</f>
        <v>10938000</v>
      </c>
      <c r="Z51" s="178">
        <f>VLOOKUP($B51,'Ppto-Mes'!$B$8:$AX$68,Z$2,0)-(Y51-Y50)</f>
        <v>37653084.589599848</v>
      </c>
      <c r="AA51" s="175">
        <f t="shared" si="17"/>
        <v>98441793.908499658</v>
      </c>
      <c r="AB51" s="376">
        <f t="shared" si="9"/>
        <v>197032878.49809951</v>
      </c>
      <c r="AC51" s="378">
        <f t="shared" si="10"/>
        <v>222795952.49809951</v>
      </c>
      <c r="AD51" s="175">
        <f t="shared" si="18"/>
        <v>0</v>
      </c>
      <c r="AF51" s="175">
        <f t="shared" si="19"/>
        <v>-85503567.487200022</v>
      </c>
      <c r="AG51" s="175">
        <f t="shared" si="20"/>
        <v>0</v>
      </c>
      <c r="AH51" s="175">
        <f t="shared" si="21"/>
        <v>0</v>
      </c>
      <c r="AI51" s="175">
        <f t="shared" si="22"/>
        <v>0</v>
      </c>
    </row>
    <row r="52" spans="1:35" x14ac:dyDescent="0.35">
      <c r="A52" s="18">
        <v>44</v>
      </c>
      <c r="B52" s="184">
        <v>43343</v>
      </c>
      <c r="C52" s="331">
        <f t="shared" si="3"/>
        <v>2018</v>
      </c>
      <c r="D52" s="178">
        <f>IF(VLOOKUP($B52,'Ppto-Mes'!$B$8:$AX$68,D$2,0)&gt;0,VLOOKUP($B52,'Ppto-Mes'!$B$8:$AX$68,D$2,0),0)</f>
        <v>136228392.01089948</v>
      </c>
      <c r="E52" s="175">
        <f>IFERROR(VLOOKUP($B52,'Inv Temp'!$B$7:$I$67,E$2,0),0)</f>
        <v>0</v>
      </c>
      <c r="F52" s="175">
        <f>IF($F$1=0,0,IF($F$1=1,IFERROR(HLOOKUP(YEAR($B52),'Ing Proyect'!$B$6:$G$12,6,0),0),IFERROR(HLOOKUP(YEAR($B51),'Ing Proyect'!$B$6:$G$12,6,0),0)+IFERROR(HLOOKUP(YEAR($B52),'Ing Proyect'!$B$6:$G$12,6,0),0)))</f>
        <v>156674000</v>
      </c>
      <c r="G52" s="376">
        <f t="shared" si="4"/>
        <v>292902392.01089948</v>
      </c>
      <c r="H52" s="175">
        <f>IFERROR(VLOOKUP($B52,'Amort Inv Inic'!$B$7:$AN$67,H$1,0),0)+IFERROR(VLOOKUP($B52,'Amort Inv Adic'!$B$7:$BU$67,H$2,0),0)</f>
        <v>71578000</v>
      </c>
      <c r="I52" s="175">
        <f>IFERROR(VLOOKUP($B52,'Amort Inv Inic'!$B$7:$AN$67,I$1,0),0)+IFERROR(VLOOKUP($B52,'Amort Inv Adic'!$B$7:$BU$67,I$2,0),0)</f>
        <v>61516940</v>
      </c>
      <c r="J52" s="175">
        <f t="shared" si="5"/>
        <v>10061060</v>
      </c>
      <c r="K52" s="175">
        <f>IFERROR(VLOOKUP($B52,'Amort Inv Inic'!$B$7:$AN$67,K$1,0),0)+IFERROR(VLOOKUP($B52,'Amort Inv Adic'!$B$7:$BU$67,K$2,0),0)</f>
        <v>81019000</v>
      </c>
      <c r="L52" s="175">
        <f>IFERROR(VLOOKUP($B52,'Amort Inv Inic'!$B$7:$AN$67,L$1,0),0)+IFERROR(VLOOKUP($B52,'Amort Inv Adic'!$B$7:$BU$67,L$2,0),0)</f>
        <v>67366328</v>
      </c>
      <c r="M52" s="175">
        <f t="shared" si="6"/>
        <v>13652672</v>
      </c>
      <c r="N52" s="377">
        <f t="shared" si="7"/>
        <v>23713732</v>
      </c>
      <c r="O52" s="378">
        <f t="shared" si="8"/>
        <v>316616124.01089948</v>
      </c>
      <c r="P52" s="178">
        <f>IF(VLOOKUP($B52,'Ppto-Mes'!$B$8:$AX$68,P$2,0)&lt;0,-VLOOKUP($B52,'Ppto-Mes'!$B$8:$AX$68,P$2,0),0)</f>
        <v>0</v>
      </c>
      <c r="Q52" s="175">
        <f>VLOOKUP($B52,'Financ 1'!$B$15:$P$75,Q$2,0)</f>
        <v>0</v>
      </c>
      <c r="R52" s="175">
        <f>VLOOKUP($B52,'Financ 2'!$B$15:$P$75,R$2,0)</f>
        <v>0</v>
      </c>
      <c r="S52" s="175">
        <f>VLOOKUP($B52,'Financ 3'!$B$15:$P$75,S$2,0)</f>
        <v>95000000</v>
      </c>
      <c r="T52" s="178">
        <f>VLOOKUP($B52,'Ppto-Mes'!$B$8:$AX$68,T$2,0)</f>
        <v>11930000</v>
      </c>
      <c r="U52" s="175">
        <f>VLOOKUP($B52,'Gtos Consultores'!$B$9:$AI$69,U$2,0)</f>
        <v>6755867</v>
      </c>
      <c r="V52" s="175">
        <f>IF($V$1=0,0,IF($V$1=1,IFERROR(HLOOKUP(YEAR($B52),'Gastos Proyect'!$B$4:$F$17,14,0),0),IFERROR(HLOOKUP(YEAR($B51),'Gastos Proyect'!$B$4:$F$17,14,0),0)+IFERROR(HLOOKUP(YEAR($B52),'Gastos Proyect'!$B$4:$F$17,14,0),0)))</f>
        <v>0</v>
      </c>
      <c r="W52" s="377">
        <f t="shared" si="16"/>
        <v>113685867</v>
      </c>
      <c r="X52" s="175">
        <f t="shared" si="15"/>
        <v>50000000</v>
      </c>
      <c r="Y52" s="178">
        <f>IF(MONTH($B52)=12,IF(Y51+ROUND(VLOOKUP($B52,'Ppto-Mes'!$B$8:$AX$68,Y$2,0)*10%,-3)&lt;=50%*X51,Y51+ROUND(VLOOKUP($B52,'Ppto-Mes'!$B$8:$AX$68,Y$2,0)*10%,-3),50%*X51),Y51)</f>
        <v>10938000</v>
      </c>
      <c r="Z52" s="178">
        <f>VLOOKUP($B52,'Ppto-Mes'!$B$8:$AX$68,Z$2,0)-(Y52-Y51)</f>
        <v>43550463.102399826</v>
      </c>
      <c r="AA52" s="175">
        <f t="shared" si="17"/>
        <v>98441793.908499658</v>
      </c>
      <c r="AB52" s="376">
        <f t="shared" si="9"/>
        <v>202930257.01089948</v>
      </c>
      <c r="AC52" s="378">
        <f t="shared" si="10"/>
        <v>316616124.01089948</v>
      </c>
      <c r="AD52" s="175">
        <f t="shared" si="18"/>
        <v>0</v>
      </c>
      <c r="AF52" s="175">
        <f t="shared" si="19"/>
        <v>96528434.512799978</v>
      </c>
      <c r="AG52" s="175">
        <f t="shared" si="20"/>
        <v>0</v>
      </c>
      <c r="AH52" s="175">
        <f t="shared" si="21"/>
        <v>0</v>
      </c>
      <c r="AI52" s="175">
        <f t="shared" si="22"/>
        <v>0</v>
      </c>
    </row>
    <row r="53" spans="1:35" x14ac:dyDescent="0.35">
      <c r="A53" s="18">
        <v>45</v>
      </c>
      <c r="B53" s="184">
        <v>43373</v>
      </c>
      <c r="C53" s="331">
        <f t="shared" si="3"/>
        <v>2018</v>
      </c>
      <c r="D53" s="178">
        <f>IF(VLOOKUP($B53,'Ppto-Mes'!$B$8:$AX$68,D$2,0)&gt;0,VLOOKUP($B53,'Ppto-Mes'!$B$8:$AX$68,D$2,0),0)</f>
        <v>51843074.523699462</v>
      </c>
      <c r="E53" s="175">
        <f>IFERROR(VLOOKUP($B53,'Inv Temp'!$B$7:$I$67,E$2,0),0)</f>
        <v>0</v>
      </c>
      <c r="F53" s="175">
        <f>IF($F$1=0,0,IF($F$1=1,IFERROR(HLOOKUP(YEAR($B53),'Ing Proyect'!$B$6:$G$12,6,0),0),IFERROR(HLOOKUP(YEAR($B52),'Ing Proyect'!$B$6:$G$12,6,0),0)+IFERROR(HLOOKUP(YEAR($B53),'Ing Proyect'!$B$6:$G$12,6,0),0)))</f>
        <v>156674000</v>
      </c>
      <c r="G53" s="376">
        <f t="shared" si="4"/>
        <v>208517074.52369946</v>
      </c>
      <c r="H53" s="175">
        <f>IFERROR(VLOOKUP($B53,'Amort Inv Inic'!$B$7:$AN$67,H$1,0),0)+IFERROR(VLOOKUP($B53,'Amort Inv Adic'!$B$7:$BU$67,H$2,0),0)</f>
        <v>71578000</v>
      </c>
      <c r="I53" s="175">
        <f>IFERROR(VLOOKUP($B53,'Amort Inv Inic'!$B$7:$AN$67,I$1,0),0)+IFERROR(VLOOKUP($B53,'Amort Inv Adic'!$B$7:$BU$67,I$2,0),0)</f>
        <v>62872788</v>
      </c>
      <c r="J53" s="175">
        <f t="shared" si="5"/>
        <v>8705212</v>
      </c>
      <c r="K53" s="175">
        <f>IFERROR(VLOOKUP($B53,'Amort Inv Inic'!$B$7:$AN$67,K$1,0),0)+IFERROR(VLOOKUP($B53,'Amort Inv Adic'!$B$7:$BU$67,K$2,0),0)</f>
        <v>81019000</v>
      </c>
      <c r="L53" s="175">
        <f>IFERROR(VLOOKUP($B53,'Amort Inv Inic'!$B$7:$AN$67,L$1,0),0)+IFERROR(VLOOKUP($B53,'Amort Inv Adic'!$B$7:$BU$67,L$2,0),0)</f>
        <v>68718746</v>
      </c>
      <c r="M53" s="175">
        <f t="shared" si="6"/>
        <v>12300254</v>
      </c>
      <c r="N53" s="377">
        <f t="shared" si="7"/>
        <v>21005466</v>
      </c>
      <c r="O53" s="378">
        <f t="shared" si="8"/>
        <v>229522540.52369946</v>
      </c>
      <c r="P53" s="178">
        <f>IF(VLOOKUP($B53,'Ppto-Mes'!$B$8:$AX$68,P$2,0)&lt;0,-VLOOKUP($B53,'Ppto-Mes'!$B$8:$AX$68,P$2,0),0)</f>
        <v>0</v>
      </c>
      <c r="Q53" s="175">
        <f>VLOOKUP($B53,'Financ 1'!$B$15:$P$75,Q$2,0)</f>
        <v>0</v>
      </c>
      <c r="R53" s="175">
        <f>VLOOKUP($B53,'Financ 2'!$B$15:$P$75,R$2,0)</f>
        <v>0</v>
      </c>
      <c r="S53" s="175">
        <f>VLOOKUP($B53,'Financ 3'!$B$15:$P$75,S$2,0)</f>
        <v>0</v>
      </c>
      <c r="T53" s="178">
        <f>VLOOKUP($B53,'Ppto-Mes'!$B$8:$AX$68,T$2,0)</f>
        <v>13349000</v>
      </c>
      <c r="U53" s="175">
        <f>VLOOKUP($B53,'Gtos Consultores'!$B$9:$AI$69,U$2,0)</f>
        <v>8062660</v>
      </c>
      <c r="V53" s="175">
        <f>IF($V$1=0,0,IF($V$1=1,IFERROR(HLOOKUP(YEAR($B53),'Gastos Proyect'!$B$4:$F$17,14,0),0),IFERROR(HLOOKUP(YEAR($B52),'Gastos Proyect'!$B$4:$F$17,14,0),0)+IFERROR(HLOOKUP(YEAR($B53),'Gastos Proyect'!$B$4:$F$17,14,0),0)))</f>
        <v>0</v>
      </c>
      <c r="W53" s="377">
        <f t="shared" si="16"/>
        <v>21411660</v>
      </c>
      <c r="X53" s="175">
        <f t="shared" si="15"/>
        <v>50000000</v>
      </c>
      <c r="Y53" s="178">
        <f>IF(MONTH($B53)=12,IF(Y52+ROUND(VLOOKUP($B53,'Ppto-Mes'!$B$8:$AX$68,Y$2,0)*10%,-3)&lt;=50%*X52,Y52+ROUND(VLOOKUP($B53,'Ppto-Mes'!$B$8:$AX$68,Y$2,0)*10%,-3),50%*X52),Y52)</f>
        <v>10938000</v>
      </c>
      <c r="Z53" s="178">
        <f>VLOOKUP($B53,'Ppto-Mes'!$B$8:$AX$68,Z$2,0)-(Y53-Y52)</f>
        <v>48731086.615199804</v>
      </c>
      <c r="AA53" s="175">
        <f t="shared" si="17"/>
        <v>98441793.908499658</v>
      </c>
      <c r="AB53" s="376">
        <f t="shared" si="9"/>
        <v>208110880.52369946</v>
      </c>
      <c r="AC53" s="378">
        <f t="shared" si="10"/>
        <v>229522540.52369946</v>
      </c>
      <c r="AD53" s="175">
        <f t="shared" si="18"/>
        <v>0</v>
      </c>
      <c r="AF53" s="175">
        <f t="shared" si="19"/>
        <v>-84385317.487200022</v>
      </c>
      <c r="AG53" s="175">
        <f t="shared" si="20"/>
        <v>0</v>
      </c>
      <c r="AH53" s="175">
        <f t="shared" si="21"/>
        <v>0</v>
      </c>
      <c r="AI53" s="175">
        <f t="shared" si="22"/>
        <v>0</v>
      </c>
    </row>
    <row r="54" spans="1:35" x14ac:dyDescent="0.35">
      <c r="A54" s="18">
        <v>46</v>
      </c>
      <c r="B54" s="184">
        <v>43404</v>
      </c>
      <c r="C54" s="331">
        <f t="shared" si="3"/>
        <v>2018</v>
      </c>
      <c r="D54" s="178">
        <f>IF(VLOOKUP($B54,'Ppto-Mes'!$B$8:$AX$68,D$2,0)&gt;0,VLOOKUP($B54,'Ppto-Mes'!$B$8:$AX$68,D$2,0),0)</f>
        <v>146479009.03649944</v>
      </c>
      <c r="E54" s="175">
        <f>IFERROR(VLOOKUP($B54,'Inv Temp'!$B$7:$I$67,E$2,0),0)</f>
        <v>0</v>
      </c>
      <c r="F54" s="175">
        <f>IF($F$1=0,0,IF($F$1=1,IFERROR(HLOOKUP(YEAR($B54),'Ing Proyect'!$B$6:$G$12,6,0),0),IFERROR(HLOOKUP(YEAR($B53),'Ing Proyect'!$B$6:$G$12,6,0),0)+IFERROR(HLOOKUP(YEAR($B54),'Ing Proyect'!$B$6:$G$12,6,0),0)))</f>
        <v>156674000</v>
      </c>
      <c r="G54" s="376">
        <f t="shared" si="4"/>
        <v>303153009.03649944</v>
      </c>
      <c r="H54" s="175">
        <f>IFERROR(VLOOKUP($B54,'Amort Inv Inic'!$B$7:$AN$67,H$1,0),0)+IFERROR(VLOOKUP($B54,'Amort Inv Adic'!$B$7:$BU$67,H$2,0),0)</f>
        <v>71578000</v>
      </c>
      <c r="I54" s="175">
        <f>IFERROR(VLOOKUP($B54,'Amort Inv Inic'!$B$7:$AN$67,I$1,0),0)+IFERROR(VLOOKUP($B54,'Amort Inv Adic'!$B$7:$BU$67,I$2,0),0)</f>
        <v>64228635</v>
      </c>
      <c r="J54" s="175">
        <f t="shared" si="5"/>
        <v>7349365</v>
      </c>
      <c r="K54" s="175">
        <f>IFERROR(VLOOKUP($B54,'Amort Inv Inic'!$B$7:$AN$67,K$1,0),0)+IFERROR(VLOOKUP($B54,'Amort Inv Adic'!$B$7:$BU$67,K$2,0),0)</f>
        <v>81019000</v>
      </c>
      <c r="L54" s="175">
        <f>IFERROR(VLOOKUP($B54,'Amort Inv Inic'!$B$7:$AN$67,L$1,0),0)+IFERROR(VLOOKUP($B54,'Amort Inv Adic'!$B$7:$BU$67,L$2,0),0)</f>
        <v>70071162</v>
      </c>
      <c r="M54" s="175">
        <f t="shared" si="6"/>
        <v>10947838</v>
      </c>
      <c r="N54" s="377">
        <f t="shared" si="7"/>
        <v>18297203</v>
      </c>
      <c r="O54" s="378">
        <f t="shared" si="8"/>
        <v>321450212.03649944</v>
      </c>
      <c r="P54" s="178">
        <f>IF(VLOOKUP($B54,'Ppto-Mes'!$B$8:$AX$68,P$2,0)&lt;0,-VLOOKUP($B54,'Ppto-Mes'!$B$8:$AX$68,P$2,0),0)</f>
        <v>0</v>
      </c>
      <c r="Q54" s="175">
        <f>VLOOKUP($B54,'Financ 1'!$B$15:$P$75,Q$2,0)</f>
        <v>0</v>
      </c>
      <c r="R54" s="175">
        <f>VLOOKUP($B54,'Financ 2'!$B$15:$P$75,R$2,0)</f>
        <v>0</v>
      </c>
      <c r="S54" s="175">
        <f>VLOOKUP($B54,'Financ 3'!$B$15:$P$75,S$2,0)</f>
        <v>83000000</v>
      </c>
      <c r="T54" s="178">
        <f>VLOOKUP($B54,'Ppto-Mes'!$B$8:$AX$68,T$2,0)</f>
        <v>14987000</v>
      </c>
      <c r="U54" s="175">
        <f>VLOOKUP($B54,'Gtos Consultores'!$B$9:$AI$69,U$2,0)</f>
        <v>9369453</v>
      </c>
      <c r="V54" s="175">
        <f>IF($V$1=0,0,IF($V$1=1,IFERROR(HLOOKUP(YEAR($B54),'Gastos Proyect'!$B$4:$F$17,14,0),0),IFERROR(HLOOKUP(YEAR($B53),'Gastos Proyect'!$B$4:$F$17,14,0),0)+IFERROR(HLOOKUP(YEAR($B54),'Gastos Proyect'!$B$4:$F$17,14,0),0)))</f>
        <v>0</v>
      </c>
      <c r="W54" s="377">
        <f t="shared" si="16"/>
        <v>107356453</v>
      </c>
      <c r="X54" s="175">
        <f t="shared" si="15"/>
        <v>50000000</v>
      </c>
      <c r="Y54" s="178">
        <f>IF(MONTH($B54)=12,IF(Y53+ROUND(VLOOKUP($B54,'Ppto-Mes'!$B$8:$AX$68,Y$2,0)*10%,-3)&lt;=50%*X53,Y53+ROUND(VLOOKUP($B54,'Ppto-Mes'!$B$8:$AX$68,Y$2,0)*10%,-3),50%*X53),Y53)</f>
        <v>10938000</v>
      </c>
      <c r="Z54" s="178">
        <f>VLOOKUP($B54,'Ppto-Mes'!$B$8:$AX$68,Z$2,0)-(Y54-Y53)</f>
        <v>54713965.127999783</v>
      </c>
      <c r="AA54" s="175">
        <f t="shared" si="17"/>
        <v>98441793.908499658</v>
      </c>
      <c r="AB54" s="376">
        <f t="shared" si="9"/>
        <v>214093759.03649944</v>
      </c>
      <c r="AC54" s="378">
        <f t="shared" si="10"/>
        <v>321450212.03649944</v>
      </c>
      <c r="AD54" s="175">
        <f t="shared" si="18"/>
        <v>0</v>
      </c>
      <c r="AF54" s="175">
        <f t="shared" si="19"/>
        <v>94635934.512799978</v>
      </c>
      <c r="AG54" s="175">
        <f t="shared" si="20"/>
        <v>0</v>
      </c>
      <c r="AH54" s="175">
        <f t="shared" si="21"/>
        <v>0</v>
      </c>
      <c r="AI54" s="175">
        <f t="shared" si="22"/>
        <v>0</v>
      </c>
    </row>
    <row r="55" spans="1:35" x14ac:dyDescent="0.35">
      <c r="A55" s="18">
        <v>47</v>
      </c>
      <c r="B55" s="184">
        <v>43434</v>
      </c>
      <c r="C55" s="331">
        <f t="shared" si="3"/>
        <v>2018</v>
      </c>
      <c r="D55" s="178">
        <f>IF(VLOOKUP($B55,'Ppto-Mes'!$B$8:$AX$68,D$2,0)&gt;0,VLOOKUP($B55,'Ppto-Mes'!$B$8:$AX$68,D$2,0),0)</f>
        <v>74222692.549299419</v>
      </c>
      <c r="E55" s="175">
        <f>IFERROR(VLOOKUP($B55,'Inv Temp'!$B$7:$I$67,E$2,0),0)</f>
        <v>0</v>
      </c>
      <c r="F55" s="175">
        <f>IF($F$1=0,0,IF($F$1=1,IFERROR(HLOOKUP(YEAR($B55),'Ing Proyect'!$B$6:$G$12,6,0),0),IFERROR(HLOOKUP(YEAR($B54),'Ing Proyect'!$B$6:$G$12,6,0),0)+IFERROR(HLOOKUP(YEAR($B55),'Ing Proyect'!$B$6:$G$12,6,0),0)))</f>
        <v>156674000</v>
      </c>
      <c r="G55" s="376">
        <f t="shared" si="4"/>
        <v>230896692.54929942</v>
      </c>
      <c r="H55" s="175">
        <f>IFERROR(VLOOKUP($B55,'Amort Inv Inic'!$B$7:$AN$67,H$1,0),0)+IFERROR(VLOOKUP($B55,'Amort Inv Adic'!$B$7:$BU$67,H$2,0),0)</f>
        <v>71578000</v>
      </c>
      <c r="I55" s="175">
        <f>IFERROR(VLOOKUP($B55,'Amort Inv Inic'!$B$7:$AN$67,I$1,0),0)+IFERROR(VLOOKUP($B55,'Amort Inv Adic'!$B$7:$BU$67,I$2,0),0)</f>
        <v>65584483</v>
      </c>
      <c r="J55" s="175">
        <f t="shared" si="5"/>
        <v>5993517</v>
      </c>
      <c r="K55" s="175">
        <f>IFERROR(VLOOKUP($B55,'Amort Inv Inic'!$B$7:$AN$67,K$1,0),0)+IFERROR(VLOOKUP($B55,'Amort Inv Adic'!$B$7:$BU$67,K$2,0),0)</f>
        <v>81019000</v>
      </c>
      <c r="L55" s="175">
        <f>IFERROR(VLOOKUP($B55,'Amort Inv Inic'!$B$7:$AN$67,L$1,0),0)+IFERROR(VLOOKUP($B55,'Amort Inv Adic'!$B$7:$BU$67,L$2,0),0)</f>
        <v>71423580</v>
      </c>
      <c r="M55" s="175">
        <f t="shared" si="6"/>
        <v>9595420</v>
      </c>
      <c r="N55" s="377">
        <f t="shared" si="7"/>
        <v>15588937</v>
      </c>
      <c r="O55" s="378">
        <f t="shared" si="8"/>
        <v>246485629.54929942</v>
      </c>
      <c r="P55" s="178">
        <f>IF(VLOOKUP($B55,'Ppto-Mes'!$B$8:$AX$68,P$2,0)&lt;0,-VLOOKUP($B55,'Ppto-Mes'!$B$8:$AX$68,P$2,0),0)</f>
        <v>0</v>
      </c>
      <c r="Q55" s="175">
        <f>VLOOKUP($B55,'Financ 1'!$B$15:$P$75,Q$2,0)</f>
        <v>0</v>
      </c>
      <c r="R55" s="175">
        <f>VLOOKUP($B55,'Financ 2'!$B$15:$P$75,R$2,0)</f>
        <v>0</v>
      </c>
      <c r="S55" s="175">
        <f>VLOOKUP($B55,'Financ 3'!$B$15:$P$75,S$2,0)</f>
        <v>0</v>
      </c>
      <c r="T55" s="178">
        <f>VLOOKUP($B55,'Ppto-Mes'!$B$8:$AX$68,T$2,0)</f>
        <v>16433000</v>
      </c>
      <c r="U55" s="175">
        <f>VLOOKUP($B55,'Gtos Consultores'!$B$9:$AI$69,U$2,0)</f>
        <v>10676246</v>
      </c>
      <c r="V55" s="175">
        <f>IF($V$1=0,0,IF($V$1=1,IFERROR(HLOOKUP(YEAR($B55),'Gastos Proyect'!$B$4:$F$17,14,0),0),IFERROR(HLOOKUP(YEAR($B54),'Gastos Proyect'!$B$4:$F$17,14,0),0)+IFERROR(HLOOKUP(YEAR($B55),'Gastos Proyect'!$B$4:$F$17,14,0),0)))</f>
        <v>0</v>
      </c>
      <c r="W55" s="377">
        <f t="shared" si="16"/>
        <v>27109246</v>
      </c>
      <c r="X55" s="175">
        <f t="shared" si="15"/>
        <v>50000000</v>
      </c>
      <c r="Y55" s="178">
        <f>IF(MONTH($B55)=12,IF(Y54+ROUND(VLOOKUP($B55,'Ppto-Mes'!$B$8:$AX$68,Y$2,0)*10%,-3)&lt;=50%*X54,Y54+ROUND(VLOOKUP($B55,'Ppto-Mes'!$B$8:$AX$68,Y$2,0)*10%,-3),50%*X54),Y54)</f>
        <v>10938000</v>
      </c>
      <c r="Z55" s="178">
        <f>VLOOKUP($B55,'Ppto-Mes'!$B$8:$AX$68,Z$2,0)-(Y55-Y54)</f>
        <v>59996589.640799761</v>
      </c>
      <c r="AA55" s="175">
        <f t="shared" si="17"/>
        <v>98441793.908499658</v>
      </c>
      <c r="AB55" s="376">
        <f t="shared" si="9"/>
        <v>219376383.54929942</v>
      </c>
      <c r="AC55" s="378">
        <f t="shared" si="10"/>
        <v>246485629.54929942</v>
      </c>
      <c r="AD55" s="175">
        <f t="shared" si="18"/>
        <v>0</v>
      </c>
      <c r="AF55" s="175">
        <f t="shared" si="19"/>
        <v>-72256316.487200022</v>
      </c>
      <c r="AG55" s="175">
        <f t="shared" si="20"/>
        <v>0</v>
      </c>
      <c r="AH55" s="175">
        <f t="shared" si="21"/>
        <v>0</v>
      </c>
      <c r="AI55" s="175">
        <f t="shared" si="22"/>
        <v>0</v>
      </c>
    </row>
    <row r="56" spans="1:35" x14ac:dyDescent="0.35">
      <c r="A56" s="18">
        <v>48</v>
      </c>
      <c r="B56" s="184">
        <v>43465</v>
      </c>
      <c r="C56" s="331">
        <f t="shared" si="3"/>
        <v>2018</v>
      </c>
      <c r="D56" s="178">
        <f>IF(VLOOKUP($B56,'Ppto-Mes'!$B$8:$AX$68,D$2,0)&gt;0,VLOOKUP($B56,'Ppto-Mes'!$B$8:$AX$68,D$2,0),0)</f>
        <v>167567155.0620994</v>
      </c>
      <c r="E56" s="175">
        <f>IFERROR(VLOOKUP($B56,'Inv Temp'!$B$7:$I$67,E$2,0),0)</f>
        <v>0</v>
      </c>
      <c r="F56" s="175">
        <f>IF($F$1=0,0,IF($F$1=1,IFERROR(HLOOKUP(YEAR($B56),'Ing Proyect'!$B$6:$G$12,6,0),0),IFERROR(HLOOKUP(YEAR($B55),'Ing Proyect'!$B$6:$G$12,6,0),0)+IFERROR(HLOOKUP(YEAR($B56),'Ing Proyect'!$B$6:$G$12,6,0),0)))</f>
        <v>156674000</v>
      </c>
      <c r="G56" s="376">
        <f t="shared" si="4"/>
        <v>324241155.0620994</v>
      </c>
      <c r="H56" s="175">
        <f>IFERROR(VLOOKUP($B56,'Amort Inv Inic'!$B$7:$AN$67,H$1,0),0)+IFERROR(VLOOKUP($B56,'Amort Inv Adic'!$B$7:$BU$67,H$2,0),0)</f>
        <v>107479000</v>
      </c>
      <c r="I56" s="175">
        <f>IFERROR(VLOOKUP($B56,'Amort Inv Inic'!$B$7:$AN$67,I$1,0),0)+IFERROR(VLOOKUP($B56,'Amort Inv Adic'!$B$7:$BU$67,I$2,0),0)</f>
        <v>66940330</v>
      </c>
      <c r="J56" s="175">
        <f t="shared" si="5"/>
        <v>40538670</v>
      </c>
      <c r="K56" s="175">
        <f>IFERROR(VLOOKUP($B56,'Amort Inv Inic'!$B$7:$AN$67,K$1,0),0)+IFERROR(VLOOKUP($B56,'Amort Inv Adic'!$B$7:$BU$67,K$2,0),0)</f>
        <v>89711000</v>
      </c>
      <c r="L56" s="175">
        <f>IFERROR(VLOOKUP($B56,'Amort Inv Inic'!$B$7:$AN$67,L$1,0),0)+IFERROR(VLOOKUP($B56,'Amort Inv Adic'!$B$7:$BU$67,L$2,0),0)</f>
        <v>72775996</v>
      </c>
      <c r="M56" s="175">
        <f t="shared" si="6"/>
        <v>16935004</v>
      </c>
      <c r="N56" s="377">
        <f t="shared" si="7"/>
        <v>57473674</v>
      </c>
      <c r="O56" s="378">
        <f t="shared" si="8"/>
        <v>381714829.0620994</v>
      </c>
      <c r="P56" s="178">
        <f>IF(VLOOKUP($B56,'Ppto-Mes'!$B$8:$AX$68,P$2,0)&lt;0,-VLOOKUP($B56,'Ppto-Mes'!$B$8:$AX$68,P$2,0),0)</f>
        <v>0</v>
      </c>
      <c r="Q56" s="175">
        <f>VLOOKUP($B56,'Financ 1'!$B$15:$P$75,Q$2,0)</f>
        <v>0</v>
      </c>
      <c r="R56" s="175">
        <f>VLOOKUP($B56,'Financ 2'!$B$15:$P$75,R$2,0)</f>
        <v>0</v>
      </c>
      <c r="S56" s="175">
        <f>VLOOKUP($B56,'Financ 3'!$B$15:$P$75,S$2,0)</f>
        <v>130000000</v>
      </c>
      <c r="T56" s="178">
        <f>VLOOKUP($B56,'Ppto-Mes'!$B$8:$AX$68,T$2,0)</f>
        <v>18072000</v>
      </c>
      <c r="U56" s="175">
        <f>VLOOKUP($B56,'Gtos Consultores'!$B$9:$AI$69,U$2,0)</f>
        <v>8284567</v>
      </c>
      <c r="V56" s="175">
        <f>IF($V$1=0,0,IF($V$1=1,IFERROR(HLOOKUP(YEAR($B56),'Gastos Proyect'!$B$4:$F$17,14,0),0),IFERROR(HLOOKUP(YEAR($B55),'Gastos Proyect'!$B$4:$F$17,14,0),0)+IFERROR(HLOOKUP(YEAR($B56),'Gastos Proyect'!$B$4:$F$17,14,0),0)))</f>
        <v>0</v>
      </c>
      <c r="W56" s="377">
        <f t="shared" si="16"/>
        <v>156356567</v>
      </c>
      <c r="X56" s="175">
        <f t="shared" si="15"/>
        <v>50000000</v>
      </c>
      <c r="Y56" s="178">
        <f>IF(MONTH($B56)=12,IF(Y55+ROUND(VLOOKUP($B56,'Ppto-Mes'!$B$8:$AX$68,Y$2,0)*10%,-3)&lt;=50%*X55,Y55+ROUND(VLOOKUP($B56,'Ppto-Mes'!$B$8:$AX$68,Y$2,0)*10%,-3),50%*X55),Y55)</f>
        <v>17536000</v>
      </c>
      <c r="Z56" s="178">
        <f>VLOOKUP($B56,'Ppto-Mes'!$B$8:$AX$68,Z$2,0)-(Y56-Y55)</f>
        <v>59380468.153599739</v>
      </c>
      <c r="AA56" s="175">
        <f t="shared" si="17"/>
        <v>98441793.908499658</v>
      </c>
      <c r="AB56" s="376">
        <f t="shared" si="9"/>
        <v>225358262.0620994</v>
      </c>
      <c r="AC56" s="378">
        <f t="shared" si="10"/>
        <v>381714829.0620994</v>
      </c>
      <c r="AD56" s="175">
        <f t="shared" si="18"/>
        <v>0</v>
      </c>
      <c r="AF56" s="175">
        <f t="shared" si="19"/>
        <v>93344462.512799978</v>
      </c>
      <c r="AG56" s="175">
        <f t="shared" si="20"/>
        <v>35901000</v>
      </c>
      <c r="AH56" s="175">
        <f t="shared" si="21"/>
        <v>8692000</v>
      </c>
      <c r="AI56" s="175">
        <f t="shared" si="22"/>
        <v>0</v>
      </c>
    </row>
    <row r="57" spans="1:35" x14ac:dyDescent="0.35">
      <c r="A57" s="18">
        <v>49</v>
      </c>
      <c r="B57" s="184">
        <v>43496</v>
      </c>
      <c r="C57" s="331">
        <f t="shared" si="3"/>
        <v>2019</v>
      </c>
      <c r="D57" s="178">
        <f>IF(VLOOKUP($B57,'Ppto-Mes'!$B$8:$AX$68,D$2,0)&gt;0,VLOOKUP($B57,'Ppto-Mes'!$B$8:$AX$68,D$2,0),0)</f>
        <v>27910259.318749398</v>
      </c>
      <c r="E57" s="175">
        <f>IFERROR(VLOOKUP($B57,'Inv Temp'!$B$7:$I$67,E$2,0),0)</f>
        <v>0</v>
      </c>
      <c r="F57" s="175">
        <f>IF($F$1=0,0,IF($F$1=1,IFERROR(HLOOKUP(YEAR($B57),'Ing Proyect'!$B$6:$G$12,6,0),0),IFERROR(HLOOKUP(YEAR($B56),'Ing Proyect'!$B$6:$G$12,6,0),0)+IFERROR(HLOOKUP(YEAR($B57),'Ing Proyect'!$B$6:$G$12,6,0),0)))</f>
        <v>171228000</v>
      </c>
      <c r="G57" s="376">
        <f t="shared" si="4"/>
        <v>199138259.3187494</v>
      </c>
      <c r="H57" s="175">
        <f>IFERROR(VLOOKUP($B57,'Amort Inv Inic'!$B$7:$AN$67,H$1,0),0)+IFERROR(VLOOKUP($B57,'Amort Inv Adic'!$B$7:$BU$67,H$2,0),0)</f>
        <v>107479000</v>
      </c>
      <c r="I57" s="175">
        <f>IFERROR(VLOOKUP($B57,'Amort Inv Inic'!$B$7:$AN$67,I$1,0),0)+IFERROR(VLOOKUP($B57,'Amort Inv Adic'!$B$7:$BU$67,I$2,0),0)</f>
        <v>68679497</v>
      </c>
      <c r="J57" s="175">
        <f t="shared" si="5"/>
        <v>38799503</v>
      </c>
      <c r="K57" s="175">
        <f>IFERROR(VLOOKUP($B57,'Amort Inv Inic'!$B$7:$AN$67,K$1,0),0)+IFERROR(VLOOKUP($B57,'Amort Inv Adic'!$B$7:$BU$67,K$2,0),0)</f>
        <v>89711000</v>
      </c>
      <c r="L57" s="175">
        <f>IFERROR(VLOOKUP($B57,'Amort Inv Inic'!$B$7:$AN$67,L$1,0),0)+IFERROR(VLOOKUP($B57,'Amort Inv Adic'!$B$7:$BU$67,L$2,0),0)</f>
        <v>74281108</v>
      </c>
      <c r="M57" s="175">
        <f t="shared" si="6"/>
        <v>15429892</v>
      </c>
      <c r="N57" s="377">
        <f t="shared" si="7"/>
        <v>54229395</v>
      </c>
      <c r="O57" s="378">
        <f t="shared" si="8"/>
        <v>253367654.3187494</v>
      </c>
      <c r="P57" s="178">
        <f>IF(VLOOKUP($B57,'Ppto-Mes'!$B$8:$AX$68,P$2,0)&lt;0,-VLOOKUP($B57,'Ppto-Mes'!$B$8:$AX$68,P$2,0),0)</f>
        <v>0</v>
      </c>
      <c r="Q57" s="175">
        <f>VLOOKUP($B57,'Financ 1'!$B$15:$P$75,Q$2,0)</f>
        <v>0</v>
      </c>
      <c r="R57" s="175">
        <f>VLOOKUP($B57,'Financ 2'!$B$15:$P$75,R$2,0)</f>
        <v>0</v>
      </c>
      <c r="S57" s="175">
        <f>VLOOKUP($B57,'Financ 3'!$B$15:$P$75,S$2,0)</f>
        <v>2000000</v>
      </c>
      <c r="T57" s="178">
        <f>VLOOKUP($B57,'Ppto-Mes'!$B$8:$AX$68,T$2,0)</f>
        <v>19888000</v>
      </c>
      <c r="U57" s="175">
        <f>VLOOKUP($B57,'Gtos Consultores'!$B$9:$AI$69,U$2,0)</f>
        <v>1397910</v>
      </c>
      <c r="V57" s="175">
        <f>IF($V$1=0,0,IF($V$1=1,IFERROR(HLOOKUP(YEAR($B57),'Gastos Proyect'!$B$4:$F$17,14,0),0),IFERROR(HLOOKUP(YEAR($B56),'Gastos Proyect'!$B$4:$F$17,14,0),0)+IFERROR(HLOOKUP(YEAR($B57),'Gastos Proyect'!$B$4:$F$17,14,0),0)))</f>
        <v>0</v>
      </c>
      <c r="W57" s="377">
        <f t="shared" si="16"/>
        <v>23285910</v>
      </c>
      <c r="X57" s="175">
        <f t="shared" si="15"/>
        <v>50000000</v>
      </c>
      <c r="Y57" s="178">
        <f>IF(MONTH($B57)=12,IF(Y56+ROUND(VLOOKUP($B57,'Ppto-Mes'!$B$8:$AX$68,Y$2,0)*10%,-3)&lt;=50%*X56,Y56+ROUND(VLOOKUP($B57,'Ppto-Mes'!$B$8:$AX$68,Y$2,0)*10%,-3),50%*X56),Y56)</f>
        <v>17536000</v>
      </c>
      <c r="Z57" s="178">
        <f>VLOOKUP($B57,'Ppto-Mes'!$B$8:$AX$68,Z$2,0)-(Y57-Y56)</f>
        <v>4723482.2566500008</v>
      </c>
      <c r="AA57" s="175">
        <f t="shared" si="17"/>
        <v>157822262.0620994</v>
      </c>
      <c r="AB57" s="376">
        <f t="shared" si="9"/>
        <v>230081744.3187494</v>
      </c>
      <c r="AC57" s="378">
        <f t="shared" si="10"/>
        <v>253367654.3187494</v>
      </c>
      <c r="AD57" s="175">
        <f t="shared" si="18"/>
        <v>0</v>
      </c>
      <c r="AF57" s="175">
        <f t="shared" si="19"/>
        <v>-139656895.74335</v>
      </c>
      <c r="AG57" s="175">
        <f t="shared" si="20"/>
        <v>0</v>
      </c>
      <c r="AH57" s="175">
        <f t="shared" si="21"/>
        <v>0</v>
      </c>
      <c r="AI57" s="175">
        <f t="shared" si="22"/>
        <v>0</v>
      </c>
    </row>
    <row r="58" spans="1:35" x14ac:dyDescent="0.35">
      <c r="A58" s="18">
        <v>50</v>
      </c>
      <c r="B58" s="184">
        <v>43524</v>
      </c>
      <c r="C58" s="331">
        <f t="shared" si="3"/>
        <v>2019</v>
      </c>
      <c r="D58" s="178">
        <f>IF(VLOOKUP($B58,'Ppto-Mes'!$B$8:$AX$68,D$2,0)&gt;0,VLOOKUP($B58,'Ppto-Mes'!$B$8:$AX$68,D$2,0),0)</f>
        <v>157467943.5753994</v>
      </c>
      <c r="E58" s="175">
        <f>IFERROR(VLOOKUP($B58,'Inv Temp'!$B$7:$I$67,E$2,0),0)</f>
        <v>0</v>
      </c>
      <c r="F58" s="175">
        <f>IF($F$1=0,0,IF($F$1=1,IFERROR(HLOOKUP(YEAR($B58),'Ing Proyect'!$B$6:$G$12,6,0),0),IFERROR(HLOOKUP(YEAR($B57),'Ing Proyect'!$B$6:$G$12,6,0),0)+IFERROR(HLOOKUP(YEAR($B58),'Ing Proyect'!$B$6:$G$12,6,0),0)))</f>
        <v>171228000</v>
      </c>
      <c r="G58" s="376">
        <f t="shared" si="4"/>
        <v>328695943.5753994</v>
      </c>
      <c r="H58" s="175">
        <f>IFERROR(VLOOKUP($B58,'Amort Inv Inic'!$B$7:$AN$67,H$1,0),0)+IFERROR(VLOOKUP($B58,'Amort Inv Adic'!$B$7:$BU$67,H$2,0),0)</f>
        <v>107479000</v>
      </c>
      <c r="I58" s="175">
        <f>IFERROR(VLOOKUP($B58,'Amort Inv Inic'!$B$7:$AN$67,I$1,0),0)+IFERROR(VLOOKUP($B58,'Amort Inv Adic'!$B$7:$BU$67,I$2,0),0)</f>
        <v>70418663</v>
      </c>
      <c r="J58" s="175">
        <f t="shared" si="5"/>
        <v>37060337</v>
      </c>
      <c r="K58" s="175">
        <f>IFERROR(VLOOKUP($B58,'Amort Inv Inic'!$B$7:$AN$67,K$1,0),0)+IFERROR(VLOOKUP($B58,'Amort Inv Adic'!$B$7:$BU$67,K$2,0),0)</f>
        <v>89711000</v>
      </c>
      <c r="L58" s="175">
        <f>IFERROR(VLOOKUP($B58,'Amort Inv Inic'!$B$7:$AN$67,L$1,0),0)+IFERROR(VLOOKUP($B58,'Amort Inv Adic'!$B$7:$BU$67,L$2,0),0)</f>
        <v>75786218</v>
      </c>
      <c r="M58" s="175">
        <f t="shared" si="6"/>
        <v>13924782</v>
      </c>
      <c r="N58" s="377">
        <f t="shared" si="7"/>
        <v>50985119</v>
      </c>
      <c r="O58" s="378">
        <f t="shared" si="8"/>
        <v>379681062.5753994</v>
      </c>
      <c r="P58" s="178">
        <f>IF(VLOOKUP($B58,'Ppto-Mes'!$B$8:$AX$68,P$2,0)&lt;0,-VLOOKUP($B58,'Ppto-Mes'!$B$8:$AX$68,P$2,0),0)</f>
        <v>0</v>
      </c>
      <c r="Q58" s="175">
        <f>VLOOKUP($B58,'Financ 1'!$B$15:$P$75,Q$2,0)</f>
        <v>0</v>
      </c>
      <c r="R58" s="175">
        <f>VLOOKUP($B58,'Financ 2'!$B$15:$P$75,R$2,0)</f>
        <v>0</v>
      </c>
      <c r="S58" s="175">
        <f>VLOOKUP($B58,'Financ 3'!$B$15:$P$75,S$2,0)</f>
        <v>119000000</v>
      </c>
      <c r="T58" s="178">
        <f>VLOOKUP($B58,'Ppto-Mes'!$B$8:$AX$68,T$2,0)</f>
        <v>22084000</v>
      </c>
      <c r="U58" s="175">
        <f>VLOOKUP($B58,'Gtos Consultores'!$B$9:$AI$69,U$2,0)</f>
        <v>2795831</v>
      </c>
      <c r="V58" s="175">
        <f>IF($V$1=0,0,IF($V$1=1,IFERROR(HLOOKUP(YEAR($B58),'Gastos Proyect'!$B$4:$F$17,14,0),0),IFERROR(HLOOKUP(YEAR($B57),'Gastos Proyect'!$B$4:$F$17,14,0),0)+IFERROR(HLOOKUP(YEAR($B58),'Gastos Proyect'!$B$4:$F$17,14,0),0)))</f>
        <v>0</v>
      </c>
      <c r="W58" s="377">
        <f t="shared" si="16"/>
        <v>143879831</v>
      </c>
      <c r="X58" s="175">
        <f t="shared" si="15"/>
        <v>50000000</v>
      </c>
      <c r="Y58" s="178">
        <f>IF(MONTH($B58)=12,IF(Y57+ROUND(VLOOKUP($B58,'Ppto-Mes'!$B$8:$AX$68,Y$2,0)*10%,-3)&lt;=50%*X57,Y57+ROUND(VLOOKUP($B58,'Ppto-Mes'!$B$8:$AX$68,Y$2,0)*10%,-3),50%*X57),Y57)</f>
        <v>17536000</v>
      </c>
      <c r="Z58" s="178">
        <f>VLOOKUP($B58,'Ppto-Mes'!$B$8:$AX$68,Z$2,0)-(Y58-Y57)</f>
        <v>10442969.513300002</v>
      </c>
      <c r="AA58" s="175">
        <f t="shared" si="17"/>
        <v>157822262.0620994</v>
      </c>
      <c r="AB58" s="376">
        <f t="shared" si="9"/>
        <v>235801231.5753994</v>
      </c>
      <c r="AC58" s="378">
        <f t="shared" si="10"/>
        <v>379681062.5753994</v>
      </c>
      <c r="AD58" s="175">
        <f t="shared" si="18"/>
        <v>0</v>
      </c>
      <c r="AF58" s="175">
        <f t="shared" si="19"/>
        <v>129557684.25665</v>
      </c>
      <c r="AG58" s="175">
        <f t="shared" si="20"/>
        <v>0</v>
      </c>
      <c r="AH58" s="175">
        <f t="shared" si="21"/>
        <v>0</v>
      </c>
      <c r="AI58" s="175">
        <f t="shared" si="22"/>
        <v>0</v>
      </c>
    </row>
    <row r="59" spans="1:35" x14ac:dyDescent="0.35">
      <c r="A59" s="18">
        <v>51</v>
      </c>
      <c r="B59" s="184">
        <v>43555</v>
      </c>
      <c r="C59" s="331">
        <f t="shared" si="3"/>
        <v>2019</v>
      </c>
      <c r="D59" s="178">
        <f>IF(VLOOKUP($B59,'Ppto-Mes'!$B$8:$AX$68,D$2,0)&gt;0,VLOOKUP($B59,'Ppto-Mes'!$B$8:$AX$68,D$2,0),0)</f>
        <v>49767875.8320494</v>
      </c>
      <c r="E59" s="175">
        <f>IFERROR(VLOOKUP($B59,'Inv Temp'!$B$7:$I$67,E$2,0),0)</f>
        <v>0</v>
      </c>
      <c r="F59" s="175">
        <f>IF($F$1=0,0,IF($F$1=1,IFERROR(HLOOKUP(YEAR($B59),'Ing Proyect'!$B$6:$G$12,6,0),0),IFERROR(HLOOKUP(YEAR($B58),'Ing Proyect'!$B$6:$G$12,6,0),0)+IFERROR(HLOOKUP(YEAR($B59),'Ing Proyect'!$B$6:$G$12,6,0),0)))</f>
        <v>171228000</v>
      </c>
      <c r="G59" s="376">
        <f t="shared" si="4"/>
        <v>220995875.8320494</v>
      </c>
      <c r="H59" s="175">
        <f>IFERROR(VLOOKUP($B59,'Amort Inv Inic'!$B$7:$AN$67,H$1,0),0)+IFERROR(VLOOKUP($B59,'Amort Inv Adic'!$B$7:$BU$67,H$2,0),0)</f>
        <v>107479000</v>
      </c>
      <c r="I59" s="175">
        <f>IFERROR(VLOOKUP($B59,'Amort Inv Inic'!$B$7:$AN$67,I$1,0),0)+IFERROR(VLOOKUP($B59,'Amort Inv Adic'!$B$7:$BU$67,I$2,0),0)</f>
        <v>72157830</v>
      </c>
      <c r="J59" s="175">
        <f t="shared" si="5"/>
        <v>35321170</v>
      </c>
      <c r="K59" s="175">
        <f>IFERROR(VLOOKUP($B59,'Amort Inv Inic'!$B$7:$AN$67,K$1,0),0)+IFERROR(VLOOKUP($B59,'Amort Inv Adic'!$B$7:$BU$67,K$2,0),0)</f>
        <v>89711000</v>
      </c>
      <c r="L59" s="175">
        <f>IFERROR(VLOOKUP($B59,'Amort Inv Inic'!$B$7:$AN$67,L$1,0),0)+IFERROR(VLOOKUP($B59,'Amort Inv Adic'!$B$7:$BU$67,L$2,0),0)</f>
        <v>77291330</v>
      </c>
      <c r="M59" s="175">
        <f t="shared" si="6"/>
        <v>12419670</v>
      </c>
      <c r="N59" s="377">
        <f t="shared" si="7"/>
        <v>47740840</v>
      </c>
      <c r="O59" s="378">
        <f t="shared" si="8"/>
        <v>268736715.83204937</v>
      </c>
      <c r="P59" s="178">
        <f>IF(VLOOKUP($B59,'Ppto-Mes'!$B$8:$AX$68,P$2,0)&lt;0,-VLOOKUP($B59,'Ppto-Mes'!$B$8:$AX$68,P$2,0),0)</f>
        <v>0</v>
      </c>
      <c r="Q59" s="175">
        <f>VLOOKUP($B59,'Financ 1'!$B$15:$P$75,Q$2,0)</f>
        <v>0</v>
      </c>
      <c r="R59" s="175">
        <f>VLOOKUP($B59,'Financ 2'!$B$15:$P$75,R$2,0)</f>
        <v>0</v>
      </c>
      <c r="S59" s="175">
        <f>VLOOKUP($B59,'Financ 3'!$B$15:$P$75,S$2,0)</f>
        <v>0</v>
      </c>
      <c r="T59" s="178">
        <f>VLOOKUP($B59,'Ppto-Mes'!$B$8:$AX$68,T$2,0)</f>
        <v>23932000</v>
      </c>
      <c r="U59" s="175">
        <f>VLOOKUP($B59,'Gtos Consultores'!$B$9:$AI$69,U$2,0)</f>
        <v>4193752</v>
      </c>
      <c r="V59" s="175">
        <f>IF($V$1=0,0,IF($V$1=1,IFERROR(HLOOKUP(YEAR($B59),'Gastos Proyect'!$B$4:$F$17,14,0),0),IFERROR(HLOOKUP(YEAR($B58),'Gastos Proyect'!$B$4:$F$17,14,0),0)+IFERROR(HLOOKUP(YEAR($B59),'Gastos Proyect'!$B$4:$F$17,14,0),0)))</f>
        <v>0</v>
      </c>
      <c r="W59" s="377">
        <f t="shared" si="16"/>
        <v>28125752</v>
      </c>
      <c r="X59" s="175">
        <f t="shared" si="15"/>
        <v>50000000</v>
      </c>
      <c r="Y59" s="178">
        <f>IF(MONTH($B59)=12,IF(Y58+ROUND(VLOOKUP($B59,'Ppto-Mes'!$B$8:$AX$68,Y$2,0)*10%,-3)&lt;=50%*X58,Y58+ROUND(VLOOKUP($B59,'Ppto-Mes'!$B$8:$AX$68,Y$2,0)*10%,-3),50%*X58),Y58)</f>
        <v>17536000</v>
      </c>
      <c r="Z59" s="178">
        <f>VLOOKUP($B59,'Ppto-Mes'!$B$8:$AX$68,Z$2,0)-(Y59-Y58)</f>
        <v>15252701.769950002</v>
      </c>
      <c r="AA59" s="175">
        <f t="shared" si="17"/>
        <v>157822262.0620994</v>
      </c>
      <c r="AB59" s="376">
        <f t="shared" si="9"/>
        <v>240610963.8320494</v>
      </c>
      <c r="AC59" s="378">
        <f t="shared" si="10"/>
        <v>268736715.83204937</v>
      </c>
      <c r="AD59" s="175">
        <f t="shared" si="18"/>
        <v>0</v>
      </c>
      <c r="AF59" s="175">
        <f t="shared" si="19"/>
        <v>-107700067.74335</v>
      </c>
      <c r="AG59" s="175">
        <f t="shared" si="20"/>
        <v>0</v>
      </c>
      <c r="AH59" s="175">
        <f t="shared" si="21"/>
        <v>0</v>
      </c>
      <c r="AI59" s="175">
        <f t="shared" si="22"/>
        <v>0</v>
      </c>
    </row>
    <row r="60" spans="1:35" x14ac:dyDescent="0.35">
      <c r="A60" s="18">
        <v>52</v>
      </c>
      <c r="B60" s="184">
        <v>43585</v>
      </c>
      <c r="C60" s="331">
        <f t="shared" si="3"/>
        <v>2019</v>
      </c>
      <c r="D60" s="178">
        <f>IF(VLOOKUP($B60,'Ppto-Mes'!$B$8:$AX$68,D$2,0)&gt;0,VLOOKUP($B60,'Ppto-Mes'!$B$8:$AX$68,D$2,0),0)</f>
        <v>159311060.0886994</v>
      </c>
      <c r="E60" s="175">
        <f>IFERROR(VLOOKUP($B60,'Inv Temp'!$B$7:$I$67,E$2,0),0)</f>
        <v>0</v>
      </c>
      <c r="F60" s="175">
        <f>IF($F$1=0,0,IF($F$1=1,IFERROR(HLOOKUP(YEAR($B60),'Ing Proyect'!$B$6:$G$12,6,0),0),IFERROR(HLOOKUP(YEAR($B59),'Ing Proyect'!$B$6:$G$12,6,0),0)+IFERROR(HLOOKUP(YEAR($B60),'Ing Proyect'!$B$6:$G$12,6,0),0)))</f>
        <v>171228000</v>
      </c>
      <c r="G60" s="376">
        <f t="shared" si="4"/>
        <v>330539060.0886994</v>
      </c>
      <c r="H60" s="175">
        <f>IFERROR(VLOOKUP($B60,'Amort Inv Inic'!$B$7:$AN$67,H$1,0),0)+IFERROR(VLOOKUP($B60,'Amort Inv Adic'!$B$7:$BU$67,H$2,0),0)</f>
        <v>107479000</v>
      </c>
      <c r="I60" s="175">
        <f>IFERROR(VLOOKUP($B60,'Amort Inv Inic'!$B$7:$AN$67,I$1,0),0)+IFERROR(VLOOKUP($B60,'Amort Inv Adic'!$B$7:$BU$67,I$2,0),0)</f>
        <v>73896996</v>
      </c>
      <c r="J60" s="175">
        <f t="shared" si="5"/>
        <v>33582004</v>
      </c>
      <c r="K60" s="175">
        <f>IFERROR(VLOOKUP($B60,'Amort Inv Inic'!$B$7:$AN$67,K$1,0),0)+IFERROR(VLOOKUP($B60,'Amort Inv Adic'!$B$7:$BU$67,K$2,0),0)</f>
        <v>89711000</v>
      </c>
      <c r="L60" s="175">
        <f>IFERROR(VLOOKUP($B60,'Amort Inv Inic'!$B$7:$AN$67,L$1,0),0)+IFERROR(VLOOKUP($B60,'Amort Inv Adic'!$B$7:$BU$67,L$2,0),0)</f>
        <v>78796440</v>
      </c>
      <c r="M60" s="175">
        <f t="shared" si="6"/>
        <v>10914560</v>
      </c>
      <c r="N60" s="377">
        <f t="shared" si="7"/>
        <v>44496564</v>
      </c>
      <c r="O60" s="378">
        <f t="shared" si="8"/>
        <v>375035624.0886994</v>
      </c>
      <c r="P60" s="178">
        <f>IF(VLOOKUP($B60,'Ppto-Mes'!$B$8:$AX$68,P$2,0)&lt;0,-VLOOKUP($B60,'Ppto-Mes'!$B$8:$AX$68,P$2,0),0)</f>
        <v>0</v>
      </c>
      <c r="Q60" s="175">
        <f>VLOOKUP($B60,'Financ 1'!$B$15:$P$75,Q$2,0)</f>
        <v>0</v>
      </c>
      <c r="R60" s="175">
        <f>VLOOKUP($B60,'Financ 2'!$B$15:$P$75,R$2,0)</f>
        <v>0</v>
      </c>
      <c r="S60" s="175">
        <f>VLOOKUP($B60,'Financ 3'!$B$15:$P$75,S$2,0)</f>
        <v>106000000</v>
      </c>
      <c r="T60" s="178">
        <f>VLOOKUP($B60,'Ppto-Mes'!$B$8:$AX$68,T$2,0)</f>
        <v>17098000</v>
      </c>
      <c r="U60" s="175">
        <f>VLOOKUP($B60,'Gtos Consultores'!$B$9:$AI$69,U$2,0)</f>
        <v>5591673</v>
      </c>
      <c r="V60" s="175">
        <f>IF($V$1=0,0,IF($V$1=1,IFERROR(HLOOKUP(YEAR($B60),'Gastos Proyect'!$B$4:$F$17,14,0),0),IFERROR(HLOOKUP(YEAR($B59),'Gastos Proyect'!$B$4:$F$17,14,0),0)+IFERROR(HLOOKUP(YEAR($B60),'Gastos Proyect'!$B$4:$F$17,14,0),0)))</f>
        <v>0</v>
      </c>
      <c r="W60" s="377">
        <f t="shared" si="16"/>
        <v>128689673</v>
      </c>
      <c r="X60" s="175">
        <f t="shared" si="15"/>
        <v>50000000</v>
      </c>
      <c r="Y60" s="178">
        <f>IF(MONTH($B60)=12,IF(Y59+ROUND(VLOOKUP($B60,'Ppto-Mes'!$B$8:$AX$68,Y$2,0)*10%,-3)&lt;=50%*X59,Y59+ROUND(VLOOKUP($B60,'Ppto-Mes'!$B$8:$AX$68,Y$2,0)*10%,-3),50%*X59),Y59)</f>
        <v>17536000</v>
      </c>
      <c r="Z60" s="178">
        <f>VLOOKUP($B60,'Ppto-Mes'!$B$8:$AX$68,Z$2,0)-(Y60-Y59)</f>
        <v>20987689.026600003</v>
      </c>
      <c r="AA60" s="175">
        <f t="shared" si="17"/>
        <v>157822262.0620994</v>
      </c>
      <c r="AB60" s="376">
        <f t="shared" si="9"/>
        <v>246345951.0886994</v>
      </c>
      <c r="AC60" s="378">
        <f t="shared" si="10"/>
        <v>375035624.0886994</v>
      </c>
      <c r="AD60" s="175">
        <f t="shared" si="18"/>
        <v>0</v>
      </c>
      <c r="AF60" s="175">
        <f t="shared" si="19"/>
        <v>109543184.25665</v>
      </c>
      <c r="AG60" s="175">
        <f t="shared" si="20"/>
        <v>0</v>
      </c>
      <c r="AH60" s="175">
        <f t="shared" si="21"/>
        <v>0</v>
      </c>
      <c r="AI60" s="175">
        <f t="shared" si="22"/>
        <v>0</v>
      </c>
    </row>
    <row r="61" spans="1:35" x14ac:dyDescent="0.35">
      <c r="A61" s="18">
        <v>53</v>
      </c>
      <c r="B61" s="184">
        <v>43616</v>
      </c>
      <c r="C61" s="331">
        <f t="shared" si="3"/>
        <v>2019</v>
      </c>
      <c r="D61" s="178">
        <f>IF(VLOOKUP($B61,'Ppto-Mes'!$B$8:$AX$68,D$2,0)&gt;0,VLOOKUP($B61,'Ppto-Mes'!$B$8:$AX$68,D$2,0),0)</f>
        <v>64728952.345349401</v>
      </c>
      <c r="E61" s="175">
        <f>IFERROR(VLOOKUP($B61,'Inv Temp'!$B$7:$I$67,E$2,0),0)</f>
        <v>0</v>
      </c>
      <c r="F61" s="175">
        <f>IF($F$1=0,0,IF($F$1=1,IFERROR(HLOOKUP(YEAR($B61),'Ing Proyect'!$B$6:$G$12,6,0),0),IFERROR(HLOOKUP(YEAR($B60),'Ing Proyect'!$B$6:$G$12,6,0),0)+IFERROR(HLOOKUP(YEAR($B61),'Ing Proyect'!$B$6:$G$12,6,0),0)))</f>
        <v>171228000</v>
      </c>
      <c r="G61" s="376">
        <f t="shared" si="4"/>
        <v>235956952.3453494</v>
      </c>
      <c r="H61" s="175">
        <f>IFERROR(VLOOKUP($B61,'Amort Inv Inic'!$B$7:$AN$67,H$1,0),0)+IFERROR(VLOOKUP($B61,'Amort Inv Adic'!$B$7:$BU$67,H$2,0),0)</f>
        <v>107479000</v>
      </c>
      <c r="I61" s="175">
        <f>IFERROR(VLOOKUP($B61,'Amort Inv Inic'!$B$7:$AN$67,I$1,0),0)+IFERROR(VLOOKUP($B61,'Amort Inv Adic'!$B$7:$BU$67,I$2,0),0)</f>
        <v>75636163</v>
      </c>
      <c r="J61" s="175">
        <f t="shared" si="5"/>
        <v>31842837</v>
      </c>
      <c r="K61" s="175">
        <f>IFERROR(VLOOKUP($B61,'Amort Inv Inic'!$B$7:$AN$67,K$1,0),0)+IFERROR(VLOOKUP($B61,'Amort Inv Adic'!$B$7:$BU$67,K$2,0),0)</f>
        <v>89711000</v>
      </c>
      <c r="L61" s="175">
        <f>IFERROR(VLOOKUP($B61,'Amort Inv Inic'!$B$7:$AN$67,L$1,0),0)+IFERROR(VLOOKUP($B61,'Amort Inv Adic'!$B$7:$BU$67,L$2,0),0)</f>
        <v>80301553</v>
      </c>
      <c r="M61" s="175">
        <f t="shared" si="6"/>
        <v>9409447</v>
      </c>
      <c r="N61" s="377">
        <f t="shared" si="7"/>
        <v>41252284</v>
      </c>
      <c r="O61" s="378">
        <f t="shared" si="8"/>
        <v>277209236.34534943</v>
      </c>
      <c r="P61" s="178">
        <f>IF(VLOOKUP($B61,'Ppto-Mes'!$B$8:$AX$68,P$2,0)&lt;0,-VLOOKUP($B61,'Ppto-Mes'!$B$8:$AX$68,P$2,0),0)</f>
        <v>0</v>
      </c>
      <c r="Q61" s="175">
        <f>VLOOKUP($B61,'Financ 1'!$B$15:$P$75,Q$2,0)</f>
        <v>0</v>
      </c>
      <c r="R61" s="175">
        <f>VLOOKUP($B61,'Financ 2'!$B$15:$P$75,R$2,0)</f>
        <v>0</v>
      </c>
      <c r="S61" s="175">
        <f>VLOOKUP($B61,'Financ 3'!$B$15:$P$75,S$2,0)</f>
        <v>0</v>
      </c>
      <c r="T61" s="178">
        <f>VLOOKUP($B61,'Ppto-Mes'!$B$8:$AX$68,T$2,0)</f>
        <v>18979000</v>
      </c>
      <c r="U61" s="175">
        <f>VLOOKUP($B61,'Gtos Consultores'!$B$9:$AI$69,U$2,0)</f>
        <v>6989594</v>
      </c>
      <c r="V61" s="175">
        <f>IF($V$1=0,0,IF($V$1=1,IFERROR(HLOOKUP(YEAR($B61),'Gastos Proyect'!$B$4:$F$17,14,0),0),IFERROR(HLOOKUP(YEAR($B60),'Gastos Proyect'!$B$4:$F$17,14,0),0)+IFERROR(HLOOKUP(YEAR($B61),'Gastos Proyect'!$B$4:$F$17,14,0),0)))</f>
        <v>0</v>
      </c>
      <c r="W61" s="377">
        <f t="shared" si="16"/>
        <v>25968594</v>
      </c>
      <c r="X61" s="175">
        <f t="shared" si="15"/>
        <v>50000000</v>
      </c>
      <c r="Y61" s="178">
        <f>IF(MONTH($B61)=12,IF(Y60+ROUND(VLOOKUP($B61,'Ppto-Mes'!$B$8:$AX$68,Y$2,0)*10%,-3)&lt;=50%*X60,Y60+ROUND(VLOOKUP($B61,'Ppto-Mes'!$B$8:$AX$68,Y$2,0)*10%,-3),50%*X60),Y60)</f>
        <v>17536000</v>
      </c>
      <c r="Z61" s="178">
        <f>VLOOKUP($B61,'Ppto-Mes'!$B$8:$AX$68,Z$2,0)-(Y61-Y60)</f>
        <v>25882380.283250004</v>
      </c>
      <c r="AA61" s="175">
        <f t="shared" si="17"/>
        <v>157822262.0620994</v>
      </c>
      <c r="AB61" s="376">
        <f t="shared" si="9"/>
        <v>251240642.3453494</v>
      </c>
      <c r="AC61" s="378">
        <f t="shared" si="10"/>
        <v>277209236.34534943</v>
      </c>
      <c r="AD61" s="175">
        <f t="shared" si="18"/>
        <v>0</v>
      </c>
      <c r="AF61" s="175">
        <f t="shared" si="19"/>
        <v>-94582107.743349999</v>
      </c>
      <c r="AG61" s="175">
        <f t="shared" si="20"/>
        <v>0</v>
      </c>
      <c r="AH61" s="175">
        <f t="shared" si="21"/>
        <v>0</v>
      </c>
      <c r="AI61" s="175">
        <f t="shared" si="22"/>
        <v>0</v>
      </c>
    </row>
    <row r="62" spans="1:35" x14ac:dyDescent="0.35">
      <c r="A62" s="18">
        <v>54</v>
      </c>
      <c r="B62" s="184">
        <v>43646</v>
      </c>
      <c r="C62" s="331">
        <f t="shared" si="3"/>
        <v>2019</v>
      </c>
      <c r="D62" s="178">
        <f>IF(VLOOKUP($B62,'Ppto-Mes'!$B$8:$AX$68,D$2,0)&gt;0,VLOOKUP($B62,'Ppto-Mes'!$B$8:$AX$68,D$2,0),0)</f>
        <v>159530755.6019994</v>
      </c>
      <c r="E62" s="175">
        <f>IFERROR(VLOOKUP($B62,'Inv Temp'!$B$7:$I$67,E$2,0),0)</f>
        <v>0</v>
      </c>
      <c r="F62" s="175">
        <f>IF($F$1=0,0,IF($F$1=1,IFERROR(HLOOKUP(YEAR($B62),'Ing Proyect'!$B$6:$G$12,6,0),0),IFERROR(HLOOKUP(YEAR($B61),'Ing Proyect'!$B$6:$G$12,6,0),0)+IFERROR(HLOOKUP(YEAR($B62),'Ing Proyect'!$B$6:$G$12,6,0),0)))</f>
        <v>171228000</v>
      </c>
      <c r="G62" s="376">
        <f t="shared" si="4"/>
        <v>330758755.6019994</v>
      </c>
      <c r="H62" s="175">
        <f>IFERROR(VLOOKUP($B62,'Amort Inv Inic'!$B$7:$AN$67,H$1,0),0)+IFERROR(VLOOKUP($B62,'Amort Inv Adic'!$B$7:$BU$67,H$2,0),0)</f>
        <v>107479000</v>
      </c>
      <c r="I62" s="175">
        <f>IFERROR(VLOOKUP($B62,'Amort Inv Inic'!$B$7:$AN$67,I$1,0),0)+IFERROR(VLOOKUP($B62,'Amort Inv Adic'!$B$7:$BU$67,I$2,0),0)</f>
        <v>77375329</v>
      </c>
      <c r="J62" s="175">
        <f t="shared" si="5"/>
        <v>30103671</v>
      </c>
      <c r="K62" s="175">
        <f>IFERROR(VLOOKUP($B62,'Amort Inv Inic'!$B$7:$AN$67,K$1,0),0)+IFERROR(VLOOKUP($B62,'Amort Inv Adic'!$B$7:$BU$67,K$2,0),0)</f>
        <v>98496000</v>
      </c>
      <c r="L62" s="175">
        <f>IFERROR(VLOOKUP($B62,'Amort Inv Inic'!$B$7:$AN$67,L$1,0),0)+IFERROR(VLOOKUP($B62,'Amort Inv Adic'!$B$7:$BU$67,L$2,0),0)</f>
        <v>81806663</v>
      </c>
      <c r="M62" s="175">
        <f t="shared" si="6"/>
        <v>16689337</v>
      </c>
      <c r="N62" s="377">
        <f t="shared" si="7"/>
        <v>46793008</v>
      </c>
      <c r="O62" s="378">
        <f t="shared" si="8"/>
        <v>377551763.6019994</v>
      </c>
      <c r="P62" s="178">
        <f>IF(VLOOKUP($B62,'Ppto-Mes'!$B$8:$AX$68,P$2,0)&lt;0,-VLOOKUP($B62,'Ppto-Mes'!$B$8:$AX$68,P$2,0),0)</f>
        <v>0</v>
      </c>
      <c r="Q62" s="175">
        <f>VLOOKUP($B62,'Financ 1'!$B$15:$P$75,Q$2,0)</f>
        <v>0</v>
      </c>
      <c r="R62" s="175">
        <f>VLOOKUP($B62,'Financ 2'!$B$15:$P$75,R$2,0)</f>
        <v>0</v>
      </c>
      <c r="S62" s="175">
        <f>VLOOKUP($B62,'Financ 3'!$B$15:$P$75,S$2,0)</f>
        <v>104000000</v>
      </c>
      <c r="T62" s="178">
        <f>VLOOKUP($B62,'Ppto-Mes'!$B$8:$AX$68,T$2,0)</f>
        <v>12145000</v>
      </c>
      <c r="U62" s="175">
        <f>VLOOKUP($B62,'Gtos Consultores'!$B$9:$AI$69,U$2,0)</f>
        <v>4431134</v>
      </c>
      <c r="V62" s="175">
        <f>IF($V$1=0,0,IF($V$1=1,IFERROR(HLOOKUP(YEAR($B62),'Gastos Proyect'!$B$4:$F$17,14,0),0),IFERROR(HLOOKUP(YEAR($B61),'Gastos Proyect'!$B$4:$F$17,14,0),0)+IFERROR(HLOOKUP(YEAR($B62),'Gastos Proyect'!$B$4:$F$17,14,0),0)))</f>
        <v>0</v>
      </c>
      <c r="W62" s="377">
        <f t="shared" si="16"/>
        <v>120576134</v>
      </c>
      <c r="X62" s="175">
        <f t="shared" si="15"/>
        <v>50000000</v>
      </c>
      <c r="Y62" s="178">
        <f>IF(MONTH($B62)=12,IF(Y61+ROUND(VLOOKUP($B62,'Ppto-Mes'!$B$8:$AX$68,Y$2,0)*10%,-3)&lt;=50%*X61,Y61+ROUND(VLOOKUP($B62,'Ppto-Mes'!$B$8:$AX$68,Y$2,0)*10%,-3),50%*X61),Y61)</f>
        <v>17536000</v>
      </c>
      <c r="Z62" s="178">
        <f>VLOOKUP($B62,'Ppto-Mes'!$B$8:$AX$68,Z$2,0)-(Y62-Y61)</f>
        <v>31617367.539900005</v>
      </c>
      <c r="AA62" s="175">
        <f t="shared" si="17"/>
        <v>157822262.0620994</v>
      </c>
      <c r="AB62" s="376">
        <f t="shared" si="9"/>
        <v>256975629.6019994</v>
      </c>
      <c r="AC62" s="378">
        <f t="shared" si="10"/>
        <v>377551763.6019994</v>
      </c>
      <c r="AD62" s="175">
        <f t="shared" si="18"/>
        <v>0</v>
      </c>
      <c r="AF62" s="175">
        <f t="shared" si="19"/>
        <v>94801803.256650001</v>
      </c>
      <c r="AG62" s="175">
        <f t="shared" si="20"/>
        <v>0</v>
      </c>
      <c r="AH62" s="175">
        <f t="shared" si="21"/>
        <v>8785000</v>
      </c>
      <c r="AI62" s="175">
        <f t="shared" si="22"/>
        <v>0</v>
      </c>
    </row>
    <row r="63" spans="1:35" x14ac:dyDescent="0.35">
      <c r="A63" s="18">
        <v>55</v>
      </c>
      <c r="B63" s="184">
        <v>43677</v>
      </c>
      <c r="C63" s="331">
        <f t="shared" si="3"/>
        <v>2019</v>
      </c>
      <c r="D63" s="178">
        <f>IF(VLOOKUP($B63,'Ppto-Mes'!$B$8:$AX$68,D$2,0)&gt;0,VLOOKUP($B63,'Ppto-Mes'!$B$8:$AX$68,D$2,0),0)</f>
        <v>66949224.858649403</v>
      </c>
      <c r="E63" s="175">
        <f>IFERROR(VLOOKUP($B63,'Inv Temp'!$B$7:$I$67,E$2,0),0)</f>
        <v>0</v>
      </c>
      <c r="F63" s="175">
        <f>IF($F$1=0,0,IF($F$1=1,IFERROR(HLOOKUP(YEAR($B63),'Ing Proyect'!$B$6:$G$12,6,0),0),IFERROR(HLOOKUP(YEAR($B62),'Ing Proyect'!$B$6:$G$12,6,0),0)+IFERROR(HLOOKUP(YEAR($B63),'Ing Proyect'!$B$6:$G$12,6,0),0)))</f>
        <v>171228000</v>
      </c>
      <c r="G63" s="376">
        <f t="shared" si="4"/>
        <v>238177224.8586494</v>
      </c>
      <c r="H63" s="175">
        <f>IFERROR(VLOOKUP($B63,'Amort Inv Inic'!$B$7:$AN$67,H$1,0),0)+IFERROR(VLOOKUP($B63,'Amort Inv Adic'!$B$7:$BU$67,H$2,0),0)</f>
        <v>107479000</v>
      </c>
      <c r="I63" s="175">
        <f>IFERROR(VLOOKUP($B63,'Amort Inv Inic'!$B$7:$AN$67,I$1,0),0)+IFERROR(VLOOKUP($B63,'Amort Inv Adic'!$B$7:$BU$67,I$2,0),0)</f>
        <v>79114496</v>
      </c>
      <c r="J63" s="175">
        <f t="shared" si="5"/>
        <v>28364504</v>
      </c>
      <c r="K63" s="175">
        <f>IFERROR(VLOOKUP($B63,'Amort Inv Inic'!$B$7:$AN$67,K$1,0),0)+IFERROR(VLOOKUP($B63,'Amort Inv Adic'!$B$7:$BU$67,K$2,0),0)</f>
        <v>98496000</v>
      </c>
      <c r="L63" s="175">
        <f>IFERROR(VLOOKUP($B63,'Amort Inv Inic'!$B$7:$AN$67,L$1,0),0)+IFERROR(VLOOKUP($B63,'Amort Inv Adic'!$B$7:$BU$67,L$2,0),0)</f>
        <v>83378359</v>
      </c>
      <c r="M63" s="175">
        <f t="shared" si="6"/>
        <v>15117641</v>
      </c>
      <c r="N63" s="377">
        <f t="shared" si="7"/>
        <v>43482145</v>
      </c>
      <c r="O63" s="378">
        <f t="shared" si="8"/>
        <v>281659369.85864937</v>
      </c>
      <c r="P63" s="178">
        <f>IF(VLOOKUP($B63,'Ppto-Mes'!$B$8:$AX$68,P$2,0)&lt;0,-VLOOKUP($B63,'Ppto-Mes'!$B$8:$AX$68,P$2,0),0)</f>
        <v>0</v>
      </c>
      <c r="Q63" s="175">
        <f>VLOOKUP($B63,'Financ 1'!$B$15:$P$75,Q$2,0)</f>
        <v>0</v>
      </c>
      <c r="R63" s="175">
        <f>VLOOKUP($B63,'Financ 2'!$B$15:$P$75,R$2,0)</f>
        <v>0</v>
      </c>
      <c r="S63" s="175">
        <f>VLOOKUP($B63,'Financ 3'!$B$15:$P$75,S$2,0)</f>
        <v>0</v>
      </c>
      <c r="T63" s="178">
        <f>VLOOKUP($B63,'Ppto-Mes'!$B$8:$AX$68,T$2,0)</f>
        <v>14007000</v>
      </c>
      <c r="U63" s="175">
        <f>VLOOKUP($B63,'Gtos Consultores'!$B$9:$AI$69,U$2,0)</f>
        <v>5829055</v>
      </c>
      <c r="V63" s="175">
        <f>IF($V$1=0,0,IF($V$1=1,IFERROR(HLOOKUP(YEAR($B63),'Gastos Proyect'!$B$4:$F$17,14,0),0),IFERROR(HLOOKUP(YEAR($B62),'Gastos Proyect'!$B$4:$F$17,14,0),0)+IFERROR(HLOOKUP(YEAR($B63),'Gastos Proyect'!$B$4:$F$17,14,0),0)))</f>
        <v>0</v>
      </c>
      <c r="W63" s="377">
        <f t="shared" si="16"/>
        <v>19836055</v>
      </c>
      <c r="X63" s="175">
        <f t="shared" si="15"/>
        <v>50000000</v>
      </c>
      <c r="Y63" s="178">
        <f>IF(MONTH($B63)=12,IF(Y62+ROUND(VLOOKUP($B63,'Ppto-Mes'!$B$8:$AX$68,Y$2,0)*10%,-3)&lt;=50%*X62,Y62+ROUND(VLOOKUP($B63,'Ppto-Mes'!$B$8:$AX$68,Y$2,0)*10%,-3),50%*X62),Y62)</f>
        <v>17536000</v>
      </c>
      <c r="Z63" s="178">
        <f>VLOOKUP($B63,'Ppto-Mes'!$B$8:$AX$68,Z$2,0)-(Y63-Y62)</f>
        <v>36465052.796550006</v>
      </c>
      <c r="AA63" s="175">
        <f t="shared" si="17"/>
        <v>157822262.0620994</v>
      </c>
      <c r="AB63" s="376">
        <f t="shared" si="9"/>
        <v>261823314.8586494</v>
      </c>
      <c r="AC63" s="378">
        <f t="shared" si="10"/>
        <v>281659369.85864937</v>
      </c>
      <c r="AD63" s="175">
        <f t="shared" si="18"/>
        <v>0</v>
      </c>
      <c r="AF63" s="175">
        <f t="shared" si="19"/>
        <v>-92581530.743349999</v>
      </c>
      <c r="AG63" s="175">
        <f t="shared" si="20"/>
        <v>0</v>
      </c>
      <c r="AH63" s="175">
        <f t="shared" si="21"/>
        <v>0</v>
      </c>
      <c r="AI63" s="175">
        <f t="shared" si="22"/>
        <v>0</v>
      </c>
    </row>
    <row r="64" spans="1:35" x14ac:dyDescent="0.35">
      <c r="A64" s="18">
        <v>56</v>
      </c>
      <c r="B64" s="184">
        <v>43708</v>
      </c>
      <c r="C64" s="331">
        <f t="shared" si="3"/>
        <v>2019</v>
      </c>
      <c r="D64" s="178">
        <f>IF(VLOOKUP($B64,'Ppto-Mes'!$B$8:$AX$68,D$2,0)&gt;0,VLOOKUP($B64,'Ppto-Mes'!$B$8:$AX$68,D$2,0),0)</f>
        <v>159528409.1152994</v>
      </c>
      <c r="E64" s="175">
        <f>IFERROR(VLOOKUP($B64,'Inv Temp'!$B$7:$I$67,E$2,0),0)</f>
        <v>0</v>
      </c>
      <c r="F64" s="175">
        <f>IF($F$1=0,0,IF($F$1=1,IFERROR(HLOOKUP(YEAR($B64),'Ing Proyect'!$B$6:$G$12,6,0),0),IFERROR(HLOOKUP(YEAR($B63),'Ing Proyect'!$B$6:$G$12,6,0),0)+IFERROR(HLOOKUP(YEAR($B64),'Ing Proyect'!$B$6:$G$12,6,0),0)))</f>
        <v>171228000</v>
      </c>
      <c r="G64" s="376">
        <f t="shared" si="4"/>
        <v>330756409.1152994</v>
      </c>
      <c r="H64" s="175">
        <f>IFERROR(VLOOKUP($B64,'Amort Inv Inic'!$B$7:$AN$67,H$1,0),0)+IFERROR(VLOOKUP($B64,'Amort Inv Adic'!$B$7:$BU$67,H$2,0),0)</f>
        <v>107479000</v>
      </c>
      <c r="I64" s="175">
        <f>IFERROR(VLOOKUP($B64,'Amort Inv Inic'!$B$7:$AN$67,I$1,0),0)+IFERROR(VLOOKUP($B64,'Amort Inv Adic'!$B$7:$BU$67,I$2,0),0)</f>
        <v>80853662</v>
      </c>
      <c r="J64" s="175">
        <f t="shared" si="5"/>
        <v>26625338</v>
      </c>
      <c r="K64" s="175">
        <f>IFERROR(VLOOKUP($B64,'Amort Inv Inic'!$B$7:$AN$67,K$1,0),0)+IFERROR(VLOOKUP($B64,'Amort Inv Adic'!$B$7:$BU$67,K$2,0),0)</f>
        <v>98496000</v>
      </c>
      <c r="L64" s="175">
        <f>IFERROR(VLOOKUP($B64,'Amort Inv Inic'!$B$7:$AN$67,L$1,0),0)+IFERROR(VLOOKUP($B64,'Amort Inv Adic'!$B$7:$BU$67,L$2,0),0)</f>
        <v>84950052</v>
      </c>
      <c r="M64" s="175">
        <f t="shared" si="6"/>
        <v>13545948</v>
      </c>
      <c r="N64" s="377">
        <f t="shared" si="7"/>
        <v>40171286</v>
      </c>
      <c r="O64" s="378">
        <f t="shared" si="8"/>
        <v>370927695.1152994</v>
      </c>
      <c r="P64" s="178">
        <f>IF(VLOOKUP($B64,'Ppto-Mes'!$B$8:$AX$68,P$2,0)&lt;0,-VLOOKUP($B64,'Ppto-Mes'!$B$8:$AX$68,P$2,0),0)</f>
        <v>0</v>
      </c>
      <c r="Q64" s="175">
        <f>VLOOKUP($B64,'Financ 1'!$B$15:$P$75,Q$2,0)</f>
        <v>0</v>
      </c>
      <c r="R64" s="175">
        <f>VLOOKUP($B64,'Financ 2'!$B$15:$P$75,R$2,0)</f>
        <v>0</v>
      </c>
      <c r="S64" s="175">
        <f>VLOOKUP($B64,'Financ 3'!$B$15:$P$75,S$2,0)</f>
        <v>80000000</v>
      </c>
      <c r="T64" s="178">
        <f>VLOOKUP($B64,'Ppto-Mes'!$B$8:$AX$68,T$2,0)</f>
        <v>16191000</v>
      </c>
      <c r="U64" s="175">
        <f>VLOOKUP($B64,'Gtos Consultores'!$B$9:$AI$69,U$2,0)</f>
        <v>7226976</v>
      </c>
      <c r="V64" s="175">
        <f>IF($V$1=0,0,IF($V$1=1,IFERROR(HLOOKUP(YEAR($B64),'Gastos Proyect'!$B$4:$F$17,14,0),0),IFERROR(HLOOKUP(YEAR($B63),'Gastos Proyect'!$B$4:$F$17,14,0),0)+IFERROR(HLOOKUP(YEAR($B64),'Gastos Proyect'!$B$4:$F$17,14,0),0)))</f>
        <v>0</v>
      </c>
      <c r="W64" s="377">
        <f t="shared" si="16"/>
        <v>103417976</v>
      </c>
      <c r="X64" s="175">
        <f t="shared" si="15"/>
        <v>50000000</v>
      </c>
      <c r="Y64" s="178">
        <f>IF(MONTH($B64)=12,IF(Y63+ROUND(VLOOKUP($B64,'Ppto-Mes'!$B$8:$AX$68,Y$2,0)*10%,-3)&lt;=50%*X63,Y63+ROUND(VLOOKUP($B64,'Ppto-Mes'!$B$8:$AX$68,Y$2,0)*10%,-3),50%*X63),Y63)</f>
        <v>17536000</v>
      </c>
      <c r="Z64" s="178">
        <f>VLOOKUP($B64,'Ppto-Mes'!$B$8:$AX$68,Z$2,0)-(Y64-Y63)</f>
        <v>42151457.053200006</v>
      </c>
      <c r="AA64" s="175">
        <f t="shared" si="17"/>
        <v>157822262.0620994</v>
      </c>
      <c r="AB64" s="376">
        <f t="shared" si="9"/>
        <v>267509719.1152994</v>
      </c>
      <c r="AC64" s="378">
        <f t="shared" si="10"/>
        <v>370927695.1152994</v>
      </c>
      <c r="AD64" s="175">
        <f t="shared" si="18"/>
        <v>0</v>
      </c>
      <c r="AF64" s="175">
        <f t="shared" si="19"/>
        <v>92579184.256650001</v>
      </c>
      <c r="AG64" s="175">
        <f t="shared" si="20"/>
        <v>0</v>
      </c>
      <c r="AH64" s="175">
        <f t="shared" si="21"/>
        <v>0</v>
      </c>
      <c r="AI64" s="175">
        <f t="shared" si="22"/>
        <v>0</v>
      </c>
    </row>
    <row r="65" spans="1:35" x14ac:dyDescent="0.35">
      <c r="A65" s="18">
        <v>57</v>
      </c>
      <c r="B65" s="184">
        <v>43738</v>
      </c>
      <c r="C65" s="331">
        <f t="shared" si="3"/>
        <v>2019</v>
      </c>
      <c r="D65" s="178">
        <f>IF(VLOOKUP($B65,'Ppto-Mes'!$B$8:$AX$68,D$2,0)&gt;0,VLOOKUP($B65,'Ppto-Mes'!$B$8:$AX$68,D$2,0),0)</f>
        <v>91214736.371949404</v>
      </c>
      <c r="E65" s="175">
        <f>IFERROR(VLOOKUP($B65,'Inv Temp'!$B$7:$I$67,E$2,0),0)</f>
        <v>0</v>
      </c>
      <c r="F65" s="175">
        <f>IF($F$1=0,0,IF($F$1=1,IFERROR(HLOOKUP(YEAR($B65),'Ing Proyect'!$B$6:$G$12,6,0),0),IFERROR(HLOOKUP(YEAR($B64),'Ing Proyect'!$B$6:$G$12,6,0),0)+IFERROR(HLOOKUP(YEAR($B65),'Ing Proyect'!$B$6:$G$12,6,0),0)))</f>
        <v>171228000</v>
      </c>
      <c r="G65" s="376">
        <f t="shared" si="4"/>
        <v>262442736.3719494</v>
      </c>
      <c r="H65" s="175">
        <f>IFERROR(VLOOKUP($B65,'Amort Inv Inic'!$B$7:$AN$67,H$1,0),0)+IFERROR(VLOOKUP($B65,'Amort Inv Adic'!$B$7:$BU$67,H$2,0),0)</f>
        <v>107479000</v>
      </c>
      <c r="I65" s="175">
        <f>IFERROR(VLOOKUP($B65,'Amort Inv Inic'!$B$7:$AN$67,I$1,0),0)+IFERROR(VLOOKUP($B65,'Amort Inv Adic'!$B$7:$BU$67,I$2,0),0)</f>
        <v>82592830</v>
      </c>
      <c r="J65" s="175">
        <f t="shared" si="5"/>
        <v>24886170</v>
      </c>
      <c r="K65" s="175">
        <f>IFERROR(VLOOKUP($B65,'Amort Inv Inic'!$B$7:$AN$67,K$1,0),0)+IFERROR(VLOOKUP($B65,'Amort Inv Adic'!$B$7:$BU$67,K$2,0),0)</f>
        <v>98496000</v>
      </c>
      <c r="L65" s="175">
        <f>IFERROR(VLOOKUP($B65,'Amort Inv Inic'!$B$7:$AN$67,L$1,0),0)+IFERROR(VLOOKUP($B65,'Amort Inv Adic'!$B$7:$BU$67,L$2,0),0)</f>
        <v>86521748</v>
      </c>
      <c r="M65" s="175">
        <f t="shared" si="6"/>
        <v>11974252</v>
      </c>
      <c r="N65" s="377">
        <f t="shared" si="7"/>
        <v>36860422</v>
      </c>
      <c r="O65" s="378">
        <f t="shared" si="8"/>
        <v>299303158.37194943</v>
      </c>
      <c r="P65" s="178">
        <f>IF(VLOOKUP($B65,'Ppto-Mes'!$B$8:$AX$68,P$2,0)&lt;0,-VLOOKUP($B65,'Ppto-Mes'!$B$8:$AX$68,P$2,0),0)</f>
        <v>0</v>
      </c>
      <c r="Q65" s="175">
        <f>VLOOKUP($B65,'Financ 1'!$B$15:$P$75,Q$2,0)</f>
        <v>0</v>
      </c>
      <c r="R65" s="175">
        <f>VLOOKUP($B65,'Financ 2'!$B$15:$P$75,R$2,0)</f>
        <v>0</v>
      </c>
      <c r="S65" s="175">
        <f>VLOOKUP($B65,'Financ 3'!$B$15:$P$75,S$2,0)</f>
        <v>0</v>
      </c>
      <c r="T65" s="178">
        <f>VLOOKUP($B65,'Ppto-Mes'!$B$8:$AX$68,T$2,0)</f>
        <v>18127000</v>
      </c>
      <c r="U65" s="175">
        <f>VLOOKUP($B65,'Gtos Consultores'!$B$9:$AI$69,U$2,0)</f>
        <v>8624897</v>
      </c>
      <c r="V65" s="175">
        <f>IF($V$1=0,0,IF($V$1=1,IFERROR(HLOOKUP(YEAR($B65),'Gastos Proyect'!$B$4:$F$17,14,0),0),IFERROR(HLOOKUP(YEAR($B64),'Gastos Proyect'!$B$4:$F$17,14,0),0)+IFERROR(HLOOKUP(YEAR($B65),'Gastos Proyect'!$B$4:$F$17,14,0),0)))</f>
        <v>0</v>
      </c>
      <c r="W65" s="377">
        <f t="shared" si="16"/>
        <v>26751897</v>
      </c>
      <c r="X65" s="175">
        <f t="shared" si="15"/>
        <v>50000000</v>
      </c>
      <c r="Y65" s="178">
        <f>IF(MONTH($B65)=12,IF(Y64+ROUND(VLOOKUP($B65,'Ppto-Mes'!$B$8:$AX$68,Y$2,0)*10%,-3)&lt;=50%*X64,Y64+ROUND(VLOOKUP($B65,'Ppto-Mes'!$B$8:$AX$68,Y$2,0)*10%,-3),50%*X64),Y64)</f>
        <v>17536000</v>
      </c>
      <c r="Z65" s="178">
        <f>VLOOKUP($B65,'Ppto-Mes'!$B$8:$AX$68,Z$2,0)-(Y65-Y64)</f>
        <v>47192999.309850007</v>
      </c>
      <c r="AA65" s="175">
        <f t="shared" si="17"/>
        <v>157822262.0620994</v>
      </c>
      <c r="AB65" s="376">
        <f t="shared" si="9"/>
        <v>272551261.37194943</v>
      </c>
      <c r="AC65" s="378">
        <f t="shared" si="10"/>
        <v>299303158.37194943</v>
      </c>
      <c r="AD65" s="175">
        <f t="shared" si="18"/>
        <v>0</v>
      </c>
      <c r="AF65" s="175">
        <f t="shared" si="19"/>
        <v>-68313672.743349999</v>
      </c>
      <c r="AG65" s="175">
        <f t="shared" si="20"/>
        <v>0</v>
      </c>
      <c r="AH65" s="175">
        <f t="shared" si="21"/>
        <v>0</v>
      </c>
      <c r="AI65" s="175">
        <f t="shared" si="22"/>
        <v>0</v>
      </c>
    </row>
    <row r="66" spans="1:35" x14ac:dyDescent="0.35">
      <c r="A66" s="18">
        <v>58</v>
      </c>
      <c r="B66" s="184">
        <v>43769</v>
      </c>
      <c r="C66" s="331">
        <f t="shared" si="3"/>
        <v>2019</v>
      </c>
      <c r="D66" s="178">
        <f>IF(VLOOKUP($B66,'Ppto-Mes'!$B$8:$AX$68,D$2,0)&gt;0,VLOOKUP($B66,'Ppto-Mes'!$B$8:$AX$68,D$2,0),0)</f>
        <v>159793920.62859941</v>
      </c>
      <c r="E66" s="175">
        <f>IFERROR(VLOOKUP($B66,'Inv Temp'!$B$7:$I$67,E$2,0),0)</f>
        <v>0</v>
      </c>
      <c r="F66" s="175">
        <f>IF($F$1=0,0,IF($F$1=1,IFERROR(HLOOKUP(YEAR($B66),'Ing Proyect'!$B$6:$G$12,6,0),0),IFERROR(HLOOKUP(YEAR($B65),'Ing Proyect'!$B$6:$G$12,6,0),0)+IFERROR(HLOOKUP(YEAR($B66),'Ing Proyect'!$B$6:$G$12,6,0),0)))</f>
        <v>171228000</v>
      </c>
      <c r="G66" s="376">
        <f t="shared" si="4"/>
        <v>331021920.62859941</v>
      </c>
      <c r="H66" s="175">
        <f>IFERROR(VLOOKUP($B66,'Amort Inv Inic'!$B$7:$AN$67,H$1,0),0)+IFERROR(VLOOKUP($B66,'Amort Inv Adic'!$B$7:$BU$67,H$2,0),0)</f>
        <v>107479000</v>
      </c>
      <c r="I66" s="175">
        <f>IFERROR(VLOOKUP($B66,'Amort Inv Inic'!$B$7:$AN$67,I$1,0),0)+IFERROR(VLOOKUP($B66,'Amort Inv Adic'!$B$7:$BU$67,I$2,0),0)</f>
        <v>84331996</v>
      </c>
      <c r="J66" s="175">
        <f t="shared" si="5"/>
        <v>23147004</v>
      </c>
      <c r="K66" s="175">
        <f>IFERROR(VLOOKUP($B66,'Amort Inv Inic'!$B$7:$AN$67,K$1,0),0)+IFERROR(VLOOKUP($B66,'Amort Inv Adic'!$B$7:$BU$67,K$2,0),0)</f>
        <v>98496000</v>
      </c>
      <c r="L66" s="175">
        <f>IFERROR(VLOOKUP($B66,'Amort Inv Inic'!$B$7:$AN$67,L$1,0),0)+IFERROR(VLOOKUP($B66,'Amort Inv Adic'!$B$7:$BU$67,L$2,0),0)</f>
        <v>88093441</v>
      </c>
      <c r="M66" s="175">
        <f t="shared" si="6"/>
        <v>10402559</v>
      </c>
      <c r="N66" s="377">
        <f t="shared" si="7"/>
        <v>33549563</v>
      </c>
      <c r="O66" s="378">
        <f t="shared" si="8"/>
        <v>364571483.62859941</v>
      </c>
      <c r="P66" s="178">
        <f>IF(VLOOKUP($B66,'Ppto-Mes'!$B$8:$AX$68,P$2,0)&lt;0,-VLOOKUP($B66,'Ppto-Mes'!$B$8:$AX$68,P$2,0),0)</f>
        <v>0</v>
      </c>
      <c r="Q66" s="175">
        <f>VLOOKUP($B66,'Financ 1'!$B$15:$P$75,Q$2,0)</f>
        <v>0</v>
      </c>
      <c r="R66" s="175">
        <f>VLOOKUP($B66,'Financ 2'!$B$15:$P$75,R$2,0)</f>
        <v>0</v>
      </c>
      <c r="S66" s="175">
        <f>VLOOKUP($B66,'Financ 3'!$B$15:$P$75,S$2,0)</f>
        <v>56000000</v>
      </c>
      <c r="T66" s="178">
        <f>VLOOKUP($B66,'Ppto-Mes'!$B$8:$AX$68,T$2,0)</f>
        <v>20312000</v>
      </c>
      <c r="U66" s="175">
        <f>VLOOKUP($B66,'Gtos Consultores'!$B$9:$AI$69,U$2,0)</f>
        <v>10022818</v>
      </c>
      <c r="V66" s="175">
        <f>IF($V$1=0,0,IF($V$1=1,IFERROR(HLOOKUP(YEAR($B66),'Gastos Proyect'!$B$4:$F$17,14,0),0),IFERROR(HLOOKUP(YEAR($B65),'Gastos Proyect'!$B$4:$F$17,14,0),0)+IFERROR(HLOOKUP(YEAR($B66),'Gastos Proyect'!$B$4:$F$17,14,0),0)))</f>
        <v>0</v>
      </c>
      <c r="W66" s="377">
        <f t="shared" si="16"/>
        <v>86334818</v>
      </c>
      <c r="X66" s="175">
        <f t="shared" si="15"/>
        <v>50000000</v>
      </c>
      <c r="Y66" s="178">
        <f>IF(MONTH($B66)=12,IF(Y65+ROUND(VLOOKUP($B66,'Ppto-Mes'!$B$8:$AX$68,Y$2,0)*10%,-3)&lt;=50%*X65,Y65+ROUND(VLOOKUP($B66,'Ppto-Mes'!$B$8:$AX$68,Y$2,0)*10%,-3),50%*X65),Y65)</f>
        <v>17536000</v>
      </c>
      <c r="Z66" s="178">
        <f>VLOOKUP($B66,'Ppto-Mes'!$B$8:$AX$68,Z$2,0)-(Y66-Y65)</f>
        <v>52878403.566500008</v>
      </c>
      <c r="AA66" s="175">
        <f t="shared" si="17"/>
        <v>157822262.0620994</v>
      </c>
      <c r="AB66" s="376">
        <f t="shared" si="9"/>
        <v>278236665.62859941</v>
      </c>
      <c r="AC66" s="378">
        <f t="shared" si="10"/>
        <v>364571483.62859941</v>
      </c>
      <c r="AD66" s="175">
        <f t="shared" si="18"/>
        <v>0</v>
      </c>
      <c r="AF66" s="175">
        <f t="shared" si="19"/>
        <v>68579184.256650001</v>
      </c>
      <c r="AG66" s="175">
        <f t="shared" si="20"/>
        <v>0</v>
      </c>
      <c r="AH66" s="175">
        <f t="shared" si="21"/>
        <v>0</v>
      </c>
      <c r="AI66" s="175">
        <f t="shared" si="22"/>
        <v>0</v>
      </c>
    </row>
    <row r="67" spans="1:35" x14ac:dyDescent="0.35">
      <c r="A67" s="18">
        <v>59</v>
      </c>
      <c r="B67" s="184">
        <v>43799</v>
      </c>
      <c r="C67" s="331">
        <f t="shared" si="3"/>
        <v>2019</v>
      </c>
      <c r="D67" s="178">
        <f>IF(VLOOKUP($B67,'Ppto-Mes'!$B$8:$AX$68,D$2,0)&gt;0,VLOOKUP($B67,'Ppto-Mes'!$B$8:$AX$68,D$2,0),0)</f>
        <v>115736642.88524941</v>
      </c>
      <c r="E67" s="175">
        <f>IFERROR(VLOOKUP($B67,'Inv Temp'!$B$7:$I$67,E$2,0),0)</f>
        <v>0</v>
      </c>
      <c r="F67" s="175">
        <f>IF($F$1=0,0,IF($F$1=1,IFERROR(HLOOKUP(YEAR($B67),'Ing Proyect'!$B$6:$G$12,6,0),0),IFERROR(HLOOKUP(YEAR($B66),'Ing Proyect'!$B$6:$G$12,6,0),0)+IFERROR(HLOOKUP(YEAR($B67),'Ing Proyect'!$B$6:$G$12,6,0),0)))</f>
        <v>171228000</v>
      </c>
      <c r="G67" s="376">
        <f t="shared" si="4"/>
        <v>286964642.88524938</v>
      </c>
      <c r="H67" s="175">
        <f>IFERROR(VLOOKUP($B67,'Amort Inv Inic'!$B$7:$AN$67,H$1,0),0)+IFERROR(VLOOKUP($B67,'Amort Inv Adic'!$B$7:$BU$67,H$2,0),0)</f>
        <v>107479000</v>
      </c>
      <c r="I67" s="175">
        <f>IFERROR(VLOOKUP($B67,'Amort Inv Inic'!$B$7:$AN$67,I$1,0),0)+IFERROR(VLOOKUP($B67,'Amort Inv Adic'!$B$7:$BU$67,I$2,0),0)</f>
        <v>86071164</v>
      </c>
      <c r="J67" s="175">
        <f t="shared" si="5"/>
        <v>21407836</v>
      </c>
      <c r="K67" s="175">
        <f>IFERROR(VLOOKUP($B67,'Amort Inv Inic'!$B$7:$AN$67,K$1,0),0)+IFERROR(VLOOKUP($B67,'Amort Inv Adic'!$B$7:$BU$67,K$2,0),0)</f>
        <v>98496000</v>
      </c>
      <c r="L67" s="175">
        <f>IFERROR(VLOOKUP($B67,'Amort Inv Inic'!$B$7:$AN$67,L$1,0),0)+IFERROR(VLOOKUP($B67,'Amort Inv Adic'!$B$7:$BU$67,L$2,0),0)</f>
        <v>89665138</v>
      </c>
      <c r="M67" s="175">
        <f t="shared" si="6"/>
        <v>8830862</v>
      </c>
      <c r="N67" s="377">
        <f t="shared" si="7"/>
        <v>30238698</v>
      </c>
      <c r="O67" s="378">
        <f t="shared" si="8"/>
        <v>317203340.88524938</v>
      </c>
      <c r="P67" s="178">
        <f>IF(VLOOKUP($B67,'Ppto-Mes'!$B$8:$AX$68,P$2,0)&lt;0,-VLOOKUP($B67,'Ppto-Mes'!$B$8:$AX$68,P$2,0),0)</f>
        <v>0</v>
      </c>
      <c r="Q67" s="175">
        <f>VLOOKUP($B67,'Financ 1'!$B$15:$P$75,Q$2,0)</f>
        <v>0</v>
      </c>
      <c r="R67" s="175">
        <f>VLOOKUP($B67,'Financ 2'!$B$15:$P$75,R$2,0)</f>
        <v>0</v>
      </c>
      <c r="S67" s="175">
        <f>VLOOKUP($B67,'Financ 3'!$B$15:$P$75,S$2,0)</f>
        <v>0</v>
      </c>
      <c r="T67" s="178">
        <f>VLOOKUP($B67,'Ppto-Mes'!$B$8:$AX$68,T$2,0)</f>
        <v>22319000</v>
      </c>
      <c r="U67" s="175">
        <f>VLOOKUP($B67,'Gtos Consultores'!$B$9:$AI$69,U$2,0)</f>
        <v>11420739</v>
      </c>
      <c r="V67" s="175">
        <f>IF($V$1=0,0,IF($V$1=1,IFERROR(HLOOKUP(YEAR($B67),'Gastos Proyect'!$B$4:$F$17,14,0),0),IFERROR(HLOOKUP(YEAR($B66),'Gastos Proyect'!$B$4:$F$17,14,0),0)+IFERROR(HLOOKUP(YEAR($B67),'Gastos Proyect'!$B$4:$F$17,14,0),0)))</f>
        <v>0</v>
      </c>
      <c r="W67" s="377">
        <f t="shared" si="16"/>
        <v>33739739</v>
      </c>
      <c r="X67" s="175">
        <f t="shared" si="15"/>
        <v>50000000</v>
      </c>
      <c r="Y67" s="178">
        <f>IF(MONTH($B67)=12,IF(Y66+ROUND(VLOOKUP($B67,'Ppto-Mes'!$B$8:$AX$68,Y$2,0)*10%,-3)&lt;=50%*X66,Y66+ROUND(VLOOKUP($B67,'Ppto-Mes'!$B$8:$AX$68,Y$2,0)*10%,-3),50%*X66),Y66)</f>
        <v>17536000</v>
      </c>
      <c r="Z67" s="178">
        <f>VLOOKUP($B67,'Ppto-Mes'!$B$8:$AX$68,Z$2,0)-(Y67-Y66)</f>
        <v>58105339.823150009</v>
      </c>
      <c r="AA67" s="175">
        <f t="shared" si="17"/>
        <v>157822262.0620994</v>
      </c>
      <c r="AB67" s="376">
        <f t="shared" si="9"/>
        <v>283463601.88524938</v>
      </c>
      <c r="AC67" s="378">
        <f t="shared" si="10"/>
        <v>317203340.88524938</v>
      </c>
      <c r="AD67" s="175">
        <f t="shared" si="18"/>
        <v>0</v>
      </c>
      <c r="AF67" s="175">
        <f t="shared" si="19"/>
        <v>-44057277.743349999</v>
      </c>
      <c r="AG67" s="175">
        <f t="shared" si="20"/>
        <v>0</v>
      </c>
      <c r="AH67" s="175">
        <f t="shared" si="21"/>
        <v>0</v>
      </c>
      <c r="AI67" s="175">
        <f t="shared" si="22"/>
        <v>0</v>
      </c>
    </row>
    <row r="68" spans="1:35" x14ac:dyDescent="0.35">
      <c r="A68" s="18">
        <v>60</v>
      </c>
      <c r="B68" s="184">
        <v>43830</v>
      </c>
      <c r="C68" s="331">
        <f t="shared" si="3"/>
        <v>2019</v>
      </c>
      <c r="D68" s="178">
        <f>IF(VLOOKUP($B68,'Ppto-Mes'!$B$8:$AX$68,D$2,0)&gt;0,VLOOKUP($B68,'Ppto-Mes'!$B$8:$AX$68,D$2,0),0)</f>
        <v>163359446.14189941</v>
      </c>
      <c r="E68" s="175">
        <f>IFERROR(VLOOKUP($B68,'Inv Temp'!$B$7:$I$67,E$2,0),0)</f>
        <v>0</v>
      </c>
      <c r="F68" s="175">
        <f>IF($F$1=0,0,IF($F$1=1,IFERROR(HLOOKUP(YEAR($B68),'Ing Proyect'!$B$6:$G$12,6,0),0),IFERROR(HLOOKUP(YEAR($B67),'Ing Proyect'!$B$6:$G$12,6,0),0)+IFERROR(HLOOKUP(YEAR($B68),'Ing Proyect'!$B$6:$G$12,6,0),0)))</f>
        <v>171228000</v>
      </c>
      <c r="G68" s="376">
        <f t="shared" si="4"/>
        <v>334587446.14189941</v>
      </c>
      <c r="H68" s="175">
        <f>IFERROR(VLOOKUP($B68,'Amort Inv Inic'!$B$7:$AN$67,H$1,0),0)+IFERROR(VLOOKUP($B68,'Amort Inv Adic'!$B$7:$BU$67,H$2,0),0)</f>
        <v>107479000</v>
      </c>
      <c r="I68" s="175">
        <f>IFERROR(VLOOKUP($B68,'Amort Inv Inic'!$B$7:$AN$67,I$1,0),0)+IFERROR(VLOOKUP($B68,'Amort Inv Adic'!$B$7:$BU$67,I$2,0),0)</f>
        <v>87810330</v>
      </c>
      <c r="J68" s="175">
        <f t="shared" si="5"/>
        <v>19668670</v>
      </c>
      <c r="K68" s="175">
        <f>IFERROR(VLOOKUP($B68,'Amort Inv Inic'!$B$7:$AN$67,K$1,0),0)+IFERROR(VLOOKUP($B68,'Amort Inv Adic'!$B$7:$BU$67,K$2,0),0)</f>
        <v>98496000</v>
      </c>
      <c r="L68" s="175">
        <f>IFERROR(VLOOKUP($B68,'Amort Inv Inic'!$B$7:$AN$67,L$1,0),0)+IFERROR(VLOOKUP($B68,'Amort Inv Adic'!$B$7:$BU$67,L$2,0),0)</f>
        <v>91236831</v>
      </c>
      <c r="M68" s="175">
        <f t="shared" si="6"/>
        <v>7259169</v>
      </c>
      <c r="N68" s="377">
        <f t="shared" si="7"/>
        <v>26927839</v>
      </c>
      <c r="O68" s="378">
        <f t="shared" si="8"/>
        <v>361515285.14189941</v>
      </c>
      <c r="P68" s="178">
        <f>IF(VLOOKUP($B68,'Ppto-Mes'!$B$8:$AX$68,P$2,0)&lt;0,-VLOOKUP($B68,'Ppto-Mes'!$B$8:$AX$68,P$2,0),0)</f>
        <v>0</v>
      </c>
      <c r="Q68" s="175">
        <f>VLOOKUP($B68,'Financ 1'!$B$15:$P$75,Q$2,0)</f>
        <v>0</v>
      </c>
      <c r="R68" s="175">
        <f>VLOOKUP($B68,'Financ 2'!$B$15:$P$75,R$2,0)</f>
        <v>0</v>
      </c>
      <c r="S68" s="175">
        <f>VLOOKUP($B68,'Financ 3'!$B$15:$P$75,S$2,0)</f>
        <v>39000000</v>
      </c>
      <c r="T68" s="178">
        <f>VLOOKUP($B68,'Ppto-Mes'!$B$8:$AX$68,T$2,0)</f>
        <v>24503000</v>
      </c>
      <c r="U68" s="175">
        <f>VLOOKUP($B68,'Gtos Consultores'!$B$9:$AI$69,U$2,0)</f>
        <v>8862279</v>
      </c>
      <c r="V68" s="175">
        <f>IF($V$1=0,0,IF($V$1=1,IFERROR(HLOOKUP(YEAR($B68),'Gastos Proyect'!$B$4:$F$17,14,0),0),IFERROR(HLOOKUP(YEAR($B67),'Gastos Proyect'!$B$4:$F$17,14,0),0)+IFERROR(HLOOKUP(YEAR($B68),'Gastos Proyect'!$B$4:$F$17,14,0),0)))</f>
        <v>0</v>
      </c>
      <c r="W68" s="377">
        <f t="shared" si="16"/>
        <v>72365279</v>
      </c>
      <c r="X68" s="175">
        <f t="shared" si="15"/>
        <v>50000000</v>
      </c>
      <c r="Y68" s="178">
        <f>IF(MONTH($B68)=12,IF(Y67+ROUND(VLOOKUP($B68,'Ppto-Mes'!$B$8:$AX$68,Y$2,0)*10%,-3)&lt;=50%*X67,Y67+ROUND(VLOOKUP($B68,'Ppto-Mes'!$B$8:$AX$68,Y$2,0)*10%,-3),50%*X67),Y67)</f>
        <v>23915000</v>
      </c>
      <c r="Z68" s="178">
        <f>VLOOKUP($B68,'Ppto-Mes'!$B$8:$AX$68,Z$2,0)-(Y68-Y67)</f>
        <v>57412744.07980001</v>
      </c>
      <c r="AA68" s="175">
        <f t="shared" si="17"/>
        <v>157822262.0620994</v>
      </c>
      <c r="AB68" s="376">
        <f t="shared" si="9"/>
        <v>289150006.14189941</v>
      </c>
      <c r="AC68" s="378">
        <f t="shared" si="10"/>
        <v>361515285.14189941</v>
      </c>
      <c r="AD68" s="175">
        <f t="shared" si="18"/>
        <v>0</v>
      </c>
      <c r="AF68" s="175">
        <f t="shared" si="19"/>
        <v>47622803.256650001</v>
      </c>
      <c r="AG68" s="175">
        <f t="shared" si="20"/>
        <v>0</v>
      </c>
      <c r="AH68" s="175">
        <f t="shared" si="21"/>
        <v>0</v>
      </c>
      <c r="AI68" s="175">
        <f t="shared" si="22"/>
        <v>0</v>
      </c>
    </row>
    <row r="69" spans="1:35" x14ac:dyDescent="0.35"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</row>
    <row r="70" spans="1:35" x14ac:dyDescent="0.35">
      <c r="B70" s="172"/>
      <c r="C70" s="172"/>
      <c r="D70" s="245">
        <f>D68</f>
        <v>163359446.14189941</v>
      </c>
      <c r="E70" s="245">
        <f>E68</f>
        <v>0</v>
      </c>
      <c r="F70" s="245">
        <f t="shared" ref="F70:AA70" si="23">F68</f>
        <v>171228000</v>
      </c>
      <c r="G70" s="376">
        <f t="shared" si="23"/>
        <v>334587446.14189941</v>
      </c>
      <c r="H70" s="245">
        <f t="shared" si="23"/>
        <v>107479000</v>
      </c>
      <c r="I70" s="245">
        <f t="shared" si="23"/>
        <v>87810330</v>
      </c>
      <c r="J70" s="245">
        <f t="shared" si="23"/>
        <v>19668670</v>
      </c>
      <c r="K70" s="245">
        <f t="shared" si="23"/>
        <v>98496000</v>
      </c>
      <c r="L70" s="245">
        <f t="shared" si="23"/>
        <v>91236831</v>
      </c>
      <c r="M70" s="245">
        <f t="shared" si="23"/>
        <v>7259169</v>
      </c>
      <c r="N70" s="377">
        <f t="shared" si="23"/>
        <v>26927839</v>
      </c>
      <c r="O70" s="378">
        <f t="shared" si="23"/>
        <v>361515285.14189941</v>
      </c>
      <c r="P70" s="245">
        <f t="shared" si="23"/>
        <v>0</v>
      </c>
      <c r="Q70" s="245">
        <f t="shared" si="23"/>
        <v>0</v>
      </c>
      <c r="R70" s="355"/>
      <c r="S70" s="355"/>
      <c r="T70" s="245">
        <f t="shared" si="23"/>
        <v>24503000</v>
      </c>
      <c r="U70" s="245">
        <f t="shared" si="23"/>
        <v>8862279</v>
      </c>
      <c r="V70" s="245">
        <f t="shared" si="23"/>
        <v>0</v>
      </c>
      <c r="W70" s="245">
        <f t="shared" si="23"/>
        <v>72365279</v>
      </c>
      <c r="X70" s="245">
        <f t="shared" si="23"/>
        <v>50000000</v>
      </c>
      <c r="Y70" s="245">
        <f t="shared" si="23"/>
        <v>23915000</v>
      </c>
      <c r="Z70" s="245">
        <f t="shared" si="23"/>
        <v>57412744.07980001</v>
      </c>
      <c r="AA70" s="245">
        <f t="shared" si="23"/>
        <v>157822262.0620994</v>
      </c>
      <c r="AB70" s="245">
        <f t="shared" ref="AB70:AD70" si="24">AB68</f>
        <v>289150006.14189941</v>
      </c>
      <c r="AC70" s="245">
        <f t="shared" si="24"/>
        <v>361515285.14189941</v>
      </c>
      <c r="AD70" s="245">
        <f t="shared" si="24"/>
        <v>0</v>
      </c>
      <c r="AF70" s="245">
        <f>SUM(AF8:AF68)</f>
        <v>-30640553.858100593</v>
      </c>
      <c r="AG70" s="245">
        <f>SUM(AG8:AG68)</f>
        <v>73079000</v>
      </c>
      <c r="AH70" s="245">
        <f>SUM(AH8:AH68)</f>
        <v>62246000</v>
      </c>
      <c r="AI70" s="245">
        <f>SUM(AI8:AI68)</f>
        <v>0</v>
      </c>
    </row>
    <row r="71" spans="1:35" x14ac:dyDescent="0.35">
      <c r="B71" s="172">
        <f>B68</f>
        <v>43830</v>
      </c>
      <c r="C71" s="172"/>
      <c r="D71" s="172"/>
      <c r="E71" s="172"/>
      <c r="F71" s="172"/>
      <c r="G71" s="172"/>
      <c r="H71" s="175">
        <f>IFERROR(VLOOKUP($B71,'Amort Inv Inic'!$B$7:$AN$67,H$1,0),0)+IFERROR(VLOOKUP($B71,'Amort Inv Adic'!$B$7:$BU$67,H$2,0),0)</f>
        <v>107479000</v>
      </c>
      <c r="I71" s="175">
        <f>IFERROR(VLOOKUP($B71,'Amort Inv Inic'!$B$7:$AN$67,I$1,0),0)+IFERROR(VLOOKUP($B71,'Amort Inv Adic'!$B$7:$BU$67,I$2,0),0)</f>
        <v>87810330</v>
      </c>
      <c r="J71" s="175">
        <f t="shared" ref="J71" si="25">H71-I71</f>
        <v>19668670</v>
      </c>
      <c r="K71" s="175">
        <f>IFERROR(VLOOKUP($B71,'Amort Inv Inic'!$B$7:$AN$67,K$1,0),0)+IFERROR(VLOOKUP($B71,'Amort Inv Adic'!$B$7:$BU$67,K$2,0),0)</f>
        <v>98496000</v>
      </c>
      <c r="L71" s="175">
        <f>IFERROR(VLOOKUP($B71,'Amort Inv Inic'!$B$7:$AN$67,L$1,0),0)+IFERROR(VLOOKUP($B71,'Amort Inv Adic'!$B$7:$BU$67,L$2,0),0)</f>
        <v>91236831</v>
      </c>
      <c r="M71" s="175">
        <f t="shared" ref="M71" si="26">K71-L71</f>
        <v>7259169</v>
      </c>
      <c r="N71" s="172"/>
      <c r="O71" s="172"/>
      <c r="P71" s="172"/>
      <c r="Q71" s="172"/>
      <c r="R71" s="172"/>
      <c r="S71" s="172"/>
      <c r="T71" s="172"/>
      <c r="U71" s="172"/>
      <c r="V71" s="172"/>
      <c r="W71" s="172"/>
    </row>
    <row r="72" spans="1:35" x14ac:dyDescent="0.35">
      <c r="B72" s="172"/>
      <c r="C72" s="172"/>
      <c r="D72" s="15">
        <v>0</v>
      </c>
      <c r="E72" s="15">
        <v>1</v>
      </c>
      <c r="F72" s="15"/>
      <c r="G72" s="15"/>
      <c r="H72" s="175">
        <f t="shared" ref="H72:M72" si="27">H70-H71</f>
        <v>0</v>
      </c>
      <c r="I72" s="175">
        <f t="shared" si="27"/>
        <v>0</v>
      </c>
      <c r="J72" s="175">
        <f t="shared" si="27"/>
        <v>0</v>
      </c>
      <c r="K72" s="175">
        <f t="shared" si="27"/>
        <v>0</v>
      </c>
      <c r="L72" s="175">
        <f t="shared" si="27"/>
        <v>0</v>
      </c>
      <c r="M72" s="175">
        <f t="shared" si="27"/>
        <v>0</v>
      </c>
      <c r="N72" s="15"/>
      <c r="O72" s="15">
        <v>2</v>
      </c>
      <c r="P72" s="15"/>
      <c r="Q72" s="172"/>
      <c r="R72" s="172"/>
      <c r="S72" s="172"/>
      <c r="T72" s="172"/>
      <c r="U72" s="172"/>
      <c r="V72" s="172"/>
      <c r="W72" s="172"/>
    </row>
    <row r="73" spans="1:35" x14ac:dyDescent="0.35"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</row>
    <row r="76" spans="1:35" x14ac:dyDescent="0.35">
      <c r="D76">
        <v>95301204.960049987</v>
      </c>
      <c r="E76">
        <v>0</v>
      </c>
      <c r="F76">
        <v>104483000</v>
      </c>
      <c r="G76">
        <v>199784204.96004999</v>
      </c>
      <c r="H76">
        <v>34400000</v>
      </c>
      <c r="I76">
        <v>1249305</v>
      </c>
      <c r="J76">
        <v>33150695</v>
      </c>
      <c r="K76">
        <v>36250000</v>
      </c>
      <c r="L76">
        <v>1604166</v>
      </c>
      <c r="M76">
        <v>34645834</v>
      </c>
      <c r="N76">
        <v>67796529</v>
      </c>
      <c r="O76" s="349">
        <v>267580733.96004999</v>
      </c>
      <c r="P76">
        <v>0</v>
      </c>
      <c r="Q76" s="349">
        <v>212650000</v>
      </c>
      <c r="R76">
        <v>0</v>
      </c>
      <c r="S76">
        <v>0</v>
      </c>
      <c r="T76">
        <v>354000</v>
      </c>
      <c r="U76">
        <v>998288</v>
      </c>
      <c r="V76">
        <v>0</v>
      </c>
      <c r="W76">
        <v>214002288</v>
      </c>
      <c r="X76">
        <v>50000000</v>
      </c>
      <c r="Y76">
        <v>0</v>
      </c>
      <c r="Z76">
        <v>3578445.9600499868</v>
      </c>
      <c r="AA76">
        <v>0</v>
      </c>
      <c r="AB76">
        <v>53578445.960049987</v>
      </c>
      <c r="AC76">
        <v>267580733.96004999</v>
      </c>
      <c r="AD76">
        <v>0</v>
      </c>
    </row>
    <row r="77" spans="1:35" x14ac:dyDescent="0.35">
      <c r="D77" s="349">
        <f>D9</f>
        <v>97788795.960049987</v>
      </c>
      <c r="E77" s="349">
        <f t="shared" ref="E77:AD77" si="28">E9</f>
        <v>0</v>
      </c>
      <c r="F77" s="349">
        <f>F9</f>
        <v>104483000</v>
      </c>
      <c r="G77" s="349">
        <f t="shared" si="28"/>
        <v>202271795.96004999</v>
      </c>
      <c r="H77" s="349">
        <f t="shared" si="28"/>
        <v>34400000</v>
      </c>
      <c r="I77" s="349">
        <f t="shared" si="28"/>
        <v>1249305</v>
      </c>
      <c r="J77" s="349">
        <f t="shared" si="28"/>
        <v>33150695</v>
      </c>
      <c r="K77" s="349">
        <f t="shared" si="28"/>
        <v>36250000</v>
      </c>
      <c r="L77" s="349">
        <f t="shared" si="28"/>
        <v>1604166</v>
      </c>
      <c r="M77" s="349">
        <f t="shared" si="28"/>
        <v>34645834</v>
      </c>
      <c r="N77" s="349">
        <f t="shared" si="28"/>
        <v>67796529</v>
      </c>
      <c r="O77" s="349">
        <f t="shared" si="28"/>
        <v>270068324.96004999</v>
      </c>
      <c r="P77" s="349">
        <f t="shared" si="28"/>
        <v>0</v>
      </c>
      <c r="Q77" s="349">
        <f>Q9</f>
        <v>214650000</v>
      </c>
      <c r="R77" s="349">
        <f t="shared" si="28"/>
        <v>0</v>
      </c>
      <c r="S77" s="349">
        <f t="shared" si="28"/>
        <v>2000000</v>
      </c>
      <c r="T77" s="349">
        <f t="shared" si="28"/>
        <v>218000</v>
      </c>
      <c r="U77" s="349">
        <f t="shared" si="28"/>
        <v>998288</v>
      </c>
      <c r="V77" s="349">
        <f t="shared" si="28"/>
        <v>0</v>
      </c>
      <c r="W77" s="349">
        <f t="shared" si="28"/>
        <v>217866288</v>
      </c>
      <c r="X77" s="349">
        <f t="shared" si="28"/>
        <v>50000000</v>
      </c>
      <c r="Y77" s="349">
        <f t="shared" si="28"/>
        <v>0</v>
      </c>
      <c r="Z77" s="349">
        <f t="shared" si="28"/>
        <v>2202036.9600499868</v>
      </c>
      <c r="AA77" s="349">
        <f t="shared" si="28"/>
        <v>0</v>
      </c>
      <c r="AB77" s="349">
        <f t="shared" si="28"/>
        <v>52202036.960049987</v>
      </c>
      <c r="AC77" s="349">
        <f t="shared" si="28"/>
        <v>270068324.96004999</v>
      </c>
      <c r="AD77" s="349">
        <f t="shared" si="28"/>
        <v>0</v>
      </c>
    </row>
    <row r="78" spans="1:35" x14ac:dyDescent="0.35">
      <c r="D78" s="349">
        <f>D76-D77</f>
        <v>-2487591</v>
      </c>
      <c r="E78" s="349">
        <f t="shared" ref="E78:AD78" si="29">E76-E77</f>
        <v>0</v>
      </c>
      <c r="F78" s="349">
        <f t="shared" si="29"/>
        <v>0</v>
      </c>
      <c r="G78" s="349">
        <f t="shared" si="29"/>
        <v>-2487591</v>
      </c>
      <c r="H78" s="349">
        <f t="shared" si="29"/>
        <v>0</v>
      </c>
      <c r="I78" s="349">
        <f t="shared" si="29"/>
        <v>0</v>
      </c>
      <c r="J78" s="349">
        <f t="shared" si="29"/>
        <v>0</v>
      </c>
      <c r="K78" s="349">
        <f t="shared" si="29"/>
        <v>0</v>
      </c>
      <c r="L78" s="349">
        <f t="shared" si="29"/>
        <v>0</v>
      </c>
      <c r="M78" s="349">
        <f t="shared" si="29"/>
        <v>0</v>
      </c>
      <c r="N78" s="349">
        <f t="shared" si="29"/>
        <v>0</v>
      </c>
      <c r="O78" s="349">
        <f t="shared" si="29"/>
        <v>-2487591</v>
      </c>
      <c r="P78" s="349">
        <f t="shared" si="29"/>
        <v>0</v>
      </c>
      <c r="Q78" s="349">
        <f t="shared" si="29"/>
        <v>-2000000</v>
      </c>
      <c r="R78" s="349">
        <f t="shared" si="29"/>
        <v>0</v>
      </c>
      <c r="S78" s="349">
        <f t="shared" si="29"/>
        <v>-2000000</v>
      </c>
      <c r="T78" s="349">
        <f t="shared" si="29"/>
        <v>136000</v>
      </c>
      <c r="U78" s="349">
        <f t="shared" si="29"/>
        <v>0</v>
      </c>
      <c r="V78" s="349">
        <f t="shared" si="29"/>
        <v>0</v>
      </c>
      <c r="W78" s="349">
        <f t="shared" si="29"/>
        <v>-3864000</v>
      </c>
      <c r="X78" s="349">
        <f t="shared" si="29"/>
        <v>0</v>
      </c>
      <c r="Y78" s="349">
        <f t="shared" si="29"/>
        <v>0</v>
      </c>
      <c r="Z78" s="349">
        <f t="shared" si="29"/>
        <v>1376409</v>
      </c>
      <c r="AA78" s="349">
        <f t="shared" si="29"/>
        <v>0</v>
      </c>
      <c r="AB78" s="349">
        <f t="shared" si="29"/>
        <v>1376409</v>
      </c>
      <c r="AC78" s="349">
        <f t="shared" si="29"/>
        <v>-2487591</v>
      </c>
      <c r="AD78" s="349">
        <f t="shared" si="29"/>
        <v>0</v>
      </c>
    </row>
  </sheetData>
  <mergeCells count="25">
    <mergeCell ref="AH4:AH6"/>
    <mergeCell ref="AG4:AG6"/>
    <mergeCell ref="AF4:AF6"/>
    <mergeCell ref="Y5:Y6"/>
    <mergeCell ref="X5:X6"/>
    <mergeCell ref="Z5:Z6"/>
    <mergeCell ref="AA5:AA6"/>
    <mergeCell ref="X4:AB4"/>
    <mergeCell ref="AB5:AB6"/>
    <mergeCell ref="AI4:AI6"/>
    <mergeCell ref="P4:W4"/>
    <mergeCell ref="AC4:AC6"/>
    <mergeCell ref="AD4:AD6"/>
    <mergeCell ref="D4:O4"/>
    <mergeCell ref="D5:D6"/>
    <mergeCell ref="E5:E6"/>
    <mergeCell ref="F5:F6"/>
    <mergeCell ref="G5:G6"/>
    <mergeCell ref="T5:V5"/>
    <mergeCell ref="W5:W6"/>
    <mergeCell ref="O5:O6"/>
    <mergeCell ref="P5:S5"/>
    <mergeCell ref="H5:J5"/>
    <mergeCell ref="K5:M5"/>
    <mergeCell ref="N5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W44"/>
  <sheetViews>
    <sheetView showGridLines="0" topLeftCell="A22" workbookViewId="0">
      <selection activeCell="H18" sqref="H18"/>
    </sheetView>
  </sheetViews>
  <sheetFormatPr baseColWidth="10" defaultRowHeight="14.5" outlineLevelRow="1" x14ac:dyDescent="0.35"/>
  <cols>
    <col min="1" max="1" width="2.81640625" bestFit="1" customWidth="1"/>
    <col min="2" max="2" width="29" bestFit="1" customWidth="1"/>
    <col min="3" max="3" width="11.54296875" bestFit="1" customWidth="1"/>
    <col min="4" max="4" width="11.1796875" bestFit="1" customWidth="1"/>
    <col min="5" max="14" width="11.6328125" customWidth="1"/>
    <col min="15" max="15" width="11.1796875" bestFit="1" customWidth="1"/>
    <col min="16" max="23" width="11.1796875" customWidth="1"/>
    <col min="24" max="24" width="12.36328125" bestFit="1" customWidth="1"/>
    <col min="27" max="27" width="12.36328125" bestFit="1" customWidth="1"/>
  </cols>
  <sheetData>
    <row r="1" spans="1:23" x14ac:dyDescent="0.35"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</row>
    <row r="2" spans="1:23" x14ac:dyDescent="0.3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</row>
    <row r="3" spans="1:23" x14ac:dyDescent="0.35"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</row>
    <row r="4" spans="1:23" ht="15" thickBot="1" x14ac:dyDescent="0.4">
      <c r="B4" s="172"/>
      <c r="C4" s="398">
        <v>0</v>
      </c>
      <c r="D4" s="398">
        <v>1</v>
      </c>
      <c r="E4" s="398">
        <v>2</v>
      </c>
      <c r="F4" s="398">
        <v>3</v>
      </c>
      <c r="G4" s="398">
        <v>4</v>
      </c>
      <c r="H4" s="398">
        <v>5</v>
      </c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</row>
    <row r="5" spans="1:23" ht="19" thickBot="1" x14ac:dyDescent="0.5">
      <c r="B5" s="911" t="s">
        <v>845</v>
      </c>
      <c r="C5" s="912"/>
      <c r="D5" s="912"/>
      <c r="E5" s="912"/>
      <c r="F5" s="912"/>
      <c r="G5" s="912"/>
      <c r="H5" s="913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</row>
    <row r="6" spans="1:23" ht="15" thickBot="1" x14ac:dyDescent="0.4">
      <c r="B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</row>
    <row r="7" spans="1:23" x14ac:dyDescent="0.35">
      <c r="B7" s="644" t="s">
        <v>609</v>
      </c>
      <c r="C7" s="645">
        <v>42004</v>
      </c>
      <c r="D7" s="645">
        <v>42369</v>
      </c>
      <c r="E7" s="645">
        <v>42735</v>
      </c>
      <c r="F7" s="645">
        <v>43100</v>
      </c>
      <c r="G7" s="645">
        <v>43465</v>
      </c>
      <c r="H7" s="645">
        <v>43830</v>
      </c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</row>
    <row r="8" spans="1:23" hidden="1" outlineLevel="1" x14ac:dyDescent="0.35">
      <c r="B8" s="618"/>
      <c r="C8" s="618"/>
      <c r="D8" s="618"/>
      <c r="E8" s="618"/>
      <c r="F8" s="618"/>
      <c r="G8" s="618"/>
      <c r="H8" s="618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</row>
    <row r="9" spans="1:23" collapsed="1" x14ac:dyDescent="0.35">
      <c r="A9">
        <v>3</v>
      </c>
      <c r="B9" s="646" t="s">
        <v>534</v>
      </c>
      <c r="C9" s="511">
        <f>VLOOKUP(C$7,'Bal Mes'!$B$8:$AD$68,$A9,0)</f>
        <v>194000000</v>
      </c>
      <c r="D9" s="511">
        <f>VLOOKUP(D$7,'Bal Mes'!$B$8:$AD$68,$A9,0)</f>
        <v>117841066.52059984</v>
      </c>
      <c r="E9" s="511">
        <f>VLOOKUP(E$7,'Bal Mes'!$B$8:$AD$68,$A9,0)</f>
        <v>123921610.15499961</v>
      </c>
      <c r="F9" s="511">
        <f>VLOOKUP(F$7,'Bal Mes'!$B$8:$AD$68,$A9,0)</f>
        <v>121046666.90849966</v>
      </c>
      <c r="G9" s="511">
        <f>VLOOKUP(G$7,'Bal Mes'!$B$8:$AD$68,$A9,0)</f>
        <v>167567155.0620994</v>
      </c>
      <c r="H9" s="511">
        <f>VLOOKUP(H$7,'Bal Mes'!$B$8:$AD$68,$A9,0)</f>
        <v>163359446.14189941</v>
      </c>
    </row>
    <row r="10" spans="1:23" ht="14.5" customHeight="1" x14ac:dyDescent="0.35">
      <c r="A10">
        <v>4</v>
      </c>
      <c r="B10" s="646" t="s">
        <v>535</v>
      </c>
      <c r="C10" s="511">
        <f>VLOOKUP(C$7,'Bal Mes'!$B$8:$AD$68,$A10,0)</f>
        <v>0</v>
      </c>
      <c r="D10" s="511">
        <f>VLOOKUP(D$7,'Bal Mes'!$B$8:$AD$68,$A10,0)</f>
        <v>22000000</v>
      </c>
      <c r="E10" s="511">
        <f>VLOOKUP(E$7,'Bal Mes'!$B$8:$AD$68,$A10,0)</f>
        <v>0</v>
      </c>
      <c r="F10" s="511">
        <f>VLOOKUP(F$7,'Bal Mes'!$B$8:$AD$68,$A10,0)</f>
        <v>0</v>
      </c>
      <c r="G10" s="511">
        <f>VLOOKUP(G$7,'Bal Mes'!$B$8:$AD$68,$A10,0)</f>
        <v>0</v>
      </c>
      <c r="H10" s="511">
        <f>VLOOKUP(H$7,'Bal Mes'!$B$8:$AD$68,$A10,0)</f>
        <v>0</v>
      </c>
    </row>
    <row r="11" spans="1:23" x14ac:dyDescent="0.35">
      <c r="A11">
        <v>5</v>
      </c>
      <c r="B11" s="646" t="s">
        <v>537</v>
      </c>
      <c r="C11" s="511">
        <f>VLOOKUP(C$7,'Bal Mes'!$B$8:$AD$68,$A11,0)</f>
        <v>0</v>
      </c>
      <c r="D11" s="511">
        <f>VLOOKUP(D$7,'Bal Mes'!$B$8:$AD$68,$A11,0)</f>
        <v>104483000</v>
      </c>
      <c r="E11" s="511">
        <f>VLOOKUP(E$7,'Bal Mes'!$B$8:$AD$68,$A11,0)</f>
        <v>119393000</v>
      </c>
      <c r="F11" s="511">
        <f>VLOOKUP(F$7,'Bal Mes'!$B$8:$AD$68,$A11,0)</f>
        <v>136718000</v>
      </c>
      <c r="G11" s="511">
        <f>VLOOKUP(G$7,'Bal Mes'!$B$8:$AD$68,$A11,0)</f>
        <v>156674000</v>
      </c>
      <c r="H11" s="511">
        <f>VLOOKUP(H$7,'Bal Mes'!$B$8:$AD$68,$A11,0)</f>
        <v>171228000</v>
      </c>
    </row>
    <row r="12" spans="1:23" ht="14.5" customHeight="1" x14ac:dyDescent="0.35">
      <c r="A12">
        <v>6</v>
      </c>
      <c r="B12" s="647" t="s">
        <v>605</v>
      </c>
      <c r="C12" s="648">
        <f t="shared" ref="C12:H12" si="0">SUM(C9:C11)</f>
        <v>194000000</v>
      </c>
      <c r="D12" s="648">
        <f t="shared" si="0"/>
        <v>244324066.52059984</v>
      </c>
      <c r="E12" s="648">
        <f t="shared" si="0"/>
        <v>243314610.15499961</v>
      </c>
      <c r="F12" s="648">
        <f t="shared" si="0"/>
        <v>257764666.90849966</v>
      </c>
      <c r="G12" s="648">
        <f t="shared" si="0"/>
        <v>324241155.0620994</v>
      </c>
      <c r="H12" s="648">
        <f t="shared" si="0"/>
        <v>334587446.14189941</v>
      </c>
    </row>
    <row r="13" spans="1:23" ht="14.5" customHeight="1" x14ac:dyDescent="0.35">
      <c r="B13" s="649" t="s">
        <v>538</v>
      </c>
      <c r="C13" s="367"/>
      <c r="D13" s="367"/>
      <c r="E13" s="367"/>
      <c r="F13" s="367"/>
      <c r="G13" s="367"/>
      <c r="H13" s="367"/>
    </row>
    <row r="14" spans="1:23" x14ac:dyDescent="0.35">
      <c r="A14">
        <v>7</v>
      </c>
      <c r="B14" s="650" t="s">
        <v>539</v>
      </c>
      <c r="C14" s="511">
        <f>VLOOKUP(C$7,'Bal Mes'!$B$8:$AD$68,$A14,0)</f>
        <v>34400000</v>
      </c>
      <c r="D14" s="511">
        <f>VLOOKUP(D$7,'Bal Mes'!$B$8:$AD$68,$A14,0)</f>
        <v>34400000</v>
      </c>
      <c r="E14" s="511">
        <f>VLOOKUP(E$7,'Bal Mes'!$B$8:$AD$68,$A14,0)</f>
        <v>71578000</v>
      </c>
      <c r="F14" s="511">
        <f>VLOOKUP(F$7,'Bal Mes'!$B$8:$AD$68,$A14,0)</f>
        <v>71578000</v>
      </c>
      <c r="G14" s="511">
        <f>VLOOKUP(G$7,'Bal Mes'!$B$8:$AD$68,$A14,0)</f>
        <v>107479000</v>
      </c>
      <c r="H14" s="511">
        <f>VLOOKUP(H$7,'Bal Mes'!$B$8:$AD$68,$A14,0)</f>
        <v>107479000</v>
      </c>
    </row>
    <row r="15" spans="1:23" x14ac:dyDescent="0.35">
      <c r="A15">
        <v>8</v>
      </c>
      <c r="B15" s="650" t="s">
        <v>540</v>
      </c>
      <c r="C15" s="511">
        <f>VLOOKUP(C$7,'Bal Mes'!$B$8:$AD$68,$A15,0)</f>
        <v>0</v>
      </c>
      <c r="D15" s="511">
        <f>VLOOKUP(D$7,'Bal Mes'!$B$8:$AD$68,$A15,0)</f>
        <v>14991660</v>
      </c>
      <c r="E15" s="511">
        <f>VLOOKUP(E$7,'Bal Mes'!$B$8:$AD$68,$A15,0)</f>
        <v>29983328</v>
      </c>
      <c r="F15" s="511">
        <f>VLOOKUP(F$7,'Bal Mes'!$B$8:$AD$68,$A15,0)</f>
        <v>50670164</v>
      </c>
      <c r="G15" s="511">
        <f>VLOOKUP(G$7,'Bal Mes'!$B$8:$AD$68,$A15,0)</f>
        <v>66940330</v>
      </c>
      <c r="H15" s="511">
        <f>VLOOKUP(H$7,'Bal Mes'!$B$8:$AD$68,$A15,0)</f>
        <v>87810330</v>
      </c>
    </row>
    <row r="16" spans="1:23" x14ac:dyDescent="0.35">
      <c r="A16">
        <v>9</v>
      </c>
      <c r="B16" s="651" t="s">
        <v>541</v>
      </c>
      <c r="C16" s="652">
        <f>C14-C15</f>
        <v>34400000</v>
      </c>
      <c r="D16" s="652">
        <f t="shared" ref="D16:H16" si="1">D14-D15</f>
        <v>19408340</v>
      </c>
      <c r="E16" s="652">
        <f t="shared" si="1"/>
        <v>41594672</v>
      </c>
      <c r="F16" s="652">
        <f t="shared" si="1"/>
        <v>20907836</v>
      </c>
      <c r="G16" s="652">
        <f t="shared" si="1"/>
        <v>40538670</v>
      </c>
      <c r="H16" s="652">
        <f t="shared" si="1"/>
        <v>19668670</v>
      </c>
    </row>
    <row r="17" spans="1:8" x14ac:dyDescent="0.35">
      <c r="B17" s="649" t="s">
        <v>542</v>
      </c>
      <c r="C17" s="367"/>
      <c r="D17" s="367"/>
      <c r="E17" s="367"/>
      <c r="F17" s="367"/>
      <c r="G17" s="367"/>
      <c r="H17" s="367"/>
    </row>
    <row r="18" spans="1:8" x14ac:dyDescent="0.35">
      <c r="A18">
        <v>10</v>
      </c>
      <c r="B18" s="650" t="s">
        <v>539</v>
      </c>
      <c r="C18" s="511">
        <f>VLOOKUP(C$7,'Bal Mes'!$B$8:$AD$68,$A18,0)</f>
        <v>36250000</v>
      </c>
      <c r="D18" s="511">
        <f>VLOOKUP(D$7,'Bal Mes'!$B$8:$AD$68,$A18,0)</f>
        <v>51550000</v>
      </c>
      <c r="E18" s="511">
        <f>VLOOKUP(E$7,'Bal Mes'!$B$8:$AD$68,$A18,0)</f>
        <v>61780000</v>
      </c>
      <c r="F18" s="511">
        <f>VLOOKUP(F$7,'Bal Mes'!$B$8:$AD$68,$A18,0)</f>
        <v>73033000</v>
      </c>
      <c r="G18" s="511">
        <f>VLOOKUP(G$7,'Bal Mes'!$B$8:$AD$68,$A18,0)</f>
        <v>89711000</v>
      </c>
      <c r="H18" s="511">
        <f>VLOOKUP(H$7,'Bal Mes'!$B$8:$AD$68,$A18,0)</f>
        <v>98496000</v>
      </c>
    </row>
    <row r="19" spans="1:8" x14ac:dyDescent="0.35">
      <c r="A19">
        <v>11</v>
      </c>
      <c r="B19" s="650" t="s">
        <v>540</v>
      </c>
      <c r="C19" s="511">
        <f>VLOOKUP(C$7,'Bal Mes'!$B$8:$AD$68,$A19,0)</f>
        <v>0</v>
      </c>
      <c r="D19" s="511">
        <f>VLOOKUP(D$7,'Bal Mes'!$B$8:$AD$68,$A19,0)</f>
        <v>25249992</v>
      </c>
      <c r="E19" s="511">
        <f>VLOOKUP(E$7,'Bal Mes'!$B$8:$AD$68,$A19,0)</f>
        <v>42099988</v>
      </c>
      <c r="F19" s="511">
        <f>VLOOKUP(F$7,'Bal Mes'!$B$8:$AD$68,$A19,0)</f>
        <v>56909992</v>
      </c>
      <c r="G19" s="511">
        <f>VLOOKUP(G$7,'Bal Mes'!$B$8:$AD$68,$A19,0)</f>
        <v>72775996</v>
      </c>
      <c r="H19" s="511">
        <f>VLOOKUP(H$7,'Bal Mes'!$B$8:$AD$68,$A19,0)</f>
        <v>91236831</v>
      </c>
    </row>
    <row r="20" spans="1:8" x14ac:dyDescent="0.35">
      <c r="A20">
        <v>12</v>
      </c>
      <c r="B20" s="651" t="s">
        <v>541</v>
      </c>
      <c r="C20" s="652">
        <f t="shared" ref="C20:H20" si="2">C18-C19</f>
        <v>36250000</v>
      </c>
      <c r="D20" s="652">
        <f t="shared" si="2"/>
        <v>26300008</v>
      </c>
      <c r="E20" s="652">
        <f t="shared" si="2"/>
        <v>19680012</v>
      </c>
      <c r="F20" s="652">
        <f t="shared" si="2"/>
        <v>16123008</v>
      </c>
      <c r="G20" s="652">
        <f t="shared" si="2"/>
        <v>16935004</v>
      </c>
      <c r="H20" s="652">
        <f t="shared" si="2"/>
        <v>7259169</v>
      </c>
    </row>
    <row r="21" spans="1:8" x14ac:dyDescent="0.35">
      <c r="A21">
        <v>13</v>
      </c>
      <c r="B21" s="653" t="s">
        <v>543</v>
      </c>
      <c r="C21" s="648">
        <f t="shared" ref="C21:H21" si="3">C16+C20</f>
        <v>70650000</v>
      </c>
      <c r="D21" s="648">
        <f t="shared" si="3"/>
        <v>45708348</v>
      </c>
      <c r="E21" s="648">
        <f t="shared" si="3"/>
        <v>61274684</v>
      </c>
      <c r="F21" s="648">
        <f t="shared" si="3"/>
        <v>37030844</v>
      </c>
      <c r="G21" s="648">
        <f t="shared" si="3"/>
        <v>57473674</v>
      </c>
      <c r="H21" s="648">
        <f t="shared" si="3"/>
        <v>26927839</v>
      </c>
    </row>
    <row r="22" spans="1:8" x14ac:dyDescent="0.35">
      <c r="A22">
        <v>14</v>
      </c>
      <c r="B22" s="654" t="s">
        <v>560</v>
      </c>
      <c r="C22" s="655">
        <f t="shared" ref="C22:H22" si="4">C12+C21</f>
        <v>264650000</v>
      </c>
      <c r="D22" s="655">
        <f t="shared" si="4"/>
        <v>290032414.52059984</v>
      </c>
      <c r="E22" s="655">
        <f t="shared" si="4"/>
        <v>304589294.15499961</v>
      </c>
      <c r="F22" s="655">
        <f t="shared" si="4"/>
        <v>294795510.90849966</v>
      </c>
      <c r="G22" s="655">
        <f t="shared" si="4"/>
        <v>381714829.0620994</v>
      </c>
      <c r="H22" s="655">
        <f t="shared" si="4"/>
        <v>361515285.14189941</v>
      </c>
    </row>
    <row r="23" spans="1:8" x14ac:dyDescent="0.35">
      <c r="B23" s="656" t="s">
        <v>606</v>
      </c>
      <c r="C23" s="367"/>
      <c r="D23" s="367"/>
      <c r="E23" s="367"/>
      <c r="F23" s="367"/>
      <c r="G23" s="367"/>
      <c r="H23" s="367"/>
    </row>
    <row r="24" spans="1:8" x14ac:dyDescent="0.35">
      <c r="A24">
        <v>15</v>
      </c>
      <c r="B24" s="650" t="s">
        <v>549</v>
      </c>
      <c r="C24" s="511">
        <f>VLOOKUP(C$7,'Bal Mes'!$B$8:$AD$68,$A24,0)</f>
        <v>0</v>
      </c>
      <c r="D24" s="511">
        <f>VLOOKUP(D$7,'Bal Mes'!$B$8:$AD$68,$A24,0)</f>
        <v>0</v>
      </c>
      <c r="E24" s="511">
        <f>VLOOKUP(E$7,'Bal Mes'!$B$8:$AD$68,$A24,0)</f>
        <v>0</v>
      </c>
      <c r="F24" s="511">
        <f>VLOOKUP(F$7,'Bal Mes'!$B$8:$AD$68,$A24,0)</f>
        <v>0</v>
      </c>
      <c r="G24" s="511">
        <f>VLOOKUP(G$7,'Bal Mes'!$B$8:$AD$68,$A24,0)</f>
        <v>0</v>
      </c>
      <c r="H24" s="511">
        <f>VLOOKUP(H$7,'Bal Mes'!$B$8:$AD$68,$A24,0)</f>
        <v>0</v>
      </c>
    </row>
    <row r="25" spans="1:8" x14ac:dyDescent="0.35">
      <c r="A25">
        <v>16</v>
      </c>
      <c r="B25" s="650" t="s">
        <v>407</v>
      </c>
      <c r="C25" s="511">
        <f>VLOOKUP(C$7,'Bal Mes'!$B$8:$AD$68,$A25,0)</f>
        <v>214650000</v>
      </c>
      <c r="D25" s="511">
        <f>VLOOKUP(D$7,'Bal Mes'!$B$8:$AD$68,$A25,0)</f>
        <v>214650000</v>
      </c>
      <c r="E25" s="511">
        <f>VLOOKUP(E$7,'Bal Mes'!$B$8:$AD$68,$A25,0)</f>
        <v>107325000</v>
      </c>
      <c r="F25" s="511">
        <f>VLOOKUP(F$7,'Bal Mes'!$B$8:$AD$68,$A25,0)</f>
        <v>0</v>
      </c>
      <c r="G25" s="511">
        <f>VLOOKUP(G$7,'Bal Mes'!$B$8:$AD$68,$A25,0)</f>
        <v>0</v>
      </c>
      <c r="H25" s="511">
        <f>VLOOKUP(H$7,'Bal Mes'!$B$8:$AD$68,$A25,0)</f>
        <v>0</v>
      </c>
    </row>
    <row r="26" spans="1:8" x14ac:dyDescent="0.35">
      <c r="A26">
        <v>17</v>
      </c>
      <c r="B26" s="650" t="s">
        <v>561</v>
      </c>
      <c r="C26" s="511">
        <f>VLOOKUP(C$7,'Bal Mes'!$B$8:$AD$68,$A26,0)</f>
        <v>0</v>
      </c>
      <c r="D26" s="511">
        <f>VLOOKUP(D$7,'Bal Mes'!$B$8:$AD$68,$A26,0)</f>
        <v>0</v>
      </c>
      <c r="E26" s="511">
        <f>VLOOKUP(E$7,'Bal Mes'!$B$8:$AD$68,$A26,0)</f>
        <v>0</v>
      </c>
      <c r="F26" s="511">
        <f>VLOOKUP(F$7,'Bal Mes'!$B$8:$AD$68,$A26,0)</f>
        <v>0</v>
      </c>
      <c r="G26" s="511">
        <f>VLOOKUP(G$7,'Bal Mes'!$B$8:$AD$68,$A26,0)</f>
        <v>0</v>
      </c>
      <c r="H26" s="511">
        <f>VLOOKUP(H$7,'Bal Mes'!$B$8:$AD$68,$A26,0)</f>
        <v>0</v>
      </c>
    </row>
    <row r="27" spans="1:8" x14ac:dyDescent="0.35">
      <c r="A27">
        <v>18</v>
      </c>
      <c r="B27" s="650" t="s">
        <v>507</v>
      </c>
      <c r="C27" s="511">
        <f>VLOOKUP(C$7,'Bal Mes'!$B$8:$AD$68,$A27,0)</f>
        <v>0</v>
      </c>
      <c r="D27" s="511">
        <f>VLOOKUP(D$7,'Bal Mes'!$B$8:$AD$68,$A27,0)</f>
        <v>0</v>
      </c>
      <c r="E27" s="511">
        <f>VLOOKUP(E$7,'Bal Mes'!$B$8:$AD$68,$A27,0)</f>
        <v>76000000</v>
      </c>
      <c r="F27" s="511">
        <f>VLOOKUP(F$7,'Bal Mes'!$B$8:$AD$68,$A27,0)</f>
        <v>119000000</v>
      </c>
      <c r="G27" s="511">
        <f>VLOOKUP(G$7,'Bal Mes'!$B$8:$AD$68,$A27,0)</f>
        <v>130000000</v>
      </c>
      <c r="H27" s="511">
        <f>VLOOKUP(H$7,'Bal Mes'!$B$8:$AD$68,$A27,0)</f>
        <v>39000000</v>
      </c>
    </row>
    <row r="28" spans="1:8" x14ac:dyDescent="0.35">
      <c r="B28" s="657" t="s">
        <v>607</v>
      </c>
      <c r="C28" s="367">
        <f>SUM(C24:C27)</f>
        <v>214650000</v>
      </c>
      <c r="D28" s="367">
        <f t="shared" ref="D28:H28" si="5">SUM(D24:D27)</f>
        <v>214650000</v>
      </c>
      <c r="E28" s="367">
        <f t="shared" si="5"/>
        <v>183325000</v>
      </c>
      <c r="F28" s="367">
        <f t="shared" si="5"/>
        <v>119000000</v>
      </c>
      <c r="G28" s="367">
        <f t="shared" si="5"/>
        <v>130000000</v>
      </c>
      <c r="H28" s="367">
        <f t="shared" si="5"/>
        <v>39000000</v>
      </c>
    </row>
    <row r="29" spans="1:8" x14ac:dyDescent="0.35">
      <c r="B29" s="658" t="s">
        <v>566</v>
      </c>
      <c r="C29" s="41"/>
      <c r="D29" s="41"/>
      <c r="E29" s="41"/>
      <c r="F29" s="41"/>
      <c r="G29" s="41"/>
      <c r="H29" s="41"/>
    </row>
    <row r="30" spans="1:8" x14ac:dyDescent="0.35">
      <c r="A30">
        <v>19</v>
      </c>
      <c r="B30" s="650" t="s">
        <v>562</v>
      </c>
      <c r="C30" s="511">
        <f>VLOOKUP(C$7,'Bal Mes'!$B$8:$AD$68,$A30,0)</f>
        <v>0</v>
      </c>
      <c r="D30" s="511">
        <f>VLOOKUP(D$7,'Bal Mes'!$B$8:$AD$68,$A30,0)</f>
        <v>1715000</v>
      </c>
      <c r="E30" s="511">
        <f>VLOOKUP(E$7,'Bal Mes'!$B$8:$AD$68,$A30,0)</f>
        <v>4233000</v>
      </c>
      <c r="F30" s="511">
        <f>VLOOKUP(F$7,'Bal Mes'!$B$8:$AD$68,$A30,0)</f>
        <v>8864000</v>
      </c>
      <c r="G30" s="511">
        <f>VLOOKUP(G$7,'Bal Mes'!$B$8:$AD$68,$A30,0)</f>
        <v>18072000</v>
      </c>
      <c r="H30" s="511">
        <f>VLOOKUP(H$7,'Bal Mes'!$B$8:$AD$68,$A30,0)</f>
        <v>24503000</v>
      </c>
    </row>
    <row r="31" spans="1:8" x14ac:dyDescent="0.35">
      <c r="A31">
        <v>20</v>
      </c>
      <c r="B31" s="650" t="s">
        <v>230</v>
      </c>
      <c r="C31" s="511">
        <f>VLOOKUP(C$7,'Bal Mes'!$B$8:$AD$68,$A31,0)</f>
        <v>0</v>
      </c>
      <c r="D31" s="511">
        <f>VLOOKUP(D$7,'Bal Mes'!$B$8:$AD$68,$A31,0)</f>
        <v>6328768</v>
      </c>
      <c r="E31" s="511">
        <f>VLOOKUP(E$7,'Bal Mes'!$B$8:$AD$68,$A31,0)</f>
        <v>6901920</v>
      </c>
      <c r="F31" s="511">
        <f>VLOOKUP(F$7,'Bal Mes'!$B$8:$AD$68,$A31,0)</f>
        <v>7551717</v>
      </c>
      <c r="G31" s="511">
        <f>VLOOKUP(G$7,'Bal Mes'!$B$8:$AD$68,$A31,0)</f>
        <v>8284567</v>
      </c>
      <c r="H31" s="511">
        <f>VLOOKUP(H$7,'Bal Mes'!$B$8:$AD$68,$A31,0)</f>
        <v>8862279</v>
      </c>
    </row>
    <row r="32" spans="1:8" x14ac:dyDescent="0.35">
      <c r="A32">
        <v>21</v>
      </c>
      <c r="B32" s="650" t="s">
        <v>208</v>
      </c>
      <c r="C32" s="511">
        <f>VLOOKUP(C$7,'Bal Mes'!$B$8:$AD$68,$A32,0)</f>
        <v>0</v>
      </c>
      <c r="D32" s="511">
        <f>VLOOKUP(D$7,'Bal Mes'!$B$8:$AD$68,$A32,0)</f>
        <v>0</v>
      </c>
      <c r="E32" s="511">
        <f>VLOOKUP(E$7,'Bal Mes'!$B$8:$AD$68,$A32,0)</f>
        <v>0</v>
      </c>
      <c r="F32" s="511">
        <f>VLOOKUP(F$7,'Bal Mes'!$B$8:$AD$68,$A32,0)</f>
        <v>0</v>
      </c>
      <c r="G32" s="511">
        <f>VLOOKUP(G$7,'Bal Mes'!$B$8:$AD$68,$A32,0)</f>
        <v>0</v>
      </c>
      <c r="H32" s="511">
        <f>VLOOKUP(H$7,'Bal Mes'!$B$8:$AD$68,$A32,0)</f>
        <v>0</v>
      </c>
    </row>
    <row r="33" spans="1:8" x14ac:dyDescent="0.35">
      <c r="B33" s="657" t="s">
        <v>608</v>
      </c>
      <c r="C33" s="367">
        <f>SUM(C30:C32)</f>
        <v>0</v>
      </c>
      <c r="D33" s="367">
        <f t="shared" ref="D33:H33" si="6">SUM(D30:D32)</f>
        <v>8043768</v>
      </c>
      <c r="E33" s="367">
        <f t="shared" si="6"/>
        <v>11134920</v>
      </c>
      <c r="F33" s="367">
        <f t="shared" si="6"/>
        <v>16415717</v>
      </c>
      <c r="G33" s="367">
        <f t="shared" si="6"/>
        <v>26356567</v>
      </c>
      <c r="H33" s="367">
        <f t="shared" si="6"/>
        <v>33365279</v>
      </c>
    </row>
    <row r="34" spans="1:8" ht="14.5" customHeight="1" x14ac:dyDescent="0.35">
      <c r="B34" s="647" t="s">
        <v>574</v>
      </c>
      <c r="C34" s="648">
        <f>C33+C28</f>
        <v>214650000</v>
      </c>
      <c r="D34" s="648">
        <f t="shared" ref="D34:H34" si="7">D33+D28</f>
        <v>222693768</v>
      </c>
      <c r="E34" s="648">
        <f t="shared" si="7"/>
        <v>194459920</v>
      </c>
      <c r="F34" s="648">
        <f t="shared" si="7"/>
        <v>135415717</v>
      </c>
      <c r="G34" s="648">
        <f t="shared" si="7"/>
        <v>156356567</v>
      </c>
      <c r="H34" s="648">
        <f t="shared" si="7"/>
        <v>72365279</v>
      </c>
    </row>
    <row r="35" spans="1:8" x14ac:dyDescent="0.35">
      <c r="A35">
        <v>23</v>
      </c>
      <c r="B35" s="646" t="s">
        <v>155</v>
      </c>
      <c r="C35" s="511">
        <f>VLOOKUP(C$7,'Bal Mes'!$B$8:$AD$68,$A35,0)</f>
        <v>50000000</v>
      </c>
      <c r="D35" s="511">
        <f>VLOOKUP(D$7,'Bal Mes'!$B$8:$AD$68,$A35,0)</f>
        <v>50000000</v>
      </c>
      <c r="E35" s="511">
        <f>VLOOKUP(E$7,'Bal Mes'!$B$8:$AD$68,$A35,0)</f>
        <v>50000000</v>
      </c>
      <c r="F35" s="511">
        <f>VLOOKUP(F$7,'Bal Mes'!$B$8:$AD$68,$A35,0)</f>
        <v>50000000</v>
      </c>
      <c r="G35" s="511">
        <f>VLOOKUP(G$7,'Bal Mes'!$B$8:$AD$68,$A35,0)</f>
        <v>50000000</v>
      </c>
      <c r="H35" s="511">
        <f>VLOOKUP(H$7,'Bal Mes'!$B$8:$AD$68,$A35,0)</f>
        <v>50000000</v>
      </c>
    </row>
    <row r="36" spans="1:8" x14ac:dyDescent="0.35">
      <c r="A36">
        <v>24</v>
      </c>
      <c r="B36" s="646" t="s">
        <v>569</v>
      </c>
      <c r="C36" s="511">
        <f>VLOOKUP(C$7,'Bal Mes'!$B$8:$AD$68,$A36,0)</f>
        <v>0</v>
      </c>
      <c r="D36" s="511">
        <f>VLOOKUP(D$7,'Bal Mes'!$B$8:$AD$68,$A36,0)</f>
        <v>1734000</v>
      </c>
      <c r="E36" s="511">
        <f>VLOOKUP(E$7,'Bal Mes'!$B$8:$AD$68,$A36,0)</f>
        <v>6013000</v>
      </c>
      <c r="F36" s="511">
        <f>VLOOKUP(F$7,'Bal Mes'!$B$8:$AD$68,$A36,0)</f>
        <v>10938000</v>
      </c>
      <c r="G36" s="511">
        <f>VLOOKUP(G$7,'Bal Mes'!$B$8:$AD$68,$A36,0)</f>
        <v>17536000</v>
      </c>
      <c r="H36" s="511">
        <f>VLOOKUP(H$7,'Bal Mes'!$B$8:$AD$68,$A36,0)</f>
        <v>23915000</v>
      </c>
    </row>
    <row r="37" spans="1:8" x14ac:dyDescent="0.35">
      <c r="A37">
        <v>25</v>
      </c>
      <c r="B37" s="646" t="s">
        <v>570</v>
      </c>
      <c r="C37" s="511">
        <f>VLOOKUP(C$7,'Bal Mes'!$B$8:$AD$68,$A37,0)</f>
        <v>0</v>
      </c>
      <c r="D37" s="511">
        <f>VLOOKUP(D$7,'Bal Mes'!$B$8:$AD$68,$A37,0)</f>
        <v>15604646.520599842</v>
      </c>
      <c r="E37" s="511">
        <f>VLOOKUP(E$7,'Bal Mes'!$B$8:$AD$68,$A37,0)</f>
        <v>38511727.634399772</v>
      </c>
      <c r="F37" s="511">
        <f>VLOOKUP(F$7,'Bal Mes'!$B$8:$AD$68,$A37,0)</f>
        <v>44325419.753500044</v>
      </c>
      <c r="G37" s="511">
        <f>VLOOKUP(G$7,'Bal Mes'!$B$8:$AD$68,$A37,0)</f>
        <v>59380468.153599739</v>
      </c>
      <c r="H37" s="511">
        <f>VLOOKUP(H$7,'Bal Mes'!$B$8:$AD$68,$A37,0)</f>
        <v>57412744.07980001</v>
      </c>
    </row>
    <row r="38" spans="1:8" x14ac:dyDescent="0.35">
      <c r="A38">
        <v>26</v>
      </c>
      <c r="B38" s="646" t="s">
        <v>571</v>
      </c>
      <c r="C38" s="511">
        <f>VLOOKUP(C$7,'Bal Mes'!$B$8:$AD$68,$A38,0)</f>
        <v>0</v>
      </c>
      <c r="D38" s="511">
        <f>VLOOKUP(D$7,'Bal Mes'!$B$8:$AD$68,$A38,0)</f>
        <v>0</v>
      </c>
      <c r="E38" s="511">
        <f>VLOOKUP(E$7,'Bal Mes'!$B$8:$AD$68,$A38,0)</f>
        <v>15604646.520599842</v>
      </c>
      <c r="F38" s="511">
        <f>VLOOKUP(F$7,'Bal Mes'!$B$8:$AD$68,$A38,0)</f>
        <v>54116374.154999614</v>
      </c>
      <c r="G38" s="511">
        <f>VLOOKUP(G$7,'Bal Mes'!$B$8:$AD$68,$A38,0)</f>
        <v>98441793.908499658</v>
      </c>
      <c r="H38" s="511">
        <f>VLOOKUP(H$7,'Bal Mes'!$B$8:$AD$68,$A38,0)</f>
        <v>157822262.0620994</v>
      </c>
    </row>
    <row r="39" spans="1:8" x14ac:dyDescent="0.35">
      <c r="B39" s="647" t="s">
        <v>573</v>
      </c>
      <c r="C39" s="648">
        <f>SUM(C35:C38)</f>
        <v>50000000</v>
      </c>
      <c r="D39" s="648">
        <f t="shared" ref="D39:H39" si="8">SUM(D35:D38)</f>
        <v>67338646.520599842</v>
      </c>
      <c r="E39" s="648">
        <f t="shared" si="8"/>
        <v>110129374.15499961</v>
      </c>
      <c r="F39" s="648">
        <f t="shared" si="8"/>
        <v>159379793.90849966</v>
      </c>
      <c r="G39" s="648">
        <f t="shared" si="8"/>
        <v>225358262.0620994</v>
      </c>
      <c r="H39" s="648">
        <f t="shared" si="8"/>
        <v>289150006.14189941</v>
      </c>
    </row>
    <row r="40" spans="1:8" ht="15" thickBot="1" x14ac:dyDescent="0.4">
      <c r="B40" s="660" t="s">
        <v>572</v>
      </c>
      <c r="C40" s="661">
        <f>C34+C39</f>
        <v>264650000</v>
      </c>
      <c r="D40" s="661">
        <f t="shared" ref="D40:H40" si="9">D34+D39</f>
        <v>290032414.52059984</v>
      </c>
      <c r="E40" s="661">
        <f t="shared" si="9"/>
        <v>304589294.15499961</v>
      </c>
      <c r="F40" s="661">
        <f t="shared" si="9"/>
        <v>294795510.90849966</v>
      </c>
      <c r="G40" s="661">
        <f t="shared" si="9"/>
        <v>381714829.0620994</v>
      </c>
      <c r="H40" s="661">
        <f t="shared" si="9"/>
        <v>361515285.14189941</v>
      </c>
    </row>
    <row r="41" spans="1:8" ht="15" thickBot="1" x14ac:dyDescent="0.4">
      <c r="B41" s="659" t="s">
        <v>77</v>
      </c>
      <c r="C41" s="643">
        <f>C22-C40</f>
        <v>0</v>
      </c>
      <c r="D41" s="643">
        <f t="shared" ref="D41:H41" si="10">D22-D40</f>
        <v>0</v>
      </c>
      <c r="E41" s="643">
        <f t="shared" si="10"/>
        <v>0</v>
      </c>
      <c r="F41" s="643">
        <f t="shared" si="10"/>
        <v>0</v>
      </c>
      <c r="G41" s="643">
        <f t="shared" si="10"/>
        <v>0</v>
      </c>
      <c r="H41" s="643">
        <f t="shared" si="10"/>
        <v>0</v>
      </c>
    </row>
    <row r="43" spans="1:8" x14ac:dyDescent="0.35">
      <c r="B43" t="s">
        <v>610</v>
      </c>
      <c r="C43" s="175" t="e">
        <f>HLOOKUP(C$7,'PyG-Año'!$C$7:$H$17,12,0)</f>
        <v>#REF!</v>
      </c>
      <c r="D43" s="175" t="e">
        <f>HLOOKUP(D$7,'PyG-Año'!$C$7:$H$17,12,0)</f>
        <v>#REF!</v>
      </c>
      <c r="E43" s="175" t="e">
        <f>HLOOKUP(E$7,'PyG-Año'!$C$7:$H$17,12,0)</f>
        <v>#REF!</v>
      </c>
      <c r="F43" s="175" t="e">
        <f>HLOOKUP(F$7,'PyG-Año'!$C$7:$H$17,12,0)</f>
        <v>#REF!</v>
      </c>
      <c r="G43" s="175" t="e">
        <f>HLOOKUP(G$7,'PyG-Año'!$C$7:$H$17,12,0)</f>
        <v>#REF!</v>
      </c>
      <c r="H43" s="175" t="e">
        <f>HLOOKUP(H$7,'PyG-Año'!$C$7:$H$17,12,0)</f>
        <v>#REF!</v>
      </c>
    </row>
    <row r="44" spans="1:8" x14ac:dyDescent="0.35">
      <c r="B44" t="s">
        <v>611</v>
      </c>
      <c r="C44" s="175" t="e">
        <f>C36+C37-C43</f>
        <v>#REF!</v>
      </c>
      <c r="D44" s="175" t="e">
        <f>D36+(D37-C36)-D43</f>
        <v>#REF!</v>
      </c>
      <c r="E44" s="175" t="e">
        <f>E36+(E37-D36)-E43</f>
        <v>#REF!</v>
      </c>
      <c r="F44" s="175" t="e">
        <f>F36+(F37-E36)-F43</f>
        <v>#REF!</v>
      </c>
      <c r="G44" s="175" t="e">
        <f>G36+(G37-F36)-G43</f>
        <v>#REF!</v>
      </c>
      <c r="H44" s="175" t="e">
        <f>H36+(H37-G36)-H43</f>
        <v>#REF!</v>
      </c>
    </row>
  </sheetData>
  <mergeCells count="1">
    <mergeCell ref="B5:H5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BP32"/>
  <sheetViews>
    <sheetView workbookViewId="0">
      <pane xSplit="5" ySplit="4" topLeftCell="F17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2" x14ac:dyDescent="0.35"/>
  <cols>
    <col min="1" max="1" width="4.26953125" customWidth="1"/>
    <col min="2" max="2" width="4.6328125" customWidth="1"/>
    <col min="3" max="3" width="2.81640625" bestFit="1" customWidth="1"/>
    <col min="4" max="4" width="9.453125" customWidth="1"/>
    <col min="5" max="5" width="15.6328125" customWidth="1"/>
    <col min="6" max="6" width="31.1796875" customWidth="1"/>
    <col min="7" max="40" width="11.54296875" customWidth="1"/>
    <col min="41" max="44" width="11.54296875" customWidth="1" outlineLevel="1"/>
    <col min="45" max="53" width="11.54296875" customWidth="1"/>
    <col min="54" max="54" width="11.54296875" customWidth="1" outlineLevel="1"/>
    <col min="55" max="60" width="11.54296875" customWidth="1" outlineLevel="2"/>
    <col min="61" max="67" width="11.54296875" customWidth="1"/>
    <col min="68" max="68" width="12.1796875" bestFit="1" customWidth="1"/>
  </cols>
  <sheetData>
    <row r="1" spans="1:67" x14ac:dyDescent="0.35">
      <c r="D1" s="172"/>
      <c r="E1" s="172"/>
      <c r="F1" s="172"/>
      <c r="G1" s="398">
        <f>YEAR(G3)</f>
        <v>2014</v>
      </c>
      <c r="H1" s="398">
        <f>YEAR(H3)</f>
        <v>2015</v>
      </c>
      <c r="I1" s="398">
        <f t="shared" ref="I1:BO1" si="0">YEAR(I3)</f>
        <v>2015</v>
      </c>
      <c r="J1" s="398">
        <f t="shared" si="0"/>
        <v>2015</v>
      </c>
      <c r="K1" s="398">
        <f t="shared" si="0"/>
        <v>2015</v>
      </c>
      <c r="L1" s="398">
        <f t="shared" si="0"/>
        <v>2015</v>
      </c>
      <c r="M1" s="398">
        <f t="shared" si="0"/>
        <v>2015</v>
      </c>
      <c r="N1" s="398">
        <f t="shared" si="0"/>
        <v>2015</v>
      </c>
      <c r="O1" s="398">
        <f t="shared" si="0"/>
        <v>2015</v>
      </c>
      <c r="P1" s="398">
        <f t="shared" si="0"/>
        <v>2015</v>
      </c>
      <c r="Q1" s="398">
        <f t="shared" si="0"/>
        <v>2015</v>
      </c>
      <c r="R1" s="398">
        <f t="shared" si="0"/>
        <v>2015</v>
      </c>
      <c r="S1" s="398">
        <f t="shared" si="0"/>
        <v>2015</v>
      </c>
      <c r="T1" s="398">
        <f t="shared" si="0"/>
        <v>2016</v>
      </c>
      <c r="U1" s="398">
        <f t="shared" si="0"/>
        <v>2016</v>
      </c>
      <c r="V1" s="398">
        <f t="shared" si="0"/>
        <v>2016</v>
      </c>
      <c r="W1" s="398">
        <f t="shared" si="0"/>
        <v>2016</v>
      </c>
      <c r="X1" s="398">
        <f t="shared" si="0"/>
        <v>2016</v>
      </c>
      <c r="Y1" s="398">
        <f t="shared" si="0"/>
        <v>2016</v>
      </c>
      <c r="Z1" s="398">
        <f t="shared" si="0"/>
        <v>2016</v>
      </c>
      <c r="AA1" s="398">
        <f t="shared" si="0"/>
        <v>2016</v>
      </c>
      <c r="AB1" s="398">
        <f t="shared" si="0"/>
        <v>2016</v>
      </c>
      <c r="AC1" s="398">
        <f t="shared" si="0"/>
        <v>2016</v>
      </c>
      <c r="AD1" s="398">
        <f t="shared" si="0"/>
        <v>2016</v>
      </c>
      <c r="AE1" s="398">
        <f t="shared" si="0"/>
        <v>2016</v>
      </c>
      <c r="AF1" s="398">
        <f t="shared" si="0"/>
        <v>2017</v>
      </c>
      <c r="AG1" s="398">
        <f t="shared" si="0"/>
        <v>2017</v>
      </c>
      <c r="AH1" s="398">
        <f t="shared" si="0"/>
        <v>2017</v>
      </c>
      <c r="AI1" s="398">
        <f t="shared" si="0"/>
        <v>2017</v>
      </c>
      <c r="AJ1" s="398">
        <f t="shared" si="0"/>
        <v>2017</v>
      </c>
      <c r="AK1" s="398">
        <f t="shared" si="0"/>
        <v>2017</v>
      </c>
      <c r="AL1" s="398">
        <f t="shared" si="0"/>
        <v>2017</v>
      </c>
      <c r="AM1" s="398">
        <f t="shared" si="0"/>
        <v>2017</v>
      </c>
      <c r="AN1" s="398">
        <f t="shared" si="0"/>
        <v>2017</v>
      </c>
      <c r="AO1" s="398">
        <f t="shared" si="0"/>
        <v>2017</v>
      </c>
      <c r="AP1" s="398">
        <f t="shared" si="0"/>
        <v>2017</v>
      </c>
      <c r="AQ1" s="398">
        <f t="shared" si="0"/>
        <v>2017</v>
      </c>
      <c r="AR1" s="398">
        <f t="shared" si="0"/>
        <v>2018</v>
      </c>
      <c r="AS1" s="398">
        <f t="shared" si="0"/>
        <v>2018</v>
      </c>
      <c r="AT1" s="398">
        <f t="shared" si="0"/>
        <v>2018</v>
      </c>
      <c r="AU1" s="398">
        <f t="shared" si="0"/>
        <v>2018</v>
      </c>
      <c r="AV1" s="398">
        <f t="shared" si="0"/>
        <v>2018</v>
      </c>
      <c r="AW1" s="398">
        <f t="shared" si="0"/>
        <v>2018</v>
      </c>
      <c r="AX1" s="398">
        <f t="shared" si="0"/>
        <v>2018</v>
      </c>
      <c r="AY1" s="398">
        <f t="shared" si="0"/>
        <v>2018</v>
      </c>
      <c r="AZ1" s="398">
        <f t="shared" si="0"/>
        <v>2018</v>
      </c>
      <c r="BA1" s="398">
        <f t="shared" si="0"/>
        <v>2018</v>
      </c>
      <c r="BB1" s="398">
        <f t="shared" si="0"/>
        <v>2018</v>
      </c>
      <c r="BC1" s="398">
        <f t="shared" si="0"/>
        <v>2018</v>
      </c>
      <c r="BD1" s="398">
        <f t="shared" si="0"/>
        <v>2019</v>
      </c>
      <c r="BE1" s="398">
        <f t="shared" si="0"/>
        <v>2019</v>
      </c>
      <c r="BF1" s="398">
        <f t="shared" si="0"/>
        <v>2019</v>
      </c>
      <c r="BG1" s="398">
        <f t="shared" si="0"/>
        <v>2019</v>
      </c>
      <c r="BH1" s="398">
        <f t="shared" si="0"/>
        <v>2019</v>
      </c>
      <c r="BI1" s="398">
        <f t="shared" si="0"/>
        <v>2019</v>
      </c>
      <c r="BJ1" s="398">
        <f t="shared" si="0"/>
        <v>2019</v>
      </c>
      <c r="BK1" s="398">
        <f t="shared" si="0"/>
        <v>2019</v>
      </c>
      <c r="BL1" s="398">
        <f t="shared" si="0"/>
        <v>2019</v>
      </c>
      <c r="BM1" s="398">
        <f t="shared" si="0"/>
        <v>2019</v>
      </c>
      <c r="BN1" s="398">
        <f t="shared" si="0"/>
        <v>2019</v>
      </c>
      <c r="BO1" s="398">
        <f t="shared" si="0"/>
        <v>2019</v>
      </c>
    </row>
    <row r="2" spans="1:67" x14ac:dyDescent="0.35">
      <c r="D2" s="172"/>
      <c r="E2" s="172"/>
      <c r="F2" s="172"/>
      <c r="G2" s="398">
        <v>0</v>
      </c>
      <c r="H2" s="398">
        <v>1</v>
      </c>
      <c r="I2" s="398">
        <v>2</v>
      </c>
      <c r="J2" s="398">
        <v>3</v>
      </c>
      <c r="K2" s="398">
        <v>4</v>
      </c>
      <c r="L2" s="398">
        <v>5</v>
      </c>
      <c r="M2" s="398">
        <v>6</v>
      </c>
      <c r="N2" s="398">
        <v>7</v>
      </c>
      <c r="O2" s="398">
        <v>8</v>
      </c>
      <c r="P2" s="398">
        <v>9</v>
      </c>
      <c r="Q2" s="398">
        <v>10</v>
      </c>
      <c r="R2" s="398">
        <v>11</v>
      </c>
      <c r="S2" s="398">
        <v>12</v>
      </c>
      <c r="T2" s="398">
        <v>13</v>
      </c>
      <c r="U2" s="398">
        <v>14</v>
      </c>
      <c r="V2" s="398">
        <v>15</v>
      </c>
      <c r="W2" s="398">
        <v>16</v>
      </c>
      <c r="X2" s="398">
        <v>17</v>
      </c>
      <c r="Y2" s="398">
        <v>18</v>
      </c>
      <c r="Z2" s="398">
        <v>19</v>
      </c>
      <c r="AA2" s="398">
        <v>20</v>
      </c>
      <c r="AB2" s="398">
        <v>21</v>
      </c>
      <c r="AC2" s="398">
        <v>22</v>
      </c>
      <c r="AD2" s="398">
        <v>23</v>
      </c>
      <c r="AE2" s="398">
        <v>24</v>
      </c>
      <c r="AF2" s="398">
        <v>25</v>
      </c>
      <c r="AG2" s="398">
        <v>26</v>
      </c>
      <c r="AH2" s="398">
        <v>27</v>
      </c>
      <c r="AI2" s="398">
        <v>28</v>
      </c>
      <c r="AJ2" s="398">
        <v>29</v>
      </c>
      <c r="AK2" s="398">
        <v>30</v>
      </c>
      <c r="AL2" s="398">
        <v>31</v>
      </c>
      <c r="AM2" s="398">
        <v>32</v>
      </c>
      <c r="AN2" s="398">
        <v>33</v>
      </c>
      <c r="AO2" s="398">
        <v>34</v>
      </c>
      <c r="AP2" s="398">
        <v>35</v>
      </c>
      <c r="AQ2" s="398">
        <v>36</v>
      </c>
      <c r="AR2" s="398">
        <v>37</v>
      </c>
      <c r="AS2" s="398">
        <v>38</v>
      </c>
      <c r="AT2" s="398">
        <v>39</v>
      </c>
      <c r="AU2" s="398">
        <v>40</v>
      </c>
      <c r="AV2" s="398">
        <v>41</v>
      </c>
      <c r="AW2" s="398">
        <v>42</v>
      </c>
      <c r="AX2" s="398">
        <v>43</v>
      </c>
      <c r="AY2" s="398">
        <v>44</v>
      </c>
      <c r="AZ2" s="398">
        <v>45</v>
      </c>
      <c r="BA2" s="398">
        <v>46</v>
      </c>
      <c r="BB2" s="398">
        <v>47</v>
      </c>
      <c r="BC2" s="398">
        <v>48</v>
      </c>
      <c r="BD2" s="398">
        <v>49</v>
      </c>
      <c r="BE2" s="398">
        <v>50</v>
      </c>
      <c r="BF2" s="398">
        <v>51</v>
      </c>
      <c r="BG2" s="398">
        <v>52</v>
      </c>
      <c r="BH2" s="398">
        <v>53</v>
      </c>
      <c r="BI2" s="398">
        <v>54</v>
      </c>
      <c r="BJ2" s="398">
        <v>55</v>
      </c>
      <c r="BK2" s="398">
        <v>56</v>
      </c>
      <c r="BL2" s="398">
        <v>57</v>
      </c>
      <c r="BM2" s="398">
        <v>58</v>
      </c>
      <c r="BN2" s="398">
        <v>59</v>
      </c>
      <c r="BO2" s="398">
        <v>60</v>
      </c>
    </row>
    <row r="3" spans="1:67" x14ac:dyDescent="0.35">
      <c r="D3" s="397" t="s">
        <v>609</v>
      </c>
      <c r="E3" s="397"/>
      <c r="F3" s="397"/>
      <c r="G3" s="396">
        <v>42004</v>
      </c>
      <c r="H3" s="404">
        <v>42035</v>
      </c>
      <c r="I3" s="396">
        <v>42063</v>
      </c>
      <c r="J3" s="404">
        <v>42094</v>
      </c>
      <c r="K3" s="396">
        <v>42124</v>
      </c>
      <c r="L3" s="404">
        <v>42155</v>
      </c>
      <c r="M3" s="396">
        <v>42185</v>
      </c>
      <c r="N3" s="404">
        <v>42216</v>
      </c>
      <c r="O3" s="396">
        <v>42247</v>
      </c>
      <c r="P3" s="404">
        <v>42277</v>
      </c>
      <c r="Q3" s="396">
        <v>42308</v>
      </c>
      <c r="R3" s="404">
        <v>42338</v>
      </c>
      <c r="S3" s="396">
        <v>42369</v>
      </c>
      <c r="T3" s="404">
        <v>42400</v>
      </c>
      <c r="U3" s="396">
        <v>42429</v>
      </c>
      <c r="V3" s="404">
        <v>42460</v>
      </c>
      <c r="W3" s="396">
        <v>42490</v>
      </c>
      <c r="X3" s="404">
        <v>42521</v>
      </c>
      <c r="Y3" s="396">
        <v>42551</v>
      </c>
      <c r="Z3" s="404">
        <v>42582</v>
      </c>
      <c r="AA3" s="396">
        <v>42613</v>
      </c>
      <c r="AB3" s="404">
        <v>42643</v>
      </c>
      <c r="AC3" s="396">
        <v>42674</v>
      </c>
      <c r="AD3" s="404">
        <v>42704</v>
      </c>
      <c r="AE3" s="396">
        <v>42735</v>
      </c>
      <c r="AF3" s="404">
        <v>42766</v>
      </c>
      <c r="AG3" s="396">
        <v>42794</v>
      </c>
      <c r="AH3" s="404">
        <v>42825</v>
      </c>
      <c r="AI3" s="396">
        <v>42855</v>
      </c>
      <c r="AJ3" s="404">
        <v>42886</v>
      </c>
      <c r="AK3" s="396">
        <v>42916</v>
      </c>
      <c r="AL3" s="404">
        <v>42947</v>
      </c>
      <c r="AM3" s="396">
        <v>42978</v>
      </c>
      <c r="AN3" s="404">
        <v>43008</v>
      </c>
      <c r="AO3" s="396">
        <v>43039</v>
      </c>
      <c r="AP3" s="404">
        <v>43069</v>
      </c>
      <c r="AQ3" s="396">
        <v>43100</v>
      </c>
      <c r="AR3" s="404">
        <v>43131</v>
      </c>
      <c r="AS3" s="396">
        <v>43159</v>
      </c>
      <c r="AT3" s="404">
        <v>43190</v>
      </c>
      <c r="AU3" s="396">
        <v>43220</v>
      </c>
      <c r="AV3" s="404">
        <v>43251</v>
      </c>
      <c r="AW3" s="396">
        <v>43281</v>
      </c>
      <c r="AX3" s="404">
        <v>43312</v>
      </c>
      <c r="AY3" s="396">
        <v>43343</v>
      </c>
      <c r="AZ3" s="404">
        <v>43373</v>
      </c>
      <c r="BA3" s="396">
        <v>43404</v>
      </c>
      <c r="BB3" s="396">
        <v>43434</v>
      </c>
      <c r="BC3" s="404">
        <v>43465</v>
      </c>
      <c r="BD3" s="396">
        <v>43496</v>
      </c>
      <c r="BE3" s="404">
        <v>43524</v>
      </c>
      <c r="BF3" s="396">
        <v>43555</v>
      </c>
      <c r="BG3" s="404">
        <v>43585</v>
      </c>
      <c r="BH3" s="396">
        <v>43616</v>
      </c>
      <c r="BI3" s="404">
        <v>43646</v>
      </c>
      <c r="BJ3" s="396">
        <v>43677</v>
      </c>
      <c r="BK3" s="404">
        <v>43708</v>
      </c>
      <c r="BL3" s="396">
        <v>43738</v>
      </c>
      <c r="BM3" s="396">
        <v>43769</v>
      </c>
      <c r="BN3" s="404">
        <v>43799</v>
      </c>
      <c r="BO3" s="396">
        <v>43830</v>
      </c>
    </row>
    <row r="4" spans="1:67" x14ac:dyDescent="0.35">
      <c r="D4" s="172"/>
      <c r="E4" s="172"/>
      <c r="F4" s="172"/>
      <c r="G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</row>
    <row r="6" spans="1:67" x14ac:dyDescent="0.35">
      <c r="A6" s="412">
        <v>1</v>
      </c>
      <c r="B6" s="410" t="s">
        <v>619</v>
      </c>
      <c r="C6">
        <v>3</v>
      </c>
      <c r="D6" s="400" t="s">
        <v>516</v>
      </c>
      <c r="E6" s="400"/>
      <c r="F6" s="400"/>
      <c r="G6" s="175">
        <f>SUMIF('PyG-Mes'!$B$7:$B$67,G$3,'PyG-Mes'!$D$7:$D$67)*IF($B6="+",1,-1)*IF($A6=1,1,0)</f>
        <v>0</v>
      </c>
      <c r="H6" s="175">
        <f>SUMIF('PyG-Mes'!$B$7:$B$67,H$3,'PyG-Mes'!$D$7:$D$67)*IF($B6="+",1,-1)*IF($A6=1,1,0)</f>
        <v>104483000</v>
      </c>
      <c r="I6" s="175">
        <f>SUMIF('PyG-Mes'!$B$7:$B$67,I$3,'PyG-Mes'!$D$7:$D$67)*IF($B6="+",1,-1)*IF($A6=1,1,0)</f>
        <v>104483000</v>
      </c>
      <c r="J6" s="175">
        <f>SUMIF('PyG-Mes'!$B$7:$B$67,J$3,'PyG-Mes'!$D$7:$D$67)*IF($B6="+",1,-1)*IF($A6=1,1,0)</f>
        <v>104483000</v>
      </c>
      <c r="K6" s="175">
        <f>SUMIF('PyG-Mes'!$B$7:$B$67,K$3,'PyG-Mes'!$D$7:$D$67)*IF($B6="+",1,-1)*IF($A6=1,1,0)</f>
        <v>104483000</v>
      </c>
      <c r="L6" s="175">
        <f>SUMIF('PyG-Mes'!$B$7:$B$67,L$3,'PyG-Mes'!$D$7:$D$67)*IF($B6="+",1,-1)*IF($A6=1,1,0)</f>
        <v>104483000</v>
      </c>
      <c r="M6" s="175">
        <f>SUMIF('PyG-Mes'!$B$7:$B$67,M$3,'PyG-Mes'!$D$7:$D$67)*IF($B6="+",1,-1)*IF($A6=1,1,0)</f>
        <v>104483000</v>
      </c>
      <c r="N6" s="175">
        <f>SUMIF('PyG-Mes'!$B$7:$B$67,N$3,'PyG-Mes'!$D$7:$D$67)*IF($B6="+",1,-1)*IF($A6=1,1,0)</f>
        <v>104483000</v>
      </c>
      <c r="O6" s="175">
        <f>SUMIF('PyG-Mes'!$B$7:$B$67,O$3,'PyG-Mes'!$D$7:$D$67)*IF($B6="+",1,-1)*IF($A6=1,1,0)</f>
        <v>104483000</v>
      </c>
      <c r="P6" s="175">
        <f>SUMIF('PyG-Mes'!$B$7:$B$67,P$3,'PyG-Mes'!$D$7:$D$67)*IF($B6="+",1,-1)*IF($A6=1,1,0)</f>
        <v>104483000</v>
      </c>
      <c r="Q6" s="175">
        <f>SUMIF('PyG-Mes'!$B$7:$B$67,Q$3,'PyG-Mes'!$D$7:$D$67)*IF($B6="+",1,-1)*IF($A6=1,1,0)</f>
        <v>104483000</v>
      </c>
      <c r="R6" s="175">
        <f>SUMIF('PyG-Mes'!$B$7:$B$67,R$3,'PyG-Mes'!$D$7:$D$67)*IF($B6="+",1,-1)*IF($A6=1,1,0)</f>
        <v>104483000</v>
      </c>
      <c r="S6" s="175">
        <f>SUMIF('PyG-Mes'!$B$7:$B$67,S$3,'PyG-Mes'!$D$7:$D$67)*IF($B6="+",1,-1)*IF($A6=1,1,0)</f>
        <v>104483000</v>
      </c>
      <c r="T6" s="175">
        <f>SUMIF('PyG-Mes'!$B$7:$B$67,T$3,'PyG-Mes'!$D$7:$D$67)*IF($B6="+",1,-1)*IF($A6=1,1,0)</f>
        <v>119393000</v>
      </c>
      <c r="U6" s="175">
        <f>SUMIF('PyG-Mes'!$B$7:$B$67,U$3,'PyG-Mes'!$D$7:$D$67)*IF($B6="+",1,-1)*IF($A6=1,1,0)</f>
        <v>119393000</v>
      </c>
      <c r="V6" s="175">
        <f>SUMIF('PyG-Mes'!$B$7:$B$67,V$3,'PyG-Mes'!$D$7:$D$67)*IF($B6="+",1,-1)*IF($A6=1,1,0)</f>
        <v>119393000</v>
      </c>
      <c r="W6" s="175">
        <f>SUMIF('PyG-Mes'!$B$7:$B$67,W$3,'PyG-Mes'!$D$7:$D$67)*IF($B6="+",1,-1)*IF($A6=1,1,0)</f>
        <v>119393000</v>
      </c>
      <c r="X6" s="175">
        <f>SUMIF('PyG-Mes'!$B$7:$B$67,X$3,'PyG-Mes'!$D$7:$D$67)*IF($B6="+",1,-1)*IF($A6=1,1,0)</f>
        <v>119393000</v>
      </c>
      <c r="Y6" s="175">
        <f>SUMIF('PyG-Mes'!$B$7:$B$67,Y$3,'PyG-Mes'!$D$7:$D$67)*IF($B6="+",1,-1)*IF($A6=1,1,0)</f>
        <v>119393000</v>
      </c>
      <c r="Z6" s="175">
        <f>SUMIF('PyG-Mes'!$B$7:$B$67,Z$3,'PyG-Mes'!$D$7:$D$67)*IF($B6="+",1,-1)*IF($A6=1,1,0)</f>
        <v>119393000</v>
      </c>
      <c r="AA6" s="175">
        <f>SUMIF('PyG-Mes'!$B$7:$B$67,AA$3,'PyG-Mes'!$D$7:$D$67)*IF($B6="+",1,-1)*IF($A6=1,1,0)</f>
        <v>119393000</v>
      </c>
      <c r="AB6" s="175">
        <f>SUMIF('PyG-Mes'!$B$7:$B$67,AB$3,'PyG-Mes'!$D$7:$D$67)*IF($B6="+",1,-1)*IF($A6=1,1,0)</f>
        <v>119393000</v>
      </c>
      <c r="AC6" s="175">
        <f>SUMIF('PyG-Mes'!$B$7:$B$67,AC$3,'PyG-Mes'!$D$7:$D$67)*IF($B6="+",1,-1)*IF($A6=1,1,0)</f>
        <v>119393000</v>
      </c>
      <c r="AD6" s="175">
        <f>SUMIF('PyG-Mes'!$B$7:$B$67,AD$3,'PyG-Mes'!$D$7:$D$67)*IF($B6="+",1,-1)*IF($A6=1,1,0)</f>
        <v>119393000</v>
      </c>
      <c r="AE6" s="175">
        <f>SUMIF('PyG-Mes'!$B$7:$B$67,AE$3,'PyG-Mes'!$D$7:$D$67)*IF($B6="+",1,-1)*IF($A6=1,1,0)</f>
        <v>119393000</v>
      </c>
      <c r="AF6" s="175">
        <f>SUMIF('PyG-Mes'!$B$7:$B$67,AF$3,'PyG-Mes'!$D$7:$D$67)*IF($B6="+",1,-1)*IF($A6=1,1,0)</f>
        <v>136718000</v>
      </c>
      <c r="AG6" s="175">
        <f>SUMIF('PyG-Mes'!$B$7:$B$67,AG$3,'PyG-Mes'!$D$7:$D$67)*IF($B6="+",1,-1)*IF($A6=1,1,0)</f>
        <v>136718000</v>
      </c>
      <c r="AH6" s="175">
        <f>SUMIF('PyG-Mes'!$B$7:$B$67,AH$3,'PyG-Mes'!$D$7:$D$67)*IF($B6="+",1,-1)*IF($A6=1,1,0)</f>
        <v>136718000</v>
      </c>
      <c r="AI6" s="175">
        <f>SUMIF('PyG-Mes'!$B$7:$B$67,AI$3,'PyG-Mes'!$D$7:$D$67)*IF($B6="+",1,-1)*IF($A6=1,1,0)</f>
        <v>136718000</v>
      </c>
      <c r="AJ6" s="175">
        <f>SUMIF('PyG-Mes'!$B$7:$B$67,AJ$3,'PyG-Mes'!$D$7:$D$67)*IF($B6="+",1,-1)*IF($A6=1,1,0)</f>
        <v>136718000</v>
      </c>
      <c r="AK6" s="175">
        <f>SUMIF('PyG-Mes'!$B$7:$B$67,AK$3,'PyG-Mes'!$D$7:$D$67)*IF($B6="+",1,-1)*IF($A6=1,1,0)</f>
        <v>136718000</v>
      </c>
      <c r="AL6" s="175">
        <f>SUMIF('PyG-Mes'!$B$7:$B$67,AL$3,'PyG-Mes'!$D$7:$D$67)*IF($B6="+",1,-1)*IF($A6=1,1,0)</f>
        <v>136718000</v>
      </c>
      <c r="AM6" s="175">
        <f>SUMIF('PyG-Mes'!$B$7:$B$67,AM$3,'PyG-Mes'!$D$7:$D$67)*IF($B6="+",1,-1)*IF($A6=1,1,0)</f>
        <v>136718000</v>
      </c>
      <c r="AN6" s="175">
        <f>SUMIF('PyG-Mes'!$B$7:$B$67,AN$3,'PyG-Mes'!$D$7:$D$67)*IF($B6="+",1,-1)*IF($A6=1,1,0)</f>
        <v>136718000</v>
      </c>
      <c r="AO6" s="175">
        <f>SUMIF('PyG-Mes'!$B$7:$B$67,AO$3,'PyG-Mes'!$D$7:$D$67)*IF($B6="+",1,-1)*IF($A6=1,1,0)</f>
        <v>136718000</v>
      </c>
      <c r="AP6" s="175">
        <f>SUMIF('PyG-Mes'!$B$7:$B$67,AP$3,'PyG-Mes'!$D$7:$D$67)*IF($B6="+",1,-1)*IF($A6=1,1,0)</f>
        <v>136718000</v>
      </c>
      <c r="AQ6" s="175">
        <f>SUMIF('PyG-Mes'!$B$7:$B$67,AQ$3,'PyG-Mes'!$D$7:$D$67)*IF($B6="+",1,-1)*IF($A6=1,1,0)</f>
        <v>136718000</v>
      </c>
      <c r="AR6" s="175">
        <f>SUMIF('PyG-Mes'!$B$7:$B$67,AR$3,'PyG-Mes'!$D$7:$D$67)*IF($B6="+",1,-1)*IF($A6=1,1,0)</f>
        <v>156674000</v>
      </c>
      <c r="AS6" s="175">
        <f>SUMIF('PyG-Mes'!$B$7:$B$67,AS$3,'PyG-Mes'!$D$7:$D$67)*IF($B6="+",1,-1)*IF($A6=1,1,0)</f>
        <v>156674000</v>
      </c>
      <c r="AT6" s="175">
        <f>SUMIF('PyG-Mes'!$B$7:$B$67,AT$3,'PyG-Mes'!$D$7:$D$67)*IF($B6="+",1,-1)*IF($A6=1,1,0)</f>
        <v>156674000</v>
      </c>
      <c r="AU6" s="175">
        <f>SUMIF('PyG-Mes'!$B$7:$B$67,AU$3,'PyG-Mes'!$D$7:$D$67)*IF($B6="+",1,-1)*IF($A6=1,1,0)</f>
        <v>156674000</v>
      </c>
      <c r="AV6" s="175">
        <f>SUMIF('PyG-Mes'!$B$7:$B$67,AV$3,'PyG-Mes'!$D$7:$D$67)*IF($B6="+",1,-1)*IF($A6=1,1,0)</f>
        <v>156674000</v>
      </c>
      <c r="AW6" s="175">
        <f>SUMIF('PyG-Mes'!$B$7:$B$67,AW$3,'PyG-Mes'!$D$7:$D$67)*IF($B6="+",1,-1)*IF($A6=1,1,0)</f>
        <v>156674000</v>
      </c>
      <c r="AX6" s="175">
        <f>SUMIF('PyG-Mes'!$B$7:$B$67,AX$3,'PyG-Mes'!$D$7:$D$67)*IF($B6="+",1,-1)*IF($A6=1,1,0)</f>
        <v>156674000</v>
      </c>
      <c r="AY6" s="175">
        <f>SUMIF('PyG-Mes'!$B$7:$B$67,AY$3,'PyG-Mes'!$D$7:$D$67)*IF($B6="+",1,-1)*IF($A6=1,1,0)</f>
        <v>156674000</v>
      </c>
      <c r="AZ6" s="175">
        <f>SUMIF('PyG-Mes'!$B$7:$B$67,AZ$3,'PyG-Mes'!$D$7:$D$67)*IF($B6="+",1,-1)*IF($A6=1,1,0)</f>
        <v>156674000</v>
      </c>
      <c r="BA6" s="175">
        <f>SUMIF('PyG-Mes'!$B$7:$B$67,BA$3,'PyG-Mes'!$D$7:$D$67)*IF($B6="+",1,-1)*IF($A6=1,1,0)</f>
        <v>156674000</v>
      </c>
      <c r="BB6" s="175">
        <f>SUMIF('PyG-Mes'!$B$7:$B$67,BB$3,'PyG-Mes'!$D$7:$D$67)*IF($B6="+",1,-1)*IF($A6=1,1,0)</f>
        <v>156674000</v>
      </c>
      <c r="BC6" s="175">
        <f>SUMIF('PyG-Mes'!$B$7:$B$67,BC$3,'PyG-Mes'!$D$7:$D$67)*IF($B6="+",1,-1)*IF($A6=1,1,0)</f>
        <v>156674000</v>
      </c>
      <c r="BD6" s="175">
        <f>SUMIF('PyG-Mes'!$B$7:$B$67,BD$3,'PyG-Mes'!$D$7:$D$67)*IF($B6="+",1,-1)*IF($A6=1,1,0)</f>
        <v>171228000</v>
      </c>
      <c r="BE6" s="175">
        <f>SUMIF('PyG-Mes'!$B$7:$B$67,BE$3,'PyG-Mes'!$D$7:$D$67)*IF($B6="+",1,-1)*IF($A6=1,1,0)</f>
        <v>171228000</v>
      </c>
      <c r="BF6" s="175">
        <f>SUMIF('PyG-Mes'!$B$7:$B$67,BF$3,'PyG-Mes'!$D$7:$D$67)*IF($B6="+",1,-1)*IF($A6=1,1,0)</f>
        <v>171228000</v>
      </c>
      <c r="BG6" s="175">
        <f>SUMIF('PyG-Mes'!$B$7:$B$67,BG$3,'PyG-Mes'!$D$7:$D$67)*IF($B6="+",1,-1)*IF($A6=1,1,0)</f>
        <v>171228000</v>
      </c>
      <c r="BH6" s="175">
        <f>SUMIF('PyG-Mes'!$B$7:$B$67,BH$3,'PyG-Mes'!$D$7:$D$67)*IF($B6="+",1,-1)*IF($A6=1,1,0)</f>
        <v>171228000</v>
      </c>
      <c r="BI6" s="175">
        <f>SUMIF('PyG-Mes'!$B$7:$B$67,BI$3,'PyG-Mes'!$D$7:$D$67)*IF($B6="+",1,-1)*IF($A6=1,1,0)</f>
        <v>171228000</v>
      </c>
      <c r="BJ6" s="175">
        <f>SUMIF('PyG-Mes'!$B$7:$B$67,BJ$3,'PyG-Mes'!$D$7:$D$67)*IF($B6="+",1,-1)*IF($A6=1,1,0)</f>
        <v>171228000</v>
      </c>
      <c r="BK6" s="175">
        <f>SUMIF('PyG-Mes'!$B$7:$B$67,BK$3,'PyG-Mes'!$D$7:$D$67)*IF($B6="+",1,-1)*IF($A6=1,1,0)</f>
        <v>171228000</v>
      </c>
      <c r="BL6" s="175">
        <f>SUMIF('PyG-Mes'!$B$7:$B$67,BL$3,'PyG-Mes'!$D$7:$D$67)*IF($B6="+",1,-1)*IF($A6=1,1,0)</f>
        <v>171228000</v>
      </c>
      <c r="BM6" s="175">
        <f>SUMIF('PyG-Mes'!$B$7:$B$67,BM$3,'PyG-Mes'!$D$7:$D$67)*IF($B6="+",1,-1)*IF($A6=1,1,0)</f>
        <v>171228000</v>
      </c>
      <c r="BN6" s="175">
        <f>SUMIF('PyG-Mes'!$B$7:$B$67,BN$3,'PyG-Mes'!$D$7:$D$67)*IF($B6="+",1,-1)*IF($A6=1,1,0)</f>
        <v>171228000</v>
      </c>
      <c r="BO6" s="175">
        <f>SUMIF('PyG-Mes'!$B$7:$B$67,BO$3,'PyG-Mes'!$D$7:$D$67)*IF($B6="+",1,-1)*IF($A6=1,1,0)</f>
        <v>171228000</v>
      </c>
    </row>
    <row r="7" spans="1:67" x14ac:dyDescent="0.35">
      <c r="A7" s="412">
        <v>1</v>
      </c>
      <c r="B7" s="410" t="s">
        <v>619</v>
      </c>
      <c r="C7">
        <v>8</v>
      </c>
      <c r="D7" s="401" t="s">
        <v>252</v>
      </c>
      <c r="E7" s="401"/>
      <c r="F7" s="401"/>
      <c r="G7" s="175">
        <f>SUMIF('PyG-Mes'!$B$7:$B$67,G$3,'PyG-Mes'!$I$7:$I$67)*IF($B7="+",1,-1)*IF($A7=1,1,0)</f>
        <v>0</v>
      </c>
      <c r="H7" s="175">
        <f>SUMIF('PyG-Mes'!$B$7:$B$67,H$3,'PyG-Mes'!$I$7:$I$67)*IF($B7="+",1,-1)*IF($A7=1,1,0)</f>
        <v>-100671682.03995001</v>
      </c>
      <c r="I7" s="175">
        <f>SUMIF('PyG-Mes'!$B$7:$B$67,I$3,'PyG-Mes'!$I$7:$I$67)*IF($B7="+",1,-1)*IF($A7=1,1,0)</f>
        <v>-100671682.03995001</v>
      </c>
      <c r="J7" s="175">
        <f>SUMIF('PyG-Mes'!$B$7:$B$67,J$3,'PyG-Mes'!$I$7:$I$67)*IF($B7="+",1,-1)*IF($A7=1,1,0)</f>
        <v>-100671682.03995001</v>
      </c>
      <c r="K7" s="175">
        <f>SUMIF('PyG-Mes'!$B$7:$B$67,K$3,'PyG-Mes'!$I$7:$I$67)*IF($B7="+",1,-1)*IF($A7=1,1,0)</f>
        <v>-100671682.03995001</v>
      </c>
      <c r="L7" s="175">
        <f>SUMIF('PyG-Mes'!$B$7:$B$67,L$3,'PyG-Mes'!$I$7:$I$67)*IF($B7="+",1,-1)*IF($A7=1,1,0)</f>
        <v>-100671682.03995001</v>
      </c>
      <c r="M7" s="175">
        <f>SUMIF('PyG-Mes'!$B$7:$B$67,M$3,'PyG-Mes'!$I$7:$I$67)*IF($B7="+",1,-1)*IF($A7=1,1,0)</f>
        <v>-100671682.03995001</v>
      </c>
      <c r="N7" s="175">
        <f>SUMIF('PyG-Mes'!$B$7:$B$67,N$3,'PyG-Mes'!$I$7:$I$67)*IF($B7="+",1,-1)*IF($A7=1,1,0)</f>
        <v>-101671682.03995001</v>
      </c>
      <c r="O7" s="175">
        <f>SUMIF('PyG-Mes'!$B$7:$B$67,O$3,'PyG-Mes'!$I$7:$I$67)*IF($B7="+",1,-1)*IF($A7=1,1,0)</f>
        <v>-101671682.03995001</v>
      </c>
      <c r="P7" s="175">
        <f>SUMIF('PyG-Mes'!$B$7:$B$67,P$3,'PyG-Mes'!$I$7:$I$67)*IF($B7="+",1,-1)*IF($A7=1,1,0)</f>
        <v>-101671682.03995001</v>
      </c>
      <c r="Q7" s="175">
        <f>SUMIF('PyG-Mes'!$B$7:$B$67,Q$3,'PyG-Mes'!$I$7:$I$67)*IF($B7="+",1,-1)*IF($A7=1,1,0)</f>
        <v>-101671682.03995001</v>
      </c>
      <c r="R7" s="175">
        <f>SUMIF('PyG-Mes'!$B$7:$B$67,R$3,'PyG-Mes'!$I$7:$I$67)*IF($B7="+",1,-1)*IF($A7=1,1,0)</f>
        <v>-101671682.03995001</v>
      </c>
      <c r="S7" s="175">
        <f>SUMIF('PyG-Mes'!$B$7:$B$67,S$3,'PyG-Mes'!$I$7:$I$67)*IF($B7="+",1,-1)*IF($A7=1,1,0)</f>
        <v>-101671682.03995001</v>
      </c>
      <c r="T7" s="175">
        <f>SUMIF('PyG-Mes'!$B$7:$B$67,T$3,'PyG-Mes'!$I$7:$I$67)*IF($B7="+",1,-1)*IF($A7=1,1,0)</f>
        <v>-114220860.86380002</v>
      </c>
      <c r="U7" s="175">
        <f>SUMIF('PyG-Mes'!$B$7:$B$67,U$3,'PyG-Mes'!$I$7:$I$67)*IF($B7="+",1,-1)*IF($A7=1,1,0)</f>
        <v>-114220859.86380002</v>
      </c>
      <c r="V7" s="175">
        <f>SUMIF('PyG-Mes'!$B$7:$B$67,V$3,'PyG-Mes'!$I$7:$I$67)*IF($B7="+",1,-1)*IF($A7=1,1,0)</f>
        <v>-114220860.86380002</v>
      </c>
      <c r="W7" s="175">
        <f>SUMIF('PyG-Mes'!$B$7:$B$67,W$3,'PyG-Mes'!$I$7:$I$67)*IF($B7="+",1,-1)*IF($A7=1,1,0)</f>
        <v>-114220859.86380002</v>
      </c>
      <c r="X7" s="175">
        <f>SUMIF('PyG-Mes'!$B$7:$B$67,X$3,'PyG-Mes'!$I$7:$I$67)*IF($B7="+",1,-1)*IF($A7=1,1,0)</f>
        <v>-114220860.86380002</v>
      </c>
      <c r="Y7" s="175">
        <f>SUMIF('PyG-Mes'!$B$7:$B$67,Y$3,'PyG-Mes'!$I$7:$I$67)*IF($B7="+",1,-1)*IF($A7=1,1,0)</f>
        <v>-114220859.86380002</v>
      </c>
      <c r="Z7" s="175">
        <f>SUMIF('PyG-Mes'!$B$7:$B$67,Z$3,'PyG-Mes'!$I$7:$I$67)*IF($B7="+",1,-1)*IF($A7=1,1,0)</f>
        <v>-113770860.86380002</v>
      </c>
      <c r="AA7" s="175">
        <f>SUMIF('PyG-Mes'!$B$7:$B$67,AA$3,'PyG-Mes'!$I$7:$I$67)*IF($B7="+",1,-1)*IF($A7=1,1,0)</f>
        <v>-113770859.86380002</v>
      </c>
      <c r="AB7" s="175">
        <f>SUMIF('PyG-Mes'!$B$7:$B$67,AB$3,'PyG-Mes'!$I$7:$I$67)*IF($B7="+",1,-1)*IF($A7=1,1,0)</f>
        <v>-113770863.86380002</v>
      </c>
      <c r="AC7" s="175">
        <f>SUMIF('PyG-Mes'!$B$7:$B$67,AC$3,'PyG-Mes'!$I$7:$I$67)*IF($B7="+",1,-1)*IF($A7=1,1,0)</f>
        <v>-113770859.86380002</v>
      </c>
      <c r="AD7" s="175">
        <f>SUMIF('PyG-Mes'!$B$7:$B$67,AD$3,'PyG-Mes'!$I$7:$I$67)*IF($B7="+",1,-1)*IF($A7=1,1,0)</f>
        <v>-113770863.86380002</v>
      </c>
      <c r="AE7" s="175">
        <f>SUMIF('PyG-Mes'!$B$7:$B$67,AE$3,'PyG-Mes'!$I$7:$I$67)*IF($B7="+",1,-1)*IF($A7=1,1,0)</f>
        <v>-113770859.86380002</v>
      </c>
      <c r="AF7" s="175">
        <f>SUMIF('PyG-Mes'!$B$7:$B$67,AF$3,'PyG-Mes'!$I$7:$I$67)*IF($B7="+",1,-1)*IF($A7=1,1,0)</f>
        <v>-130738530.103875</v>
      </c>
      <c r="AG7" s="175">
        <f>SUMIF('PyG-Mes'!$B$7:$B$67,AG$3,'PyG-Mes'!$I$7:$I$67)*IF($B7="+",1,-1)*IF($A7=1,1,0)</f>
        <v>-130738526.103875</v>
      </c>
      <c r="AH7" s="175">
        <f>SUMIF('PyG-Mes'!$B$7:$B$67,AH$3,'PyG-Mes'!$I$7:$I$67)*IF($B7="+",1,-1)*IF($A7=1,1,0)</f>
        <v>-130738530.103875</v>
      </c>
      <c r="AI7" s="175">
        <f>SUMIF('PyG-Mes'!$B$7:$B$67,AI$3,'PyG-Mes'!$I$7:$I$67)*IF($B7="+",1,-1)*IF($A7=1,1,0)</f>
        <v>-130738526.103875</v>
      </c>
      <c r="AJ7" s="175">
        <f>SUMIF('PyG-Mes'!$B$7:$B$67,AJ$3,'PyG-Mes'!$I$7:$I$67)*IF($B7="+",1,-1)*IF($A7=1,1,0)</f>
        <v>-130738530.103875</v>
      </c>
      <c r="AK7" s="175">
        <f>SUMIF('PyG-Mes'!$B$7:$B$67,AK$3,'PyG-Mes'!$I$7:$I$67)*IF($B7="+",1,-1)*IF($A7=1,1,0)</f>
        <v>-130738526.103875</v>
      </c>
      <c r="AL7" s="175">
        <f>SUMIF('PyG-Mes'!$B$7:$B$67,AL$3,'PyG-Mes'!$I$7:$I$67)*IF($B7="+",1,-1)*IF($A7=1,1,0)</f>
        <v>-130793530.103875</v>
      </c>
      <c r="AM7" s="175">
        <f>SUMIF('PyG-Mes'!$B$7:$B$67,AM$3,'PyG-Mes'!$I$7:$I$67)*IF($B7="+",1,-1)*IF($A7=1,1,0)</f>
        <v>-130793526.103875</v>
      </c>
      <c r="AN7" s="175">
        <f>SUMIF('PyG-Mes'!$B$7:$B$67,AN$3,'PyG-Mes'!$I$7:$I$67)*IF($B7="+",1,-1)*IF($A7=1,1,0)</f>
        <v>-130793530.103875</v>
      </c>
      <c r="AO7" s="175">
        <f>SUMIF('PyG-Mes'!$B$7:$B$67,AO$3,'PyG-Mes'!$I$7:$I$67)*IF($B7="+",1,-1)*IF($A7=1,1,0)</f>
        <v>-130793526.103875</v>
      </c>
      <c r="AP7" s="175">
        <f>SUMIF('PyG-Mes'!$B$7:$B$67,AP$3,'PyG-Mes'!$I$7:$I$67)*IF($B7="+",1,-1)*IF($A7=1,1,0)</f>
        <v>-130793530.103875</v>
      </c>
      <c r="AQ7" s="175">
        <f>SUMIF('PyG-Mes'!$B$7:$B$67,AQ$3,'PyG-Mes'!$I$7:$I$67)*IF($B7="+",1,-1)*IF($A7=1,1,0)</f>
        <v>-130793526.103875</v>
      </c>
      <c r="AR7" s="175">
        <f>SUMIF('PyG-Mes'!$B$7:$B$67,AR$3,'PyG-Mes'!$I$7:$I$67)*IF($B7="+",1,-1)*IF($A7=1,1,0)</f>
        <v>-148992623.48720002</v>
      </c>
      <c r="AS7" s="175">
        <f>SUMIF('PyG-Mes'!$B$7:$B$67,AS$3,'PyG-Mes'!$I$7:$I$67)*IF($B7="+",1,-1)*IF($A7=1,1,0)</f>
        <v>-148992621.48720002</v>
      </c>
      <c r="AT7" s="175">
        <f>SUMIF('PyG-Mes'!$B$7:$B$67,AT$3,'PyG-Mes'!$I$7:$I$67)*IF($B7="+",1,-1)*IF($A7=1,1,0)</f>
        <v>-148992623.48720002</v>
      </c>
      <c r="AU7" s="175">
        <f>SUMIF('PyG-Mes'!$B$7:$B$67,AU$3,'PyG-Mes'!$I$7:$I$67)*IF($B7="+",1,-1)*IF($A7=1,1,0)</f>
        <v>-148992621.48720002</v>
      </c>
      <c r="AV7" s="175">
        <f>SUMIF('PyG-Mes'!$B$7:$B$67,AV$3,'PyG-Mes'!$I$7:$I$67)*IF($B7="+",1,-1)*IF($A7=1,1,0)</f>
        <v>-148992623.48720002</v>
      </c>
      <c r="AW7" s="175">
        <f>SUMIF('PyG-Mes'!$B$7:$B$67,AW$3,'PyG-Mes'!$I$7:$I$67)*IF($B7="+",1,-1)*IF($A7=1,1,0)</f>
        <v>-148992621.48720002</v>
      </c>
      <c r="AX7" s="175">
        <f>SUMIF('PyG-Mes'!$B$7:$B$67,AX$3,'PyG-Mes'!$I$7:$I$67)*IF($B7="+",1,-1)*IF($A7=1,1,0)</f>
        <v>-149053123.48720002</v>
      </c>
      <c r="AY7" s="175">
        <f>SUMIF('PyG-Mes'!$B$7:$B$67,AY$3,'PyG-Mes'!$I$7:$I$67)*IF($B7="+",1,-1)*IF($A7=1,1,0)</f>
        <v>-149053121.48720002</v>
      </c>
      <c r="AZ7" s="175">
        <f>SUMIF('PyG-Mes'!$B$7:$B$67,AZ$3,'PyG-Mes'!$I$7:$I$67)*IF($B7="+",1,-1)*IF($A7=1,1,0)</f>
        <v>-149053124.48720002</v>
      </c>
      <c r="BA7" s="175">
        <f>SUMIF('PyG-Mes'!$B$7:$B$67,BA$3,'PyG-Mes'!$I$7:$I$67)*IF($B7="+",1,-1)*IF($A7=1,1,0)</f>
        <v>-149053121.48720002</v>
      </c>
      <c r="BB7" s="175">
        <f>SUMIF('PyG-Mes'!$B$7:$B$67,BB$3,'PyG-Mes'!$I$7:$I$67)*IF($B7="+",1,-1)*IF($A7=1,1,0)</f>
        <v>-149053124.48720002</v>
      </c>
      <c r="BC7" s="175">
        <f>SUMIF('PyG-Mes'!$B$7:$B$67,BC$3,'PyG-Mes'!$I$7:$I$67)*IF($B7="+",1,-1)*IF($A7=1,1,0)</f>
        <v>-149053121.48720002</v>
      </c>
      <c r="BD7" s="175">
        <f>SUMIF('PyG-Mes'!$B$7:$B$67,BD$3,'PyG-Mes'!$I$7:$I$67)*IF($B7="+",1,-1)*IF($A7=1,1,0)</f>
        <v>-163291015.74335</v>
      </c>
      <c r="BE7" s="175">
        <f>SUMIF('PyG-Mes'!$B$7:$B$67,BE$3,'PyG-Mes'!$I$7:$I$67)*IF($B7="+",1,-1)*IF($A7=1,1,0)</f>
        <v>-163291012.74335</v>
      </c>
      <c r="BF7" s="175">
        <f>SUMIF('PyG-Mes'!$B$7:$B$67,BF$3,'PyG-Mes'!$I$7:$I$67)*IF($B7="+",1,-1)*IF($A7=1,1,0)</f>
        <v>-163291015.74335</v>
      </c>
      <c r="BG7" s="175">
        <f>SUMIF('PyG-Mes'!$B$7:$B$67,BG$3,'PyG-Mes'!$I$7:$I$67)*IF($B7="+",1,-1)*IF($A7=1,1,0)</f>
        <v>-163291012.74335</v>
      </c>
      <c r="BH7" s="175">
        <f>SUMIF('PyG-Mes'!$B$7:$B$67,BH$3,'PyG-Mes'!$I$7:$I$67)*IF($B7="+",1,-1)*IF($A7=1,1,0)</f>
        <v>-163291016.74335</v>
      </c>
      <c r="BI7" s="175">
        <f>SUMIF('PyG-Mes'!$B$7:$B$67,BI$3,'PyG-Mes'!$I$7:$I$67)*IF($B7="+",1,-1)*IF($A7=1,1,0)</f>
        <v>-163291012.74335</v>
      </c>
      <c r="BJ7" s="175">
        <f>SUMIF('PyG-Mes'!$B$7:$B$67,BJ$3,'PyG-Mes'!$I$7:$I$67)*IF($B7="+",1,-1)*IF($A7=1,1,0)</f>
        <v>-163357599.74335</v>
      </c>
      <c r="BK7" s="175">
        <f>SUMIF('PyG-Mes'!$B$7:$B$67,BK$3,'PyG-Mes'!$I$7:$I$67)*IF($B7="+",1,-1)*IF($A7=1,1,0)</f>
        <v>-163357595.74335</v>
      </c>
      <c r="BL7" s="175">
        <f>SUMIF('PyG-Mes'!$B$7:$B$67,BL$3,'PyG-Mes'!$I$7:$I$67)*IF($B7="+",1,-1)*IF($A7=1,1,0)</f>
        <v>-163357600.74335</v>
      </c>
      <c r="BM7" s="175">
        <f>SUMIF('PyG-Mes'!$B$7:$B$67,BM$3,'PyG-Mes'!$I$7:$I$67)*IF($B7="+",1,-1)*IF($A7=1,1,0)</f>
        <v>-163357595.74335</v>
      </c>
      <c r="BN7" s="175">
        <f>SUMIF('PyG-Mes'!$B$7:$B$67,BN$3,'PyG-Mes'!$I$7:$I$67)*IF($B7="+",1,-1)*IF($A7=1,1,0)</f>
        <v>-163357601.74335</v>
      </c>
      <c r="BO7" s="175">
        <f>SUMIF('PyG-Mes'!$B$7:$B$67,BO$3,'PyG-Mes'!$I$7:$I$67)*IF($B7="+",1,-1)*IF($A7=1,1,0)</f>
        <v>-163357595.74335</v>
      </c>
    </row>
    <row r="8" spans="1:67" x14ac:dyDescent="0.35">
      <c r="D8" s="403" t="s">
        <v>518</v>
      </c>
      <c r="E8" s="403"/>
      <c r="F8" s="403"/>
      <c r="G8" s="399">
        <f>SUM(G6:G7)</f>
        <v>0</v>
      </c>
      <c r="H8" s="399">
        <f>SUM(H6:H7)</f>
        <v>3811317.9600499868</v>
      </c>
      <c r="I8" s="399">
        <f>SUM(I6:I7)</f>
        <v>3811317.9600499868</v>
      </c>
      <c r="J8" s="399">
        <f t="shared" ref="J8:AR8" si="1">SUM(J6:J7)</f>
        <v>3811317.9600499868</v>
      </c>
      <c r="K8" s="399">
        <f t="shared" si="1"/>
        <v>3811317.9600499868</v>
      </c>
      <c r="L8" s="399">
        <f t="shared" si="1"/>
        <v>3811317.9600499868</v>
      </c>
      <c r="M8" s="399">
        <f t="shared" si="1"/>
        <v>3811317.9600499868</v>
      </c>
      <c r="N8" s="399">
        <f t="shared" si="1"/>
        <v>2811317.9600499868</v>
      </c>
      <c r="O8" s="399">
        <f t="shared" si="1"/>
        <v>2811317.9600499868</v>
      </c>
      <c r="P8" s="399">
        <f t="shared" si="1"/>
        <v>2811317.9600499868</v>
      </c>
      <c r="Q8" s="399">
        <f t="shared" si="1"/>
        <v>2811317.9600499868</v>
      </c>
      <c r="R8" s="399">
        <f t="shared" si="1"/>
        <v>2811317.9600499868</v>
      </c>
      <c r="S8" s="399">
        <f t="shared" si="1"/>
        <v>2811317.9600499868</v>
      </c>
      <c r="T8" s="399">
        <f t="shared" si="1"/>
        <v>5172139.136199981</v>
      </c>
      <c r="U8" s="399">
        <f t="shared" si="1"/>
        <v>5172140.136199981</v>
      </c>
      <c r="V8" s="399">
        <f t="shared" si="1"/>
        <v>5172139.136199981</v>
      </c>
      <c r="W8" s="399">
        <f t="shared" si="1"/>
        <v>5172140.136199981</v>
      </c>
      <c r="X8" s="399">
        <f t="shared" si="1"/>
        <v>5172139.136199981</v>
      </c>
      <c r="Y8" s="399">
        <f t="shared" si="1"/>
        <v>5172140.136199981</v>
      </c>
      <c r="Z8" s="399">
        <f t="shared" si="1"/>
        <v>5622139.136199981</v>
      </c>
      <c r="AA8" s="399">
        <f t="shared" si="1"/>
        <v>5622140.136199981</v>
      </c>
      <c r="AB8" s="399">
        <f t="shared" si="1"/>
        <v>5622136.136199981</v>
      </c>
      <c r="AC8" s="399">
        <f t="shared" si="1"/>
        <v>5622140.136199981</v>
      </c>
      <c r="AD8" s="399">
        <f t="shared" si="1"/>
        <v>5622136.136199981</v>
      </c>
      <c r="AE8" s="399">
        <f t="shared" si="1"/>
        <v>5622140.136199981</v>
      </c>
      <c r="AF8" s="399">
        <f t="shared" si="1"/>
        <v>5979469.8961250037</v>
      </c>
      <c r="AG8" s="399">
        <f t="shared" si="1"/>
        <v>5979473.8961250037</v>
      </c>
      <c r="AH8" s="399">
        <f t="shared" si="1"/>
        <v>5979469.8961250037</v>
      </c>
      <c r="AI8" s="399">
        <f t="shared" si="1"/>
        <v>5979473.8961250037</v>
      </c>
      <c r="AJ8" s="399">
        <f t="shared" si="1"/>
        <v>5979469.8961250037</v>
      </c>
      <c r="AK8" s="399">
        <f t="shared" si="1"/>
        <v>5979473.8961250037</v>
      </c>
      <c r="AL8" s="399">
        <f t="shared" si="1"/>
        <v>5924469.8961250037</v>
      </c>
      <c r="AM8" s="399">
        <f t="shared" si="1"/>
        <v>5924473.8961250037</v>
      </c>
      <c r="AN8" s="399">
        <f t="shared" si="1"/>
        <v>5924469.8961250037</v>
      </c>
      <c r="AO8" s="399">
        <f t="shared" si="1"/>
        <v>5924473.8961250037</v>
      </c>
      <c r="AP8" s="399">
        <f t="shared" si="1"/>
        <v>5924469.8961250037</v>
      </c>
      <c r="AQ8" s="399">
        <f t="shared" si="1"/>
        <v>5924473.8961250037</v>
      </c>
      <c r="AR8" s="399">
        <f t="shared" si="1"/>
        <v>7681376.5127999783</v>
      </c>
      <c r="AS8" s="399">
        <f t="shared" ref="AS8" si="2">SUM(AS6:AS7)</f>
        <v>7681378.5127999783</v>
      </c>
      <c r="AT8" s="399">
        <f t="shared" ref="AT8" si="3">SUM(AT6:AT7)</f>
        <v>7681376.5127999783</v>
      </c>
      <c r="AU8" s="399">
        <f t="shared" ref="AU8" si="4">SUM(AU6:AU7)</f>
        <v>7681378.5127999783</v>
      </c>
      <c r="AV8" s="399">
        <f t="shared" ref="AV8" si="5">SUM(AV6:AV7)</f>
        <v>7681376.5127999783</v>
      </c>
      <c r="AW8" s="399">
        <f t="shared" ref="AW8" si="6">SUM(AW6:AW7)</f>
        <v>7681378.5127999783</v>
      </c>
      <c r="AX8" s="399">
        <f t="shared" ref="AX8" si="7">SUM(AX6:AX7)</f>
        <v>7620876.5127999783</v>
      </c>
      <c r="AY8" s="399">
        <f t="shared" ref="AY8" si="8">SUM(AY6:AY7)</f>
        <v>7620878.5127999783</v>
      </c>
      <c r="AZ8" s="399">
        <f t="shared" ref="AZ8" si="9">SUM(AZ6:AZ7)</f>
        <v>7620875.5127999783</v>
      </c>
      <c r="BA8" s="399">
        <f t="shared" ref="BA8" si="10">SUM(BA6:BA7)</f>
        <v>7620878.5127999783</v>
      </c>
      <c r="BB8" s="399">
        <f t="shared" ref="BB8" si="11">SUM(BB6:BB7)</f>
        <v>7620875.5127999783</v>
      </c>
      <c r="BC8" s="399">
        <f t="shared" ref="BC8" si="12">SUM(BC6:BC7)</f>
        <v>7620878.5127999783</v>
      </c>
      <c r="BD8" s="399">
        <f t="shared" ref="BD8" si="13">SUM(BD6:BD7)</f>
        <v>7936984.2566500008</v>
      </c>
      <c r="BE8" s="399">
        <f t="shared" ref="BE8" si="14">SUM(BE6:BE7)</f>
        <v>7936987.2566500008</v>
      </c>
      <c r="BF8" s="399">
        <f t="shared" ref="BF8" si="15">SUM(BF6:BF7)</f>
        <v>7936984.2566500008</v>
      </c>
      <c r="BG8" s="399">
        <f t="shared" ref="BG8" si="16">SUM(BG6:BG7)</f>
        <v>7936987.2566500008</v>
      </c>
      <c r="BH8" s="399">
        <f t="shared" ref="BH8" si="17">SUM(BH6:BH7)</f>
        <v>7936983.2566500008</v>
      </c>
      <c r="BI8" s="399">
        <f t="shared" ref="BI8" si="18">SUM(BI6:BI7)</f>
        <v>7936987.2566500008</v>
      </c>
      <c r="BJ8" s="399">
        <f t="shared" ref="BJ8" si="19">SUM(BJ6:BJ7)</f>
        <v>7870400.2566500008</v>
      </c>
      <c r="BK8" s="399">
        <f t="shared" ref="BK8" si="20">SUM(BK6:BK7)</f>
        <v>7870404.2566500008</v>
      </c>
      <c r="BL8" s="399">
        <f t="shared" ref="BL8" si="21">SUM(BL6:BL7)</f>
        <v>7870399.2566500008</v>
      </c>
      <c r="BM8" s="399">
        <f t="shared" ref="BM8" si="22">SUM(BM6:BM7)</f>
        <v>7870404.2566500008</v>
      </c>
      <c r="BN8" s="399">
        <f t="shared" ref="BN8" si="23">SUM(BN6:BN7)</f>
        <v>7870398.2566500008</v>
      </c>
      <c r="BO8" s="399">
        <f t="shared" ref="BO8" si="24">SUM(BO6:BO7)</f>
        <v>7870404.2566500008</v>
      </c>
    </row>
    <row r="9" spans="1:67" x14ac:dyDescent="0.35">
      <c r="A9" s="412">
        <v>1</v>
      </c>
      <c r="B9" s="410" t="s">
        <v>619</v>
      </c>
      <c r="C9">
        <v>11</v>
      </c>
      <c r="D9" s="402" t="s">
        <v>592</v>
      </c>
      <c r="E9" s="402"/>
      <c r="F9" s="402"/>
      <c r="G9" s="175">
        <f>SUMIF('PyG-Mes'!$B$7:$B$67,G$3,'PyG-Mes'!$K$7:$K$67)*IF($B9="+",1,-1)*IF($A9=1,1,0)</f>
        <v>0</v>
      </c>
      <c r="H9" s="175">
        <f>SUMIF('PyG-Mes'!$B$7:$B$67,H$3,'PyG-Mes'!$K$7:$K$67)*IF($B9="+",1,-1)*IF($A9=1,1,0)</f>
        <v>356471</v>
      </c>
      <c r="I9" s="175">
        <f>SUMIF('PyG-Mes'!$B$7:$B$67,I$3,'PyG-Mes'!$K$7:$K$67)*IF($B9="+",1,-1)*IF($A9=1,1,0)</f>
        <v>0</v>
      </c>
      <c r="J9" s="175">
        <f>SUMIF('PyG-Mes'!$B$7:$B$67,J$3,'PyG-Mes'!$K$7:$K$67)*IF($B9="+",1,-1)*IF($A9=1,1,0)</f>
        <v>0</v>
      </c>
      <c r="K9" s="175">
        <f>SUMIF('PyG-Mes'!$B$7:$B$67,K$3,'PyG-Mes'!$K$7:$K$67)*IF($B9="+",1,-1)*IF($A9=1,1,0)</f>
        <v>20371</v>
      </c>
      <c r="L9" s="175">
        <f>SUMIF('PyG-Mes'!$B$7:$B$67,L$3,'PyG-Mes'!$K$7:$K$67)*IF($B9="+",1,-1)*IF($A9=1,1,0)</f>
        <v>44815</v>
      </c>
      <c r="M9" s="175">
        <f>SUMIF('PyG-Mes'!$B$7:$B$67,M$3,'PyG-Mes'!$K$7:$K$67)*IF($B9="+",1,-1)*IF($A9=1,1,0)</f>
        <v>57038</v>
      </c>
      <c r="N9" s="175">
        <f>SUMIF('PyG-Mes'!$B$7:$B$67,N$3,'PyG-Mes'!$K$7:$K$67)*IF($B9="+",1,-1)*IF($A9=1,1,0)</f>
        <v>55551</v>
      </c>
      <c r="O9" s="175">
        <f>SUMIF('PyG-Mes'!$B$7:$B$67,O$3,'PyG-Mes'!$K$7:$K$67)*IF($B9="+",1,-1)*IF($A9=1,1,0)</f>
        <v>59824</v>
      </c>
      <c r="P9" s="175">
        <f>SUMIF('PyG-Mes'!$B$7:$B$67,P$3,'PyG-Mes'!$K$7:$K$67)*IF($B9="+",1,-1)*IF($A9=1,1,0)</f>
        <v>85463</v>
      </c>
      <c r="Q9" s="175">
        <f>SUMIF('PyG-Mes'!$B$7:$B$67,Q$3,'PyG-Mes'!$K$7:$K$67)*IF($B9="+",1,-1)*IF($A9=1,1,0)</f>
        <v>116264</v>
      </c>
      <c r="R9" s="175">
        <f>SUMIF('PyG-Mes'!$B$7:$B$67,R$3,'PyG-Mes'!$K$7:$K$67)*IF($B9="+",1,-1)*IF($A9=1,1,0)</f>
        <v>143094</v>
      </c>
      <c r="S9" s="175">
        <f>SUMIF('PyG-Mes'!$B$7:$B$67,S$3,'PyG-Mes'!$K$7:$K$67)*IF($B9="+",1,-1)*IF($A9=1,1,0)</f>
        <v>156509</v>
      </c>
      <c r="T9" s="175">
        <f>SUMIF('PyG-Mes'!$B$7:$B$67,T$3,'PyG-Mes'!$K$7:$K$67)*IF($B9="+",1,-1)*IF($A9=1,1,0)</f>
        <v>102736</v>
      </c>
      <c r="U9" s="175">
        <f>SUMIF('PyG-Mes'!$B$7:$B$67,U$3,'PyG-Mes'!$K$7:$K$67)*IF($B9="+",1,-1)*IF($A9=1,1,0)</f>
        <v>23349</v>
      </c>
      <c r="V9" s="175">
        <f>SUMIF('PyG-Mes'!$B$7:$B$67,V$3,'PyG-Mes'!$K$7:$K$67)*IF($B9="+",1,-1)*IF($A9=1,1,0)</f>
        <v>18679</v>
      </c>
      <c r="W9" s="175">
        <f>SUMIF('PyG-Mes'!$B$7:$B$67,W$3,'PyG-Mes'!$K$7:$K$67)*IF($B9="+",1,-1)*IF($A9=1,1,0)</f>
        <v>8943</v>
      </c>
      <c r="X9" s="175">
        <f>SUMIF('PyG-Mes'!$B$7:$B$67,X$3,'PyG-Mes'!$K$7:$K$67)*IF($B9="+",1,-1)*IF($A9=1,1,0)</f>
        <v>0</v>
      </c>
      <c r="Y9" s="175">
        <f>SUMIF('PyG-Mes'!$B$7:$B$67,Y$3,'PyG-Mes'!$K$7:$K$67)*IF($B9="+",1,-1)*IF($A9=1,1,0)</f>
        <v>0</v>
      </c>
      <c r="Z9" s="175">
        <f>SUMIF('PyG-Mes'!$B$7:$B$67,Z$3,'PyG-Mes'!$K$7:$K$67)*IF($B9="+",1,-1)*IF($A9=1,1,0)</f>
        <v>0</v>
      </c>
      <c r="AA9" s="175">
        <f>SUMIF('PyG-Mes'!$B$7:$B$67,AA$3,'PyG-Mes'!$K$7:$K$67)*IF($B9="+",1,-1)*IF($A9=1,1,0)</f>
        <v>0</v>
      </c>
      <c r="AB9" s="175">
        <f>SUMIF('PyG-Mes'!$B$7:$B$67,AB$3,'PyG-Mes'!$K$7:$K$67)*IF($B9="+",1,-1)*IF($A9=1,1,0)</f>
        <v>0</v>
      </c>
      <c r="AC9" s="175">
        <f>SUMIF('PyG-Mes'!$B$7:$B$67,AC$3,'PyG-Mes'!$K$7:$K$67)*IF($B9="+",1,-1)*IF($A9=1,1,0)</f>
        <v>0</v>
      </c>
      <c r="AD9" s="175">
        <f>SUMIF('PyG-Mes'!$B$7:$B$67,AD$3,'PyG-Mes'!$K$7:$K$67)*IF($B9="+",1,-1)*IF($A9=1,1,0)</f>
        <v>0</v>
      </c>
      <c r="AE9" s="175">
        <f>SUMIF('PyG-Mes'!$B$7:$B$67,AE$3,'PyG-Mes'!$K$7:$K$67)*IF($B9="+",1,-1)*IF($A9=1,1,0)</f>
        <v>0</v>
      </c>
      <c r="AF9" s="175">
        <f>SUMIF('PyG-Mes'!$B$7:$B$67,AF$3,'PyG-Mes'!$K$7:$K$67)*IF($B9="+",1,-1)*IF($A9=1,1,0)</f>
        <v>0</v>
      </c>
      <c r="AG9" s="175">
        <f>SUMIF('PyG-Mes'!$B$7:$B$67,AG$3,'PyG-Mes'!$K$7:$K$67)*IF($B9="+",1,-1)*IF($A9=1,1,0)</f>
        <v>0</v>
      </c>
      <c r="AH9" s="175">
        <f>SUMIF('PyG-Mes'!$B$7:$B$67,AH$3,'PyG-Mes'!$K$7:$K$67)*IF($B9="+",1,-1)*IF($A9=1,1,0)</f>
        <v>0</v>
      </c>
      <c r="AI9" s="175">
        <f>SUMIF('PyG-Mes'!$B$7:$B$67,AI$3,'PyG-Mes'!$K$7:$K$67)*IF($B9="+",1,-1)*IF($A9=1,1,0)</f>
        <v>0</v>
      </c>
      <c r="AJ9" s="175">
        <f>SUMIF('PyG-Mes'!$B$7:$B$67,AJ$3,'PyG-Mes'!$K$7:$K$67)*IF($B9="+",1,-1)*IF($A9=1,1,0)</f>
        <v>0</v>
      </c>
      <c r="AK9" s="175">
        <f>SUMIF('PyG-Mes'!$B$7:$B$67,AK$3,'PyG-Mes'!$K$7:$K$67)*IF($B9="+",1,-1)*IF($A9=1,1,0)</f>
        <v>0</v>
      </c>
      <c r="AL9" s="175">
        <f>SUMIF('PyG-Mes'!$B$7:$B$67,AL$3,'PyG-Mes'!$K$7:$K$67)*IF($B9="+",1,-1)*IF($A9=1,1,0)</f>
        <v>0</v>
      </c>
      <c r="AM9" s="175">
        <f>SUMIF('PyG-Mes'!$B$7:$B$67,AM$3,'PyG-Mes'!$K$7:$K$67)*IF($B9="+",1,-1)*IF($A9=1,1,0)</f>
        <v>0</v>
      </c>
      <c r="AN9" s="175">
        <f>SUMIF('PyG-Mes'!$B$7:$B$67,AN$3,'PyG-Mes'!$K$7:$K$67)*IF($B9="+",1,-1)*IF($A9=1,1,0)</f>
        <v>0</v>
      </c>
      <c r="AO9" s="175">
        <f>SUMIF('PyG-Mes'!$B$7:$B$67,AO$3,'PyG-Mes'!$K$7:$K$67)*IF($B9="+",1,-1)*IF($A9=1,1,0)</f>
        <v>0</v>
      </c>
      <c r="AP9" s="175">
        <f>SUMIF('PyG-Mes'!$B$7:$B$67,AP$3,'PyG-Mes'!$K$7:$K$67)*IF($B9="+",1,-1)*IF($A9=1,1,0)</f>
        <v>0</v>
      </c>
      <c r="AQ9" s="175">
        <f>SUMIF('PyG-Mes'!$B$7:$B$67,AQ$3,'PyG-Mes'!$K$7:$K$67)*IF($B9="+",1,-1)*IF($A9=1,1,0)</f>
        <v>0</v>
      </c>
      <c r="AR9" s="175">
        <f>SUMIF('PyG-Mes'!$B$7:$B$67,AR$3,'PyG-Mes'!$K$7:$K$67)*IF($B9="+",1,-1)*IF($A9=1,1,0)</f>
        <v>0</v>
      </c>
      <c r="AS9" s="175">
        <f>SUMIF('PyG-Mes'!$B$7:$B$67,AS$3,'PyG-Mes'!$K$7:$K$67)*IF($B9="+",1,-1)*IF($A9=1,1,0)</f>
        <v>0</v>
      </c>
      <c r="AT9" s="175">
        <f>SUMIF('PyG-Mes'!$B$7:$B$67,AT$3,'PyG-Mes'!$K$7:$K$67)*IF($B9="+",1,-1)*IF($A9=1,1,0)</f>
        <v>0</v>
      </c>
      <c r="AU9" s="175">
        <f>SUMIF('PyG-Mes'!$B$7:$B$67,AU$3,'PyG-Mes'!$K$7:$K$67)*IF($B9="+",1,-1)*IF($A9=1,1,0)</f>
        <v>0</v>
      </c>
      <c r="AV9" s="175">
        <f>SUMIF('PyG-Mes'!$B$7:$B$67,AV$3,'PyG-Mes'!$K$7:$K$67)*IF($B9="+",1,-1)*IF($A9=1,1,0)</f>
        <v>0</v>
      </c>
      <c r="AW9" s="175">
        <f>SUMIF('PyG-Mes'!$B$7:$B$67,AW$3,'PyG-Mes'!$K$7:$K$67)*IF($B9="+",1,-1)*IF($A9=1,1,0)</f>
        <v>0</v>
      </c>
      <c r="AX9" s="175">
        <f>SUMIF('PyG-Mes'!$B$7:$B$67,AX$3,'PyG-Mes'!$K$7:$K$67)*IF($B9="+",1,-1)*IF($A9=1,1,0)</f>
        <v>0</v>
      </c>
      <c r="AY9" s="175">
        <f>SUMIF('PyG-Mes'!$B$7:$B$67,AY$3,'PyG-Mes'!$K$7:$K$67)*IF($B9="+",1,-1)*IF($A9=1,1,0)</f>
        <v>0</v>
      </c>
      <c r="AZ9" s="175">
        <f>SUMIF('PyG-Mes'!$B$7:$B$67,AZ$3,'PyG-Mes'!$K$7:$K$67)*IF($B9="+",1,-1)*IF($A9=1,1,0)</f>
        <v>0</v>
      </c>
      <c r="BA9" s="175">
        <f>SUMIF('PyG-Mes'!$B$7:$B$67,BA$3,'PyG-Mes'!$K$7:$K$67)*IF($B9="+",1,-1)*IF($A9=1,1,0)</f>
        <v>0</v>
      </c>
      <c r="BB9" s="175">
        <f>SUMIF('PyG-Mes'!$B$7:$B$67,BB$3,'PyG-Mes'!$K$7:$K$67)*IF($B9="+",1,-1)*IF($A9=1,1,0)</f>
        <v>0</v>
      </c>
      <c r="BC9" s="175">
        <f>SUMIF('PyG-Mes'!$B$7:$B$67,BC$3,'PyG-Mes'!$K$7:$K$67)*IF($B9="+",1,-1)*IF($A9=1,1,0)</f>
        <v>0</v>
      </c>
      <c r="BD9" s="175">
        <f>SUMIF('PyG-Mes'!$B$7:$B$67,BD$3,'PyG-Mes'!$K$7:$K$67)*IF($B9="+",1,-1)*IF($A9=1,1,0)</f>
        <v>0</v>
      </c>
      <c r="BE9" s="175">
        <f>SUMIF('PyG-Mes'!$B$7:$B$67,BE$3,'PyG-Mes'!$K$7:$K$67)*IF($B9="+",1,-1)*IF($A9=1,1,0)</f>
        <v>0</v>
      </c>
      <c r="BF9" s="175">
        <f>SUMIF('PyG-Mes'!$B$7:$B$67,BF$3,'PyG-Mes'!$K$7:$K$67)*IF($B9="+",1,-1)*IF($A9=1,1,0)</f>
        <v>0</v>
      </c>
      <c r="BG9" s="175">
        <f>SUMIF('PyG-Mes'!$B$7:$B$67,BG$3,'PyG-Mes'!$K$7:$K$67)*IF($B9="+",1,-1)*IF($A9=1,1,0)</f>
        <v>0</v>
      </c>
      <c r="BH9" s="175">
        <f>SUMIF('PyG-Mes'!$B$7:$B$67,BH$3,'PyG-Mes'!$K$7:$K$67)*IF($B9="+",1,-1)*IF($A9=1,1,0)</f>
        <v>0</v>
      </c>
      <c r="BI9" s="175">
        <f>SUMIF('PyG-Mes'!$B$7:$B$67,BI$3,'PyG-Mes'!$K$7:$K$67)*IF($B9="+",1,-1)*IF($A9=1,1,0)</f>
        <v>0</v>
      </c>
      <c r="BJ9" s="175">
        <f>SUMIF('PyG-Mes'!$B$7:$B$67,BJ$3,'PyG-Mes'!$K$7:$K$67)*IF($B9="+",1,-1)*IF($A9=1,1,0)</f>
        <v>0</v>
      </c>
      <c r="BK9" s="175">
        <f>SUMIF('PyG-Mes'!$B$7:$B$67,BK$3,'PyG-Mes'!$K$7:$K$67)*IF($B9="+",1,-1)*IF($A9=1,1,0)</f>
        <v>0</v>
      </c>
      <c r="BL9" s="175">
        <f>SUMIF('PyG-Mes'!$B$7:$B$67,BL$3,'PyG-Mes'!$K$7:$K$67)*IF($B9="+",1,-1)*IF($A9=1,1,0)</f>
        <v>0</v>
      </c>
      <c r="BM9" s="175">
        <f>SUMIF('PyG-Mes'!$B$7:$B$67,BM$3,'PyG-Mes'!$K$7:$K$67)*IF($B9="+",1,-1)*IF($A9=1,1,0)</f>
        <v>0</v>
      </c>
      <c r="BN9" s="175">
        <f>SUMIF('PyG-Mes'!$B$7:$B$67,BN$3,'PyG-Mes'!$K$7:$K$67)*IF($B9="+",1,-1)*IF($A9=1,1,0)</f>
        <v>0</v>
      </c>
      <c r="BO9" s="175">
        <f>SUMIF('PyG-Mes'!$B$7:$B$67,BO$3,'PyG-Mes'!$K$7:$K$67)*IF($B9="+",1,-1)*IF($A9=1,1,0)</f>
        <v>0</v>
      </c>
    </row>
    <row r="10" spans="1:67" x14ac:dyDescent="0.35">
      <c r="A10" s="412">
        <v>1</v>
      </c>
      <c r="B10" s="410" t="s">
        <v>619</v>
      </c>
      <c r="C10">
        <v>12</v>
      </c>
      <c r="D10" s="401" t="s">
        <v>593</v>
      </c>
      <c r="E10" s="401"/>
      <c r="F10" s="401"/>
      <c r="G10" s="175">
        <f>SUMIF('PyG-Mes'!$B$7:$B$67,G$3,'PyG-Mes'!$L$7:$L$67)*IF($B10="+",1,-1)*IF($A10=1,1,0)</f>
        <v>0</v>
      </c>
      <c r="H10" s="175">
        <f>SUMIF('PyG-Mes'!$B$7:$B$67,H$3,'PyG-Mes'!$L$7:$L$67)*IF($B10="+",1,-1)*IF($A10=1,1,0)</f>
        <v>0</v>
      </c>
      <c r="I10" s="175">
        <f>SUMIF('PyG-Mes'!$B$7:$B$67,I$3,'PyG-Mes'!$L$7:$L$67)*IF($B10="+",1,-1)*IF($A10=1,1,0)</f>
        <v>0</v>
      </c>
      <c r="J10" s="175">
        <f>SUMIF('PyG-Mes'!$B$7:$B$67,J$3,'PyG-Mes'!$L$7:$L$67)*IF($B10="+",1,-1)*IF($A10=1,1,0)</f>
        <v>0</v>
      </c>
      <c r="K10" s="175">
        <f>SUMIF('PyG-Mes'!$B$7:$B$67,K$3,'PyG-Mes'!$L$7:$L$67)*IF($B10="+",1,-1)*IF($A10=1,1,0)</f>
        <v>0</v>
      </c>
      <c r="L10" s="175">
        <f>SUMIF('PyG-Mes'!$B$7:$B$67,L$3,'PyG-Mes'!$L$7:$L$67)*IF($B10="+",1,-1)*IF($A10=1,1,0)</f>
        <v>0</v>
      </c>
      <c r="M10" s="175">
        <f>SUMIF('PyG-Mes'!$B$7:$B$67,M$3,'PyG-Mes'!$L$7:$L$67)*IF($B10="+",1,-1)*IF($A10=1,1,0)</f>
        <v>0</v>
      </c>
      <c r="N10" s="175">
        <f>SUMIF('PyG-Mes'!$B$7:$B$67,N$3,'PyG-Mes'!$L$7:$L$67)*IF($B10="+",1,-1)*IF($A10=1,1,0)</f>
        <v>0</v>
      </c>
      <c r="O10" s="175">
        <f>SUMIF('PyG-Mes'!$B$7:$B$67,O$3,'PyG-Mes'!$L$7:$L$67)*IF($B10="+",1,-1)*IF($A10=1,1,0)</f>
        <v>0</v>
      </c>
      <c r="P10" s="175">
        <f>SUMIF('PyG-Mes'!$B$7:$B$67,P$3,'PyG-Mes'!$L$7:$L$67)*IF($B10="+",1,-1)*IF($A10=1,1,0)</f>
        <v>0</v>
      </c>
      <c r="Q10" s="175">
        <f>SUMIF('PyG-Mes'!$B$7:$B$67,Q$3,'PyG-Mes'!$L$7:$L$67)*IF($B10="+",1,-1)*IF($A10=1,1,0)</f>
        <v>0</v>
      </c>
      <c r="R10" s="175">
        <f>SUMIF('PyG-Mes'!$B$7:$B$67,R$3,'PyG-Mes'!$L$7:$L$67)*IF($B10="+",1,-1)*IF($A10=1,1,0)</f>
        <v>0</v>
      </c>
      <c r="S10" s="175">
        <f>SUMIF('PyG-Mes'!$B$7:$B$67,S$3,'PyG-Mes'!$L$7:$L$67)*IF($B10="+",1,-1)*IF($A10=1,1,0)</f>
        <v>0</v>
      </c>
      <c r="T10" s="175">
        <f>SUMIF('PyG-Mes'!$B$7:$B$67,T$3,'PyG-Mes'!$L$7:$L$67)*IF($B10="+",1,-1)*IF($A10=1,1,0)</f>
        <v>0</v>
      </c>
      <c r="U10" s="175">
        <f>SUMIF('PyG-Mes'!$B$7:$B$67,U$3,'PyG-Mes'!$L$7:$L$67)*IF($B10="+",1,-1)*IF($A10=1,1,0)</f>
        <v>0</v>
      </c>
      <c r="V10" s="175">
        <f>SUMIF('PyG-Mes'!$B$7:$B$67,V$3,'PyG-Mes'!$L$7:$L$67)*IF($B10="+",1,-1)*IF($A10=1,1,0)</f>
        <v>0</v>
      </c>
      <c r="W10" s="175">
        <f>SUMIF('PyG-Mes'!$B$7:$B$67,W$3,'PyG-Mes'!$L$7:$L$67)*IF($B10="+",1,-1)*IF($A10=1,1,0)</f>
        <v>0</v>
      </c>
      <c r="X10" s="175">
        <f>SUMIF('PyG-Mes'!$B$7:$B$67,X$3,'PyG-Mes'!$L$7:$L$67)*IF($B10="+",1,-1)*IF($A10=1,1,0)</f>
        <v>0</v>
      </c>
      <c r="Y10" s="175">
        <f>SUMIF('PyG-Mes'!$B$7:$B$67,Y$3,'PyG-Mes'!$L$7:$L$67)*IF($B10="+",1,-1)*IF($A10=1,1,0)</f>
        <v>0</v>
      </c>
      <c r="Z10" s="175">
        <f>SUMIF('PyG-Mes'!$B$7:$B$67,Z$3,'PyG-Mes'!$L$7:$L$67)*IF($B10="+",1,-1)*IF($A10=1,1,0)</f>
        <v>0</v>
      </c>
      <c r="AA10" s="175">
        <f>SUMIF('PyG-Mes'!$B$7:$B$67,AA$3,'PyG-Mes'!$L$7:$L$67)*IF($B10="+",1,-1)*IF($A10=1,1,0)</f>
        <v>0</v>
      </c>
      <c r="AB10" s="175">
        <f>SUMIF('PyG-Mes'!$B$7:$B$67,AB$3,'PyG-Mes'!$L$7:$L$67)*IF($B10="+",1,-1)*IF($A10=1,1,0)</f>
        <v>0</v>
      </c>
      <c r="AC10" s="175">
        <f>SUMIF('PyG-Mes'!$B$7:$B$67,AC$3,'PyG-Mes'!$L$7:$L$67)*IF($B10="+",1,-1)*IF($A10=1,1,0)</f>
        <v>0</v>
      </c>
      <c r="AD10" s="175">
        <f>SUMIF('PyG-Mes'!$B$7:$B$67,AD$3,'PyG-Mes'!$L$7:$L$67)*IF($B10="+",1,-1)*IF($A10=1,1,0)</f>
        <v>0</v>
      </c>
      <c r="AE10" s="175">
        <f>SUMIF('PyG-Mes'!$B$7:$B$67,AE$3,'PyG-Mes'!$L$7:$L$67)*IF($B10="+",1,-1)*IF($A10=1,1,0)</f>
        <v>0</v>
      </c>
      <c r="AF10" s="175">
        <f>SUMIF('PyG-Mes'!$B$7:$B$67,AF$3,'PyG-Mes'!$L$7:$L$67)*IF($B10="+",1,-1)*IF($A10=1,1,0)</f>
        <v>0</v>
      </c>
      <c r="AG10" s="175">
        <f>SUMIF('PyG-Mes'!$B$7:$B$67,AG$3,'PyG-Mes'!$L$7:$L$67)*IF($B10="+",1,-1)*IF($A10=1,1,0)</f>
        <v>0</v>
      </c>
      <c r="AH10" s="175">
        <f>SUMIF('PyG-Mes'!$B$7:$B$67,AH$3,'PyG-Mes'!$L$7:$L$67)*IF($B10="+",1,-1)*IF($A10=1,1,0)</f>
        <v>0</v>
      </c>
      <c r="AI10" s="175">
        <f>SUMIF('PyG-Mes'!$B$7:$B$67,AI$3,'PyG-Mes'!$L$7:$L$67)*IF($B10="+",1,-1)*IF($A10=1,1,0)</f>
        <v>0</v>
      </c>
      <c r="AJ10" s="175">
        <f>SUMIF('PyG-Mes'!$B$7:$B$67,AJ$3,'PyG-Mes'!$L$7:$L$67)*IF($B10="+",1,-1)*IF($A10=1,1,0)</f>
        <v>0</v>
      </c>
      <c r="AK10" s="175">
        <f>SUMIF('PyG-Mes'!$B$7:$B$67,AK$3,'PyG-Mes'!$L$7:$L$67)*IF($B10="+",1,-1)*IF($A10=1,1,0)</f>
        <v>0</v>
      </c>
      <c r="AL10" s="175">
        <f>SUMIF('PyG-Mes'!$B$7:$B$67,AL$3,'PyG-Mes'!$L$7:$L$67)*IF($B10="+",1,-1)*IF($A10=1,1,0)</f>
        <v>0</v>
      </c>
      <c r="AM10" s="175">
        <f>SUMIF('PyG-Mes'!$B$7:$B$67,AM$3,'PyG-Mes'!$L$7:$L$67)*IF($B10="+",1,-1)*IF($A10=1,1,0)</f>
        <v>0</v>
      </c>
      <c r="AN10" s="175">
        <f>SUMIF('PyG-Mes'!$B$7:$B$67,AN$3,'PyG-Mes'!$L$7:$L$67)*IF($B10="+",1,-1)*IF($A10=1,1,0)</f>
        <v>0</v>
      </c>
      <c r="AO10" s="175">
        <f>SUMIF('PyG-Mes'!$B$7:$B$67,AO$3,'PyG-Mes'!$L$7:$L$67)*IF($B10="+",1,-1)*IF($A10=1,1,0)</f>
        <v>0</v>
      </c>
      <c r="AP10" s="175">
        <f>SUMIF('PyG-Mes'!$B$7:$B$67,AP$3,'PyG-Mes'!$L$7:$L$67)*IF($B10="+",1,-1)*IF($A10=1,1,0)</f>
        <v>0</v>
      </c>
      <c r="AQ10" s="175">
        <f>SUMIF('PyG-Mes'!$B$7:$B$67,AQ$3,'PyG-Mes'!$L$7:$L$67)*IF($B10="+",1,-1)*IF($A10=1,1,0)</f>
        <v>0</v>
      </c>
      <c r="AR10" s="175">
        <f>SUMIF('PyG-Mes'!$B$7:$B$67,AR$3,'PyG-Mes'!$L$7:$L$67)*IF($B10="+",1,-1)*IF($A10=1,1,0)</f>
        <v>0</v>
      </c>
      <c r="AS10" s="175">
        <f>SUMIF('PyG-Mes'!$B$7:$B$67,AS$3,'PyG-Mes'!$L$7:$L$67)*IF($B10="+",1,-1)*IF($A10=1,1,0)</f>
        <v>0</v>
      </c>
      <c r="AT10" s="175">
        <f>SUMIF('PyG-Mes'!$B$7:$B$67,AT$3,'PyG-Mes'!$L$7:$L$67)*IF($B10="+",1,-1)*IF($A10=1,1,0)</f>
        <v>0</v>
      </c>
      <c r="AU10" s="175">
        <f>SUMIF('PyG-Mes'!$B$7:$B$67,AU$3,'PyG-Mes'!$L$7:$L$67)*IF($B10="+",1,-1)*IF($A10=1,1,0)</f>
        <v>0</v>
      </c>
      <c r="AV10" s="175">
        <f>SUMIF('PyG-Mes'!$B$7:$B$67,AV$3,'PyG-Mes'!$L$7:$L$67)*IF($B10="+",1,-1)*IF($A10=1,1,0)</f>
        <v>0</v>
      </c>
      <c r="AW10" s="175">
        <f>SUMIF('PyG-Mes'!$B$7:$B$67,AW$3,'PyG-Mes'!$L$7:$L$67)*IF($B10="+",1,-1)*IF($A10=1,1,0)</f>
        <v>0</v>
      </c>
      <c r="AX10" s="175">
        <f>SUMIF('PyG-Mes'!$B$7:$B$67,AX$3,'PyG-Mes'!$L$7:$L$67)*IF($B10="+",1,-1)*IF($A10=1,1,0)</f>
        <v>0</v>
      </c>
      <c r="AY10" s="175">
        <f>SUMIF('PyG-Mes'!$B$7:$B$67,AY$3,'PyG-Mes'!$L$7:$L$67)*IF($B10="+",1,-1)*IF($A10=1,1,0)</f>
        <v>0</v>
      </c>
      <c r="AZ10" s="175">
        <f>SUMIF('PyG-Mes'!$B$7:$B$67,AZ$3,'PyG-Mes'!$L$7:$L$67)*IF($B10="+",1,-1)*IF($A10=1,1,0)</f>
        <v>0</v>
      </c>
      <c r="BA10" s="175">
        <f>SUMIF('PyG-Mes'!$B$7:$B$67,BA$3,'PyG-Mes'!$L$7:$L$67)*IF($B10="+",1,-1)*IF($A10=1,1,0)</f>
        <v>0</v>
      </c>
      <c r="BB10" s="175">
        <f>SUMIF('PyG-Mes'!$B$7:$B$67,BB$3,'PyG-Mes'!$L$7:$L$67)*IF($B10="+",1,-1)*IF($A10=1,1,0)</f>
        <v>0</v>
      </c>
      <c r="BC10" s="175">
        <f>SUMIF('PyG-Mes'!$B$7:$B$67,BC$3,'PyG-Mes'!$L$7:$L$67)*IF($B10="+",1,-1)*IF($A10=1,1,0)</f>
        <v>0</v>
      </c>
      <c r="BD10" s="175">
        <f>SUMIF('PyG-Mes'!$B$7:$B$67,BD$3,'PyG-Mes'!$L$7:$L$67)*IF($B10="+",1,-1)*IF($A10=1,1,0)</f>
        <v>0</v>
      </c>
      <c r="BE10" s="175">
        <f>SUMIF('PyG-Mes'!$B$7:$B$67,BE$3,'PyG-Mes'!$L$7:$L$67)*IF($B10="+",1,-1)*IF($A10=1,1,0)</f>
        <v>0</v>
      </c>
      <c r="BF10" s="175">
        <f>SUMIF('PyG-Mes'!$B$7:$B$67,BF$3,'PyG-Mes'!$L$7:$L$67)*IF($B10="+",1,-1)*IF($A10=1,1,0)</f>
        <v>0</v>
      </c>
      <c r="BG10" s="175">
        <f>SUMIF('PyG-Mes'!$B$7:$B$67,BG$3,'PyG-Mes'!$L$7:$L$67)*IF($B10="+",1,-1)*IF($A10=1,1,0)</f>
        <v>0</v>
      </c>
      <c r="BH10" s="175">
        <f>SUMIF('PyG-Mes'!$B$7:$B$67,BH$3,'PyG-Mes'!$L$7:$L$67)*IF($B10="+",1,-1)*IF($A10=1,1,0)</f>
        <v>0</v>
      </c>
      <c r="BI10" s="175">
        <f>SUMIF('PyG-Mes'!$B$7:$B$67,BI$3,'PyG-Mes'!$L$7:$L$67)*IF($B10="+",1,-1)*IF($A10=1,1,0)</f>
        <v>0</v>
      </c>
      <c r="BJ10" s="175">
        <f>SUMIF('PyG-Mes'!$B$7:$B$67,BJ$3,'PyG-Mes'!$L$7:$L$67)*IF($B10="+",1,-1)*IF($A10=1,1,0)</f>
        <v>0</v>
      </c>
      <c r="BK10" s="175">
        <f>SUMIF('PyG-Mes'!$B$7:$B$67,BK$3,'PyG-Mes'!$L$7:$L$67)*IF($B10="+",1,-1)*IF($A10=1,1,0)</f>
        <v>0</v>
      </c>
      <c r="BL10" s="175">
        <f>SUMIF('PyG-Mes'!$B$7:$B$67,BL$3,'PyG-Mes'!$L$7:$L$67)*IF($B10="+",1,-1)*IF($A10=1,1,0)</f>
        <v>0</v>
      </c>
      <c r="BM10" s="175">
        <f>SUMIF('PyG-Mes'!$B$7:$B$67,BM$3,'PyG-Mes'!$L$7:$L$67)*IF($B10="+",1,-1)*IF($A10=1,1,0)</f>
        <v>0</v>
      </c>
      <c r="BN10" s="175">
        <f>SUMIF('PyG-Mes'!$B$7:$B$67,BN$3,'PyG-Mes'!$L$7:$L$67)*IF($B10="+",1,-1)*IF($A10=1,1,0)</f>
        <v>0</v>
      </c>
      <c r="BO10" s="175">
        <f>SUMIF('PyG-Mes'!$B$7:$B$67,BO$3,'PyG-Mes'!$L$7:$L$67)*IF($B10="+",1,-1)*IF($A10=1,1,0)</f>
        <v>0</v>
      </c>
    </row>
    <row r="11" spans="1:67" x14ac:dyDescent="0.35">
      <c r="C11">
        <v>13</v>
      </c>
      <c r="D11" s="403" t="s">
        <v>594</v>
      </c>
      <c r="E11" s="403"/>
      <c r="F11" s="403"/>
      <c r="G11" s="399">
        <f>SUM(G8:G10)</f>
        <v>0</v>
      </c>
      <c r="H11" s="399">
        <f>SUM(H8:H10)</f>
        <v>4167788.9600499868</v>
      </c>
      <c r="I11" s="399">
        <f>SUM(I8:I10)</f>
        <v>3811317.9600499868</v>
      </c>
      <c r="J11" s="399">
        <f t="shared" ref="J11:AR11" si="25">SUM(J8:J10)</f>
        <v>3811317.9600499868</v>
      </c>
      <c r="K11" s="399">
        <f t="shared" si="25"/>
        <v>3831688.9600499868</v>
      </c>
      <c r="L11" s="399">
        <f t="shared" si="25"/>
        <v>3856132.9600499868</v>
      </c>
      <c r="M11" s="399">
        <f t="shared" si="25"/>
        <v>3868355.9600499868</v>
      </c>
      <c r="N11" s="399">
        <f t="shared" si="25"/>
        <v>2866868.9600499868</v>
      </c>
      <c r="O11" s="399">
        <f t="shared" si="25"/>
        <v>2871141.9600499868</v>
      </c>
      <c r="P11" s="399">
        <f t="shared" si="25"/>
        <v>2896780.9600499868</v>
      </c>
      <c r="Q11" s="399">
        <f t="shared" si="25"/>
        <v>2927581.9600499868</v>
      </c>
      <c r="R11" s="399">
        <f t="shared" si="25"/>
        <v>2954411.9600499868</v>
      </c>
      <c r="S11" s="399">
        <f t="shared" si="25"/>
        <v>2967826.9600499868</v>
      </c>
      <c r="T11" s="399">
        <f t="shared" si="25"/>
        <v>5274875.136199981</v>
      </c>
      <c r="U11" s="399">
        <f t="shared" si="25"/>
        <v>5195489.136199981</v>
      </c>
      <c r="V11" s="399">
        <f t="shared" si="25"/>
        <v>5190818.136199981</v>
      </c>
      <c r="W11" s="399">
        <f t="shared" si="25"/>
        <v>5181083.136199981</v>
      </c>
      <c r="X11" s="399">
        <f t="shared" si="25"/>
        <v>5172139.136199981</v>
      </c>
      <c r="Y11" s="399">
        <f t="shared" si="25"/>
        <v>5172140.136199981</v>
      </c>
      <c r="Z11" s="399">
        <f t="shared" si="25"/>
        <v>5622139.136199981</v>
      </c>
      <c r="AA11" s="399">
        <f t="shared" si="25"/>
        <v>5622140.136199981</v>
      </c>
      <c r="AB11" s="399">
        <f t="shared" si="25"/>
        <v>5622136.136199981</v>
      </c>
      <c r="AC11" s="399">
        <f t="shared" si="25"/>
        <v>5622140.136199981</v>
      </c>
      <c r="AD11" s="399">
        <f t="shared" si="25"/>
        <v>5622136.136199981</v>
      </c>
      <c r="AE11" s="399">
        <f t="shared" si="25"/>
        <v>5622140.136199981</v>
      </c>
      <c r="AF11" s="399">
        <f t="shared" si="25"/>
        <v>5979469.8961250037</v>
      </c>
      <c r="AG11" s="399">
        <f t="shared" si="25"/>
        <v>5979473.8961250037</v>
      </c>
      <c r="AH11" s="399">
        <f t="shared" si="25"/>
        <v>5979469.8961250037</v>
      </c>
      <c r="AI11" s="399">
        <f t="shared" si="25"/>
        <v>5979473.8961250037</v>
      </c>
      <c r="AJ11" s="399">
        <f t="shared" si="25"/>
        <v>5979469.8961250037</v>
      </c>
      <c r="AK11" s="399">
        <f t="shared" si="25"/>
        <v>5979473.8961250037</v>
      </c>
      <c r="AL11" s="399">
        <f t="shared" si="25"/>
        <v>5924469.8961250037</v>
      </c>
      <c r="AM11" s="399">
        <f t="shared" si="25"/>
        <v>5924473.8961250037</v>
      </c>
      <c r="AN11" s="399">
        <f t="shared" si="25"/>
        <v>5924469.8961250037</v>
      </c>
      <c r="AO11" s="399">
        <f t="shared" si="25"/>
        <v>5924473.8961250037</v>
      </c>
      <c r="AP11" s="399">
        <f t="shared" si="25"/>
        <v>5924469.8961250037</v>
      </c>
      <c r="AQ11" s="399">
        <f t="shared" si="25"/>
        <v>5924473.8961250037</v>
      </c>
      <c r="AR11" s="399">
        <f t="shared" si="25"/>
        <v>7681376.5127999783</v>
      </c>
      <c r="AS11" s="399">
        <f t="shared" ref="AS11" si="26">SUM(AS8:AS10)</f>
        <v>7681378.5127999783</v>
      </c>
      <c r="AT11" s="399">
        <f t="shared" ref="AT11" si="27">SUM(AT8:AT10)</f>
        <v>7681376.5127999783</v>
      </c>
      <c r="AU11" s="399">
        <f t="shared" ref="AU11" si="28">SUM(AU8:AU10)</f>
        <v>7681378.5127999783</v>
      </c>
      <c r="AV11" s="399">
        <f t="shared" ref="AV11" si="29">SUM(AV8:AV10)</f>
        <v>7681376.5127999783</v>
      </c>
      <c r="AW11" s="399">
        <f t="shared" ref="AW11" si="30">SUM(AW8:AW10)</f>
        <v>7681378.5127999783</v>
      </c>
      <c r="AX11" s="399">
        <f t="shared" ref="AX11" si="31">SUM(AX8:AX10)</f>
        <v>7620876.5127999783</v>
      </c>
      <c r="AY11" s="399">
        <f t="shared" ref="AY11" si="32">SUM(AY8:AY10)</f>
        <v>7620878.5127999783</v>
      </c>
      <c r="AZ11" s="399">
        <f t="shared" ref="AZ11" si="33">SUM(AZ8:AZ10)</f>
        <v>7620875.5127999783</v>
      </c>
      <c r="BA11" s="399">
        <f t="shared" ref="BA11" si="34">SUM(BA8:BA10)</f>
        <v>7620878.5127999783</v>
      </c>
      <c r="BB11" s="399">
        <f t="shared" ref="BB11" si="35">SUM(BB8:BB10)</f>
        <v>7620875.5127999783</v>
      </c>
      <c r="BC11" s="399">
        <f t="shared" ref="BC11" si="36">SUM(BC8:BC10)</f>
        <v>7620878.5127999783</v>
      </c>
      <c r="BD11" s="399">
        <f t="shared" ref="BD11" si="37">SUM(BD8:BD10)</f>
        <v>7936984.2566500008</v>
      </c>
      <c r="BE11" s="399">
        <f t="shared" ref="BE11" si="38">SUM(BE8:BE10)</f>
        <v>7936987.2566500008</v>
      </c>
      <c r="BF11" s="399">
        <f t="shared" ref="BF11" si="39">SUM(BF8:BF10)</f>
        <v>7936984.2566500008</v>
      </c>
      <c r="BG11" s="399">
        <f t="shared" ref="BG11" si="40">SUM(BG8:BG10)</f>
        <v>7936987.2566500008</v>
      </c>
      <c r="BH11" s="399">
        <f t="shared" ref="BH11" si="41">SUM(BH8:BH10)</f>
        <v>7936983.2566500008</v>
      </c>
      <c r="BI11" s="399">
        <f t="shared" ref="BI11" si="42">SUM(BI8:BI10)</f>
        <v>7936987.2566500008</v>
      </c>
      <c r="BJ11" s="399">
        <f t="shared" ref="BJ11" si="43">SUM(BJ8:BJ10)</f>
        <v>7870400.2566500008</v>
      </c>
      <c r="BK11" s="399">
        <f t="shared" ref="BK11" si="44">SUM(BK8:BK10)</f>
        <v>7870404.2566500008</v>
      </c>
      <c r="BL11" s="399">
        <f t="shared" ref="BL11" si="45">SUM(BL8:BL10)</f>
        <v>7870399.2566500008</v>
      </c>
      <c r="BM11" s="399">
        <f t="shared" ref="BM11" si="46">SUM(BM8:BM10)</f>
        <v>7870404.2566500008</v>
      </c>
      <c r="BN11" s="399">
        <f t="shared" ref="BN11" si="47">SUM(BN8:BN10)</f>
        <v>7870398.2566500008</v>
      </c>
      <c r="BO11" s="399">
        <f t="shared" ref="BO11" si="48">SUM(BO8:BO10)</f>
        <v>7870404.2566500008</v>
      </c>
    </row>
    <row r="12" spans="1:67" x14ac:dyDescent="0.35">
      <c r="A12" s="412">
        <v>1</v>
      </c>
      <c r="B12" s="410" t="s">
        <v>619</v>
      </c>
      <c r="C12">
        <v>14</v>
      </c>
      <c r="D12" s="401" t="s">
        <v>187</v>
      </c>
      <c r="E12" s="401"/>
      <c r="F12" s="401"/>
      <c r="G12" s="175">
        <f>SUMIF('PyG-Mes'!$B$7:$B$67,G$3,'PyG-Mes'!$N$7:$N$67)*IF($B12="+",1,-1)*IF($A12=1,1,0)</f>
        <v>0</v>
      </c>
      <c r="H12" s="175">
        <f>SUMIF('PyG-Mes'!$B$7:$B$67,H$3,'PyG-Mes'!$N$7:$N$67)*IF($B12="+",1,-1)*IF($A12=1,1,0)</f>
        <v>-1747752</v>
      </c>
      <c r="I12" s="175">
        <f>SUMIF('PyG-Mes'!$B$7:$B$67,I$3,'PyG-Mes'!$N$7:$N$67)*IF($B12="+",1,-1)*IF($A12=1,1,0)</f>
        <v>-1769663</v>
      </c>
      <c r="J12" s="175">
        <f>SUMIF('PyG-Mes'!$B$7:$B$67,J$3,'PyG-Mes'!$N$7:$N$67)*IF($B12="+",1,-1)*IF($A12=1,1,0)</f>
        <v>-1747752</v>
      </c>
      <c r="K12" s="175">
        <f>SUMIF('PyG-Mes'!$B$7:$B$67,K$3,'PyG-Mes'!$N$7:$N$67)*IF($B12="+",1,-1)*IF($A12=1,1,0)</f>
        <v>-1791295</v>
      </c>
      <c r="L12" s="175">
        <f>SUMIF('PyG-Mes'!$B$7:$B$67,L$3,'PyG-Mes'!$N$7:$N$67)*IF($B12="+",1,-1)*IF($A12=1,1,0)</f>
        <v>-1791295</v>
      </c>
      <c r="M12" s="175">
        <f>SUMIF('PyG-Mes'!$B$7:$B$67,M$3,'PyG-Mes'!$N$7:$N$67)*IF($B12="+",1,-1)*IF($A12=1,1,0)</f>
        <v>-1791295</v>
      </c>
      <c r="N12" s="175">
        <f>SUMIF('PyG-Mes'!$B$7:$B$67,N$3,'PyG-Mes'!$N$7:$N$67)*IF($B12="+",1,-1)*IF($A12=1,1,0)</f>
        <v>-1834743</v>
      </c>
      <c r="O12" s="175">
        <f>SUMIF('PyG-Mes'!$B$7:$B$67,O$3,'PyG-Mes'!$N$7:$N$67)*IF($B12="+",1,-1)*IF($A12=1,1,0)</f>
        <v>-1834743</v>
      </c>
      <c r="P12" s="175">
        <f>SUMIF('PyG-Mes'!$B$7:$B$67,P$3,'PyG-Mes'!$N$7:$N$67)*IF($B12="+",1,-1)*IF($A12=1,1,0)</f>
        <v>-1834743</v>
      </c>
      <c r="Q12" s="175">
        <f>SUMIF('PyG-Mes'!$B$7:$B$67,Q$3,'PyG-Mes'!$N$7:$N$67)*IF($B12="+",1,-1)*IF($A12=1,1,0)</f>
        <v>-1878096</v>
      </c>
      <c r="R12" s="175">
        <f>SUMIF('PyG-Mes'!$B$7:$B$67,R$3,'PyG-Mes'!$N$7:$N$67)*IF($B12="+",1,-1)*IF($A12=1,1,0)</f>
        <v>-1878096</v>
      </c>
      <c r="S12" s="175">
        <f>SUMIF('PyG-Mes'!$B$7:$B$67,S$3,'PyG-Mes'!$N$7:$N$67)*IF($B12="+",1,-1)*IF($A12=1,1,0)</f>
        <v>-1878096</v>
      </c>
      <c r="T12" s="175">
        <f>SUMIF('PyG-Mes'!$B$7:$B$67,T$3,'PyG-Mes'!$N$7:$N$67)*IF($B12="+",1,-1)*IF($A12=1,1,0)</f>
        <v>-1921357</v>
      </c>
      <c r="U12" s="175">
        <f>SUMIF('PyG-Mes'!$B$7:$B$67,U$3,'PyG-Mes'!$N$7:$N$67)*IF($B12="+",1,-1)*IF($A12=1,1,0)</f>
        <v>-1841300</v>
      </c>
      <c r="V12" s="175">
        <f>SUMIF('PyG-Mes'!$B$7:$B$67,V$3,'PyG-Mes'!$N$7:$N$67)*IF($B12="+",1,-1)*IF($A12=1,1,0)</f>
        <v>-1761244</v>
      </c>
      <c r="W12" s="175">
        <f>SUMIF('PyG-Mes'!$B$7:$B$67,W$3,'PyG-Mes'!$N$7:$N$67)*IF($B12="+",1,-1)*IF($A12=1,1,0)</f>
        <v>-1643334</v>
      </c>
      <c r="X12" s="175">
        <f>SUMIF('PyG-Mes'!$B$7:$B$67,X$3,'PyG-Mes'!$N$7:$N$67)*IF($B12="+",1,-1)*IF($A12=1,1,0)</f>
        <v>-1565080</v>
      </c>
      <c r="Y12" s="175">
        <f>SUMIF('PyG-Mes'!$B$7:$B$67,Y$3,'PyG-Mes'!$N$7:$N$67)*IF($B12="+",1,-1)*IF($A12=1,1,0)</f>
        <v>-1533105</v>
      </c>
      <c r="Z12" s="175">
        <f>SUMIF('PyG-Mes'!$B$7:$B$67,Z$3,'PyG-Mes'!$N$7:$N$67)*IF($B12="+",1,-1)*IF($A12=1,1,0)</f>
        <v>-1478346</v>
      </c>
      <c r="AA12" s="175">
        <f>SUMIF('PyG-Mes'!$B$7:$B$67,AA$3,'PyG-Mes'!$N$7:$N$67)*IF($B12="+",1,-1)*IF($A12=1,1,0)</f>
        <v>-1356436</v>
      </c>
      <c r="AB12" s="175">
        <f>SUMIF('PyG-Mes'!$B$7:$B$67,AB$3,'PyG-Mes'!$N$7:$N$67)*IF($B12="+",1,-1)*IF($A12=1,1,0)</f>
        <v>-1348181</v>
      </c>
      <c r="AC12" s="175">
        <f>SUMIF('PyG-Mes'!$B$7:$B$67,AC$3,'PyG-Mes'!$N$7:$N$67)*IF($B12="+",1,-1)*IF($A12=1,1,0)</f>
        <v>-1186523</v>
      </c>
      <c r="AD12" s="175">
        <f>SUMIF('PyG-Mes'!$B$7:$B$67,AD$3,'PyG-Mes'!$N$7:$N$67)*IF($B12="+",1,-1)*IF($A12=1,1,0)</f>
        <v>-1178851</v>
      </c>
      <c r="AE12" s="175">
        <f>SUMIF('PyG-Mes'!$B$7:$B$67,AE$3,'PyG-Mes'!$N$7:$N$67)*IF($B12="+",1,-1)*IF($A12=1,1,0)</f>
        <v>-1081892</v>
      </c>
      <c r="AF12" s="175">
        <f>SUMIF('PyG-Mes'!$B$7:$B$67,AF$3,'PyG-Mes'!$N$7:$N$67)*IF($B12="+",1,-1)*IF($A12=1,1,0)</f>
        <v>-1781141</v>
      </c>
      <c r="AG12" s="175">
        <f>SUMIF('PyG-Mes'!$B$7:$B$67,AG$3,'PyG-Mes'!$N$7:$N$67)*IF($B12="+",1,-1)*IF($A12=1,1,0)</f>
        <v>-1159155</v>
      </c>
      <c r="AH12" s="175">
        <f>SUMIF('PyG-Mes'!$B$7:$B$67,AH$3,'PyG-Mes'!$N$7:$N$67)*IF($B12="+",1,-1)*IF($A12=1,1,0)</f>
        <v>-1628246</v>
      </c>
      <c r="AI12" s="175">
        <f>SUMIF('PyG-Mes'!$B$7:$B$67,AI$3,'PyG-Mes'!$N$7:$N$67)*IF($B12="+",1,-1)*IF($A12=1,1,0)</f>
        <v>-984236</v>
      </c>
      <c r="AJ12" s="175">
        <f>SUMIF('PyG-Mes'!$B$7:$B$67,AJ$3,'PyG-Mes'!$N$7:$N$67)*IF($B12="+",1,-1)*IF($A12=1,1,0)</f>
        <v>-1478795</v>
      </c>
      <c r="AK12" s="175">
        <f>SUMIF('PyG-Mes'!$B$7:$B$67,AK$3,'PyG-Mes'!$N$7:$N$67)*IF($B12="+",1,-1)*IF($A12=1,1,0)</f>
        <v>-857282</v>
      </c>
      <c r="AL12" s="175">
        <f>SUMIF('PyG-Mes'!$B$7:$B$67,AL$3,'PyG-Mes'!$N$7:$N$67)*IF($B12="+",1,-1)*IF($A12=1,1,0)</f>
        <v>-1411985</v>
      </c>
      <c r="AM12" s="175">
        <f>SUMIF('PyG-Mes'!$B$7:$B$67,AM$3,'PyG-Mes'!$N$7:$N$67)*IF($B12="+",1,-1)*IF($A12=1,1,0)</f>
        <v>-692783</v>
      </c>
      <c r="AN12" s="175">
        <f>SUMIF('PyG-Mes'!$B$7:$B$67,AN$3,'PyG-Mes'!$N$7:$N$67)*IF($B12="+",1,-1)*IF($A12=1,1,0)</f>
        <v>-1266339</v>
      </c>
      <c r="AO12" s="175">
        <f>SUMIF('PyG-Mes'!$B$7:$B$67,AO$3,'PyG-Mes'!$N$7:$N$67)*IF($B12="+",1,-1)*IF($A12=1,1,0)</f>
        <v>-535514</v>
      </c>
      <c r="AP12" s="175">
        <f>SUMIF('PyG-Mes'!$B$7:$B$67,AP$3,'PyG-Mes'!$N$7:$N$67)*IF($B12="+",1,-1)*IF($A12=1,1,0)</f>
        <v>-1098761</v>
      </c>
      <c r="AQ12" s="175">
        <f>SUMIF('PyG-Mes'!$B$7:$B$67,AQ$3,'PyG-Mes'!$N$7:$N$67)*IF($B12="+",1,-1)*IF($A12=1,1,0)</f>
        <v>-415006</v>
      </c>
      <c r="AR12" s="175">
        <f>SUMIF('PyG-Mes'!$B$7:$B$67,AR$3,'PyG-Mes'!$N$7:$N$67)*IF($B12="+",1,-1)*IF($A12=1,1,0)</f>
        <v>-1303715</v>
      </c>
      <c r="AS12" s="175">
        <f>SUMIF('PyG-Mes'!$B$7:$B$67,AS$3,'PyG-Mes'!$N$7:$N$67)*IF($B12="+",1,-1)*IF($A12=1,1,0)</f>
        <v>-449179</v>
      </c>
      <c r="AT12" s="175">
        <f>SUMIF('PyG-Mes'!$B$7:$B$67,AT$3,'PyG-Mes'!$N$7:$N$67)*IF($B12="+",1,-1)*IF($A12=1,1,0)</f>
        <v>-1194159</v>
      </c>
      <c r="AU12" s="175">
        <f>SUMIF('PyG-Mes'!$B$7:$B$67,AU$3,'PyG-Mes'!$N$7:$N$67)*IF($B12="+",1,-1)*IF($A12=1,1,0)</f>
        <v>-322500</v>
      </c>
      <c r="AV12" s="175">
        <f>SUMIF('PyG-Mes'!$B$7:$B$67,AV$3,'PyG-Mes'!$N$7:$N$67)*IF($B12="+",1,-1)*IF($A12=1,1,0)</f>
        <v>-1107252</v>
      </c>
      <c r="AW12" s="175">
        <f>SUMIF('PyG-Mes'!$B$7:$B$67,AW$3,'PyG-Mes'!$N$7:$N$67)*IF($B12="+",1,-1)*IF($A12=1,1,0)</f>
        <v>-225750</v>
      </c>
      <c r="AX12" s="175">
        <f>SUMIF('PyG-Mes'!$B$7:$B$67,AX$3,'PyG-Mes'!$N$7:$N$67)*IF($B12="+",1,-1)*IF($A12=1,1,0)</f>
        <v>-1139502</v>
      </c>
      <c r="AY12" s="175">
        <f>SUMIF('PyG-Mes'!$B$7:$B$67,AY$3,'PyG-Mes'!$N$7:$N$67)*IF($B12="+",1,-1)*IF($A12=1,1,0)</f>
        <v>-107500</v>
      </c>
      <c r="AZ12" s="175">
        <f>SUMIF('PyG-Mes'!$B$7:$B$67,AZ$3,'PyG-Mes'!$N$7:$N$67)*IF($B12="+",1,-1)*IF($A12=1,1,0)</f>
        <v>-1021252</v>
      </c>
      <c r="BA12" s="175">
        <f>SUMIF('PyG-Mes'!$B$7:$B$67,BA$3,'PyG-Mes'!$N$7:$N$67)*IF($B12="+",1,-1)*IF($A12=1,1,0)</f>
        <v>0</v>
      </c>
      <c r="BB12" s="175">
        <f>SUMIF('PyG-Mes'!$B$7:$B$67,BB$3,'PyG-Mes'!$N$7:$N$67)*IF($B12="+",1,-1)*IF($A12=1,1,0)</f>
        <v>-892251</v>
      </c>
      <c r="BC12" s="175">
        <f>SUMIF('PyG-Mes'!$B$7:$B$67,BC$3,'PyG-Mes'!$N$7:$N$67)*IF($B12="+",1,-1)*IF($A12=1,1,0)</f>
        <v>0</v>
      </c>
      <c r="BD12" s="175">
        <f>SUMIF('PyG-Mes'!$B$7:$B$67,BD$3,'PyG-Mes'!$N$7:$N$67)*IF($B12="+",1,-1)*IF($A12=1,1,0)</f>
        <v>-1397502</v>
      </c>
      <c r="BE12" s="175">
        <f>SUMIF('PyG-Mes'!$B$7:$B$67,BE$3,'PyG-Mes'!$N$7:$N$67)*IF($B12="+",1,-1)*IF($A12=1,1,0)</f>
        <v>-21500</v>
      </c>
      <c r="BF12" s="175">
        <f>SUMIF('PyG-Mes'!$B$7:$B$67,BF$3,'PyG-Mes'!$N$7:$N$67)*IF($B12="+",1,-1)*IF($A12=1,1,0)</f>
        <v>-1279252</v>
      </c>
      <c r="BG12" s="175">
        <f>SUMIF('PyG-Mes'!$B$7:$B$67,BG$3,'PyG-Mes'!$N$7:$N$67)*IF($B12="+",1,-1)*IF($A12=1,1,0)</f>
        <v>0</v>
      </c>
      <c r="BH12" s="175">
        <f>SUMIF('PyG-Mes'!$B$7:$B$67,BH$3,'PyG-Mes'!$N$7:$N$67)*IF($B12="+",1,-1)*IF($A12=1,1,0)</f>
        <v>-1161292</v>
      </c>
      <c r="BI12" s="175">
        <f>SUMIF('PyG-Mes'!$B$7:$B$67,BI$3,'PyG-Mes'!$N$7:$N$67)*IF($B12="+",1,-1)*IF($A12=1,1,0)</f>
        <v>0</v>
      </c>
      <c r="BJ12" s="175">
        <f>SUMIF('PyG-Mes'!$B$7:$B$67,BJ$3,'PyG-Mes'!$N$7:$N$67)*IF($B12="+",1,-1)*IF($A12=1,1,0)</f>
        <v>-1160715</v>
      </c>
      <c r="BK12" s="175">
        <f>SUMIF('PyG-Mes'!$B$7:$B$67,BK$3,'PyG-Mes'!$N$7:$N$67)*IF($B12="+",1,-1)*IF($A12=1,1,0)</f>
        <v>0</v>
      </c>
      <c r="BL12" s="175">
        <f>SUMIF('PyG-Mes'!$B$7:$B$67,BL$3,'PyG-Mes'!$N$7:$N$67)*IF($B12="+",1,-1)*IF($A12=1,1,0)</f>
        <v>-892857</v>
      </c>
      <c r="BM12" s="175">
        <f>SUMIF('PyG-Mes'!$B$7:$B$67,BM$3,'PyG-Mes'!$N$7:$N$67)*IF($B12="+",1,-1)*IF($A12=1,1,0)</f>
        <v>0</v>
      </c>
      <c r="BN12" s="175">
        <f>SUMIF('PyG-Mes'!$B$7:$B$67,BN$3,'PyG-Mes'!$N$7:$N$67)*IF($B12="+",1,-1)*IF($A12=1,1,0)</f>
        <v>-636462</v>
      </c>
      <c r="BO12" s="175">
        <f>SUMIF('PyG-Mes'!$B$7:$B$67,BO$3,'PyG-Mes'!$N$7:$N$67)*IF($B12="+",1,-1)*IF($A12=1,1,0)</f>
        <v>0</v>
      </c>
    </row>
    <row r="13" spans="1:67" x14ac:dyDescent="0.35">
      <c r="C13">
        <v>15</v>
      </c>
      <c r="D13" s="403" t="s">
        <v>594</v>
      </c>
      <c r="E13" s="403"/>
      <c r="F13" s="403"/>
      <c r="G13" s="399">
        <f>SUM(G11:G12)</f>
        <v>0</v>
      </c>
      <c r="H13" s="399">
        <f>SUM(H11:H12)</f>
        <v>2420036.9600499868</v>
      </c>
      <c r="I13" s="399">
        <f>SUM(I11:I12)</f>
        <v>2041654.9600499868</v>
      </c>
      <c r="J13" s="399">
        <f t="shared" ref="J13:AR13" si="49">SUM(J11:J12)</f>
        <v>2063565.9600499868</v>
      </c>
      <c r="K13" s="399">
        <f t="shared" si="49"/>
        <v>2040393.9600499868</v>
      </c>
      <c r="L13" s="399">
        <f t="shared" si="49"/>
        <v>2064837.9600499868</v>
      </c>
      <c r="M13" s="399">
        <f t="shared" si="49"/>
        <v>2077060.9600499868</v>
      </c>
      <c r="N13" s="399">
        <f t="shared" si="49"/>
        <v>1032125.9600499868</v>
      </c>
      <c r="O13" s="399">
        <f t="shared" si="49"/>
        <v>1036398.9600499868</v>
      </c>
      <c r="P13" s="399">
        <f t="shared" si="49"/>
        <v>1062037.9600499868</v>
      </c>
      <c r="Q13" s="399">
        <f t="shared" si="49"/>
        <v>1049485.9600499868</v>
      </c>
      <c r="R13" s="399">
        <f t="shared" si="49"/>
        <v>1076315.9600499868</v>
      </c>
      <c r="S13" s="399">
        <f t="shared" si="49"/>
        <v>1089730.9600499868</v>
      </c>
      <c r="T13" s="399">
        <f t="shared" si="49"/>
        <v>3353518.136199981</v>
      </c>
      <c r="U13" s="399">
        <f t="shared" si="49"/>
        <v>3354189.136199981</v>
      </c>
      <c r="V13" s="399">
        <f t="shared" si="49"/>
        <v>3429574.136199981</v>
      </c>
      <c r="W13" s="399">
        <f t="shared" si="49"/>
        <v>3537749.136199981</v>
      </c>
      <c r="X13" s="399">
        <f t="shared" si="49"/>
        <v>3607059.136199981</v>
      </c>
      <c r="Y13" s="399">
        <f t="shared" si="49"/>
        <v>3639035.136199981</v>
      </c>
      <c r="Z13" s="399">
        <f t="shared" si="49"/>
        <v>4143793.136199981</v>
      </c>
      <c r="AA13" s="399">
        <f t="shared" si="49"/>
        <v>4265704.136199981</v>
      </c>
      <c r="AB13" s="399">
        <f t="shared" si="49"/>
        <v>4273955.136199981</v>
      </c>
      <c r="AC13" s="399">
        <f t="shared" si="49"/>
        <v>4435617.136199981</v>
      </c>
      <c r="AD13" s="399">
        <f t="shared" si="49"/>
        <v>4443285.136199981</v>
      </c>
      <c r="AE13" s="399">
        <f t="shared" si="49"/>
        <v>4540248.136199981</v>
      </c>
      <c r="AF13" s="399">
        <f t="shared" si="49"/>
        <v>4198328.8961250037</v>
      </c>
      <c r="AG13" s="399">
        <f t="shared" si="49"/>
        <v>4820318.8961250037</v>
      </c>
      <c r="AH13" s="399">
        <f t="shared" si="49"/>
        <v>4351223.8961250037</v>
      </c>
      <c r="AI13" s="399">
        <f t="shared" si="49"/>
        <v>4995237.8961250037</v>
      </c>
      <c r="AJ13" s="399">
        <f t="shared" si="49"/>
        <v>4500674.8961250037</v>
      </c>
      <c r="AK13" s="399">
        <f t="shared" si="49"/>
        <v>5122191.8961250037</v>
      </c>
      <c r="AL13" s="399">
        <f t="shared" si="49"/>
        <v>4512484.8961250037</v>
      </c>
      <c r="AM13" s="399">
        <f t="shared" si="49"/>
        <v>5231690.8961250037</v>
      </c>
      <c r="AN13" s="399">
        <f t="shared" si="49"/>
        <v>4658130.8961250037</v>
      </c>
      <c r="AO13" s="399">
        <f t="shared" si="49"/>
        <v>5388959.8961250037</v>
      </c>
      <c r="AP13" s="399">
        <f t="shared" si="49"/>
        <v>4825708.8961250037</v>
      </c>
      <c r="AQ13" s="399">
        <f t="shared" si="49"/>
        <v>5509467.8961250037</v>
      </c>
      <c r="AR13" s="399">
        <f t="shared" si="49"/>
        <v>6377661.5127999783</v>
      </c>
      <c r="AS13" s="399">
        <f t="shared" ref="AS13" si="50">SUM(AS11:AS12)</f>
        <v>7232199.5127999783</v>
      </c>
      <c r="AT13" s="399">
        <f t="shared" ref="AT13" si="51">SUM(AT11:AT12)</f>
        <v>6487217.5127999783</v>
      </c>
      <c r="AU13" s="399">
        <f t="shared" ref="AU13" si="52">SUM(AU11:AU12)</f>
        <v>7358878.5127999783</v>
      </c>
      <c r="AV13" s="399">
        <f t="shared" ref="AV13" si="53">SUM(AV11:AV12)</f>
        <v>6574124.5127999783</v>
      </c>
      <c r="AW13" s="399">
        <f t="shared" ref="AW13" si="54">SUM(AW11:AW12)</f>
        <v>7455628.5127999783</v>
      </c>
      <c r="AX13" s="399">
        <f t="shared" ref="AX13" si="55">SUM(AX11:AX12)</f>
        <v>6481374.5127999783</v>
      </c>
      <c r="AY13" s="399">
        <f t="shared" ref="AY13" si="56">SUM(AY11:AY12)</f>
        <v>7513378.5127999783</v>
      </c>
      <c r="AZ13" s="399">
        <f t="shared" ref="AZ13" si="57">SUM(AZ11:AZ12)</f>
        <v>6599623.5127999783</v>
      </c>
      <c r="BA13" s="399">
        <f t="shared" ref="BA13" si="58">SUM(BA11:BA12)</f>
        <v>7620878.5127999783</v>
      </c>
      <c r="BB13" s="399">
        <f t="shared" ref="BB13" si="59">SUM(BB11:BB12)</f>
        <v>6728624.5127999783</v>
      </c>
      <c r="BC13" s="399">
        <f t="shared" ref="BC13" si="60">SUM(BC11:BC12)</f>
        <v>7620878.5127999783</v>
      </c>
      <c r="BD13" s="399">
        <f t="shared" ref="BD13" si="61">SUM(BD11:BD12)</f>
        <v>6539482.2566500008</v>
      </c>
      <c r="BE13" s="399">
        <f t="shared" ref="BE13" si="62">SUM(BE11:BE12)</f>
        <v>7915487.2566500008</v>
      </c>
      <c r="BF13" s="399">
        <f t="shared" ref="BF13" si="63">SUM(BF11:BF12)</f>
        <v>6657732.2566500008</v>
      </c>
      <c r="BG13" s="399">
        <f t="shared" ref="BG13" si="64">SUM(BG11:BG12)</f>
        <v>7936987.2566500008</v>
      </c>
      <c r="BH13" s="399">
        <f t="shared" ref="BH13" si="65">SUM(BH11:BH12)</f>
        <v>6775691.2566500008</v>
      </c>
      <c r="BI13" s="399">
        <f t="shared" ref="BI13" si="66">SUM(BI11:BI12)</f>
        <v>7936987.2566500008</v>
      </c>
      <c r="BJ13" s="399">
        <f t="shared" ref="BJ13" si="67">SUM(BJ11:BJ12)</f>
        <v>6709685.2566500008</v>
      </c>
      <c r="BK13" s="399">
        <f t="shared" ref="BK13" si="68">SUM(BK11:BK12)</f>
        <v>7870404.2566500008</v>
      </c>
      <c r="BL13" s="399">
        <f t="shared" ref="BL13" si="69">SUM(BL11:BL12)</f>
        <v>6977542.2566500008</v>
      </c>
      <c r="BM13" s="399">
        <f t="shared" ref="BM13" si="70">SUM(BM11:BM12)</f>
        <v>7870404.2566500008</v>
      </c>
      <c r="BN13" s="399">
        <f t="shared" ref="BN13" si="71">SUM(BN11:BN12)</f>
        <v>7233936.2566500008</v>
      </c>
      <c r="BO13" s="399">
        <f t="shared" ref="BO13" si="72">SUM(BO11:BO12)</f>
        <v>7870404.2566500008</v>
      </c>
    </row>
    <row r="14" spans="1:67" x14ac:dyDescent="0.35">
      <c r="A14" s="412">
        <v>1</v>
      </c>
      <c r="B14" s="410" t="s">
        <v>619</v>
      </c>
      <c r="C14">
        <v>16</v>
      </c>
      <c r="D14" s="401" t="s">
        <v>595</v>
      </c>
      <c r="E14" s="401"/>
      <c r="F14" s="401"/>
      <c r="G14" s="175">
        <f>SUMIF('PyG-Mes'!$B$7:$B$67,G$3,'PyG-Mes'!$P$7:$P$67)*IF($B14="+",1,-1)*IF($A14=1,1,0)</f>
        <v>0</v>
      </c>
      <c r="H14" s="175">
        <f>SUMIF('PyG-Mes'!$B$7:$B$67,H$3,'PyG-Mes'!$P$7:$P$67)*IF($B14="+",1,-1)*IF($A14=1,1,0)</f>
        <v>-218000</v>
      </c>
      <c r="I14" s="175">
        <f>SUMIF('PyG-Mes'!$B$7:$B$67,I$3,'PyG-Mes'!$P$7:$P$67)*IF($B14="+",1,-1)*IF($A14=1,1,0)</f>
        <v>-184000</v>
      </c>
      <c r="J14" s="175">
        <f>SUMIF('PyG-Mes'!$B$7:$B$67,J$3,'PyG-Mes'!$P$7:$P$67)*IF($B14="+",1,-1)*IF($A14=1,1,0)</f>
        <v>-186000</v>
      </c>
      <c r="K14" s="175">
        <f>SUMIF('PyG-Mes'!$B$7:$B$67,K$3,'PyG-Mes'!$P$7:$P$67)*IF($B14="+",1,-1)*IF($A14=1,1,0)</f>
        <v>-183000</v>
      </c>
      <c r="L14" s="175">
        <f>SUMIF('PyG-Mes'!$B$7:$B$67,L$3,'PyG-Mes'!$P$7:$P$67)*IF($B14="+",1,-1)*IF($A14=1,1,0)</f>
        <v>-186000</v>
      </c>
      <c r="M14" s="175">
        <f>SUMIF('PyG-Mes'!$B$7:$B$67,M$3,'PyG-Mes'!$P$7:$P$67)*IF($B14="+",1,-1)*IF($A14=1,1,0)</f>
        <v>-187000</v>
      </c>
      <c r="N14" s="175">
        <f>SUMIF('PyG-Mes'!$B$7:$B$67,N$3,'PyG-Mes'!$P$7:$P$67)*IF($B14="+",1,-1)*IF($A14=1,1,0)</f>
        <v>-93000</v>
      </c>
      <c r="O14" s="175">
        <f>SUMIF('PyG-Mes'!$B$7:$B$67,O$3,'PyG-Mes'!$P$7:$P$67)*IF($B14="+",1,-1)*IF($A14=1,1,0)</f>
        <v>-93000</v>
      </c>
      <c r="P14" s="175">
        <f>SUMIF('PyG-Mes'!$B$7:$B$67,P$3,'PyG-Mes'!$P$7:$P$67)*IF($B14="+",1,-1)*IF($A14=1,1,0)</f>
        <v>-96000</v>
      </c>
      <c r="Q14" s="175">
        <f>SUMIF('PyG-Mes'!$B$7:$B$67,Q$3,'PyG-Mes'!$P$7:$P$67)*IF($B14="+",1,-1)*IF($A14=1,1,0)</f>
        <v>-94000</v>
      </c>
      <c r="R14" s="175">
        <f>SUMIF('PyG-Mes'!$B$7:$B$67,R$3,'PyG-Mes'!$P$7:$P$67)*IF($B14="+",1,-1)*IF($A14=1,1,0)</f>
        <v>-97000</v>
      </c>
      <c r="S14" s="175">
        <f>SUMIF('PyG-Mes'!$B$7:$B$67,S$3,'PyG-Mes'!$P$7:$P$67)*IF($B14="+",1,-1)*IF($A14=1,1,0)</f>
        <v>-98000</v>
      </c>
      <c r="T14" s="175">
        <f>SUMIF('PyG-Mes'!$B$7:$B$67,T$3,'PyG-Mes'!$P$7:$P$67)*IF($B14="+",1,-1)*IF($A14=1,1,0)</f>
        <v>-302000</v>
      </c>
      <c r="U14" s="175">
        <f>SUMIF('PyG-Mes'!$B$7:$B$67,U$3,'PyG-Mes'!$P$7:$P$67)*IF($B14="+",1,-1)*IF($A14=1,1,0)</f>
        <v>-302000</v>
      </c>
      <c r="V14" s="175">
        <f>SUMIF('PyG-Mes'!$B$7:$B$67,V$3,'PyG-Mes'!$P$7:$P$67)*IF($B14="+",1,-1)*IF($A14=1,1,0)</f>
        <v>-309000</v>
      </c>
      <c r="W14" s="175">
        <f>SUMIF('PyG-Mes'!$B$7:$B$67,W$3,'PyG-Mes'!$P$7:$P$67)*IF($B14="+",1,-1)*IF($A14=1,1,0)</f>
        <v>-318000</v>
      </c>
      <c r="X14" s="175">
        <f>SUMIF('PyG-Mes'!$B$7:$B$67,X$3,'PyG-Mes'!$P$7:$P$67)*IF($B14="+",1,-1)*IF($A14=1,1,0)</f>
        <v>-325000</v>
      </c>
      <c r="Y14" s="175">
        <f>SUMIF('PyG-Mes'!$B$7:$B$67,Y$3,'PyG-Mes'!$P$7:$P$67)*IF($B14="+",1,-1)*IF($A14=1,1,0)</f>
        <v>-327000</v>
      </c>
      <c r="Z14" s="175">
        <f>SUMIF('PyG-Mes'!$B$7:$B$67,Z$3,'PyG-Mes'!$P$7:$P$67)*IF($B14="+",1,-1)*IF($A14=1,1,0)</f>
        <v>-373000</v>
      </c>
      <c r="AA14" s="175">
        <f>SUMIF('PyG-Mes'!$B$7:$B$67,AA$3,'PyG-Mes'!$P$7:$P$67)*IF($B14="+",1,-1)*IF($A14=1,1,0)</f>
        <v>-384000</v>
      </c>
      <c r="AB14" s="175">
        <f>SUMIF('PyG-Mes'!$B$7:$B$67,AB$3,'PyG-Mes'!$P$7:$P$67)*IF($B14="+",1,-1)*IF($A14=1,1,0)</f>
        <v>-385000</v>
      </c>
      <c r="AC14" s="175">
        <f>SUMIF('PyG-Mes'!$B$7:$B$67,AC$3,'PyG-Mes'!$P$7:$P$67)*IF($B14="+",1,-1)*IF($A14=1,1,0)</f>
        <v>-399000</v>
      </c>
      <c r="AD14" s="175">
        <f>SUMIF('PyG-Mes'!$B$7:$B$67,AD$3,'PyG-Mes'!$P$7:$P$67)*IF($B14="+",1,-1)*IF($A14=1,1,0)</f>
        <v>-400000</v>
      </c>
      <c r="AE14" s="175">
        <f>SUMIF('PyG-Mes'!$B$7:$B$67,AE$3,'PyG-Mes'!$P$7:$P$67)*IF($B14="+",1,-1)*IF($A14=1,1,0)</f>
        <v>-409000</v>
      </c>
      <c r="AF14" s="175">
        <f>SUMIF('PyG-Mes'!$B$7:$B$67,AF$3,'PyG-Mes'!$P$7:$P$67)*IF($B14="+",1,-1)*IF($A14=1,1,0)</f>
        <v>-641000</v>
      </c>
      <c r="AG14" s="175">
        <f>SUMIF('PyG-Mes'!$B$7:$B$67,AG$3,'PyG-Mes'!$P$7:$P$67)*IF($B14="+",1,-1)*IF($A14=1,1,0)</f>
        <v>-735000</v>
      </c>
      <c r="AH14" s="175">
        <f>SUMIF('PyG-Mes'!$B$7:$B$67,AH$3,'PyG-Mes'!$P$7:$P$67)*IF($B14="+",1,-1)*IF($A14=1,1,0)</f>
        <v>-664000</v>
      </c>
      <c r="AI14" s="175">
        <f>SUMIF('PyG-Mes'!$B$7:$B$67,AI$3,'PyG-Mes'!$P$7:$P$67)*IF($B14="+",1,-1)*IF($A14=1,1,0)</f>
        <v>-761000</v>
      </c>
      <c r="AJ14" s="175">
        <f>SUMIF('PyG-Mes'!$B$7:$B$67,AJ$3,'PyG-Mes'!$P$7:$P$67)*IF($B14="+",1,-1)*IF($A14=1,1,0)</f>
        <v>-687000</v>
      </c>
      <c r="AK14" s="175">
        <f>SUMIF('PyG-Mes'!$B$7:$B$67,AK$3,'PyG-Mes'!$P$7:$P$67)*IF($B14="+",1,-1)*IF($A14=1,1,0)</f>
        <v>-781000</v>
      </c>
      <c r="AL14" s="175">
        <f>SUMIF('PyG-Mes'!$B$7:$B$67,AL$3,'PyG-Mes'!$P$7:$P$67)*IF($B14="+",1,-1)*IF($A14=1,1,0)</f>
        <v>-689000</v>
      </c>
      <c r="AM14" s="175">
        <f>SUMIF('PyG-Mes'!$B$7:$B$67,AM$3,'PyG-Mes'!$P$7:$P$67)*IF($B14="+",1,-1)*IF($A14=1,1,0)</f>
        <v>-797000</v>
      </c>
      <c r="AN14" s="175">
        <f>SUMIF('PyG-Mes'!$B$7:$B$67,AN$3,'PyG-Mes'!$P$7:$P$67)*IF($B14="+",1,-1)*IF($A14=1,1,0)</f>
        <v>-711000</v>
      </c>
      <c r="AO14" s="175">
        <f>SUMIF('PyG-Mes'!$B$7:$B$67,AO$3,'PyG-Mes'!$P$7:$P$67)*IF($B14="+",1,-1)*IF($A14=1,1,0)</f>
        <v>-822000</v>
      </c>
      <c r="AP14" s="175">
        <f>SUMIF('PyG-Mes'!$B$7:$B$67,AP$3,'PyG-Mes'!$P$7:$P$67)*IF($B14="+",1,-1)*IF($A14=1,1,0)</f>
        <v>-735000</v>
      </c>
      <c r="AQ14" s="175">
        <f>SUMIF('PyG-Mes'!$B$7:$B$67,AQ$3,'PyG-Mes'!$P$7:$P$67)*IF($B14="+",1,-1)*IF($A14=1,1,0)</f>
        <v>-841000</v>
      </c>
      <c r="AR14" s="175">
        <f>SUMIF('PyG-Mes'!$B$7:$B$67,AR$3,'PyG-Mes'!$P$7:$P$67)*IF($B14="+",1,-1)*IF($A14=1,1,0)</f>
        <v>-1372000</v>
      </c>
      <c r="AS14" s="175">
        <f>SUMIF('PyG-Mes'!$B$7:$B$67,AS$3,'PyG-Mes'!$P$7:$P$67)*IF($B14="+",1,-1)*IF($A14=1,1,0)</f>
        <v>-1555000</v>
      </c>
      <c r="AT14" s="175">
        <f>SUMIF('PyG-Mes'!$B$7:$B$67,AT$3,'PyG-Mes'!$P$7:$P$67)*IF($B14="+",1,-1)*IF($A14=1,1,0)</f>
        <v>-1395000</v>
      </c>
      <c r="AU14" s="175">
        <f>SUMIF('PyG-Mes'!$B$7:$B$67,AU$3,'PyG-Mes'!$P$7:$P$67)*IF($B14="+",1,-1)*IF($A14=1,1,0)</f>
        <v>-1582000</v>
      </c>
      <c r="AV14" s="175">
        <f>SUMIF('PyG-Mes'!$B$7:$B$67,AV$3,'PyG-Mes'!$P$7:$P$67)*IF($B14="+",1,-1)*IF($A14=1,1,0)</f>
        <v>-1413000</v>
      </c>
      <c r="AW14" s="175">
        <f>SUMIF('PyG-Mes'!$B$7:$B$67,AW$3,'PyG-Mes'!$P$7:$P$67)*IF($B14="+",1,-1)*IF($A14=1,1,0)</f>
        <v>-1603000</v>
      </c>
      <c r="AX14" s="175">
        <f>SUMIF('PyG-Mes'!$B$7:$B$67,AX$3,'PyG-Mes'!$P$7:$P$67)*IF($B14="+",1,-1)*IF($A14=1,1,0)</f>
        <v>-1394000</v>
      </c>
      <c r="AY14" s="175">
        <f>SUMIF('PyG-Mes'!$B$7:$B$67,AY$3,'PyG-Mes'!$P$7:$P$67)*IF($B14="+",1,-1)*IF($A14=1,1,0)</f>
        <v>-1616000</v>
      </c>
      <c r="AZ14" s="175">
        <f>SUMIF('PyG-Mes'!$B$7:$B$67,AZ$3,'PyG-Mes'!$P$7:$P$67)*IF($B14="+",1,-1)*IF($A14=1,1,0)</f>
        <v>-1419000</v>
      </c>
      <c r="BA14" s="175">
        <f>SUMIF('PyG-Mes'!$B$7:$B$67,BA$3,'PyG-Mes'!$P$7:$P$67)*IF($B14="+",1,-1)*IF($A14=1,1,0)</f>
        <v>-1638000</v>
      </c>
      <c r="BB14" s="175">
        <f>SUMIF('PyG-Mes'!$B$7:$B$67,BB$3,'PyG-Mes'!$P$7:$P$67)*IF($B14="+",1,-1)*IF($A14=1,1,0)</f>
        <v>-1446000</v>
      </c>
      <c r="BC14" s="175">
        <f>SUMIF('PyG-Mes'!$B$7:$B$67,BC$3,'PyG-Mes'!$P$7:$P$67)*IF($B14="+",1,-1)*IF($A14=1,1,0)</f>
        <v>-1639000</v>
      </c>
      <c r="BD14" s="175">
        <f>SUMIF('PyG-Mes'!$B$7:$B$67,BD$3,'PyG-Mes'!$P$7:$P$67)*IF($B14="+",1,-1)*IF($A14=1,1,0)</f>
        <v>-1816000</v>
      </c>
      <c r="BE14" s="175">
        <f>SUMIF('PyG-Mes'!$B$7:$B$67,BE$3,'PyG-Mes'!$P$7:$P$67)*IF($B14="+",1,-1)*IF($A14=1,1,0)</f>
        <v>-2196000</v>
      </c>
      <c r="BF14" s="175">
        <f>SUMIF('PyG-Mes'!$B$7:$B$67,BF$3,'PyG-Mes'!$P$7:$P$67)*IF($B14="+",1,-1)*IF($A14=1,1,0)</f>
        <v>-1848000</v>
      </c>
      <c r="BG14" s="175">
        <f>SUMIF('PyG-Mes'!$B$7:$B$67,BG$3,'PyG-Mes'!$P$7:$P$67)*IF($B14="+",1,-1)*IF($A14=1,1,0)</f>
        <v>-2202000</v>
      </c>
      <c r="BH14" s="175">
        <f>SUMIF('PyG-Mes'!$B$7:$B$67,BH$3,'PyG-Mes'!$P$7:$P$67)*IF($B14="+",1,-1)*IF($A14=1,1,0)</f>
        <v>-1881000</v>
      </c>
      <c r="BI14" s="175">
        <f>SUMIF('PyG-Mes'!$B$7:$B$67,BI$3,'PyG-Mes'!$P$7:$P$67)*IF($B14="+",1,-1)*IF($A14=1,1,0)</f>
        <v>-2202000</v>
      </c>
      <c r="BJ14" s="175">
        <f>SUMIF('PyG-Mes'!$B$7:$B$67,BJ$3,'PyG-Mes'!$P$7:$P$67)*IF($B14="+",1,-1)*IF($A14=1,1,0)</f>
        <v>-1862000</v>
      </c>
      <c r="BK14" s="175">
        <f>SUMIF('PyG-Mes'!$B$7:$B$67,BK$3,'PyG-Mes'!$P$7:$P$67)*IF($B14="+",1,-1)*IF($A14=1,1,0)</f>
        <v>-2184000</v>
      </c>
      <c r="BL14" s="175">
        <f>SUMIF('PyG-Mes'!$B$7:$B$67,BL$3,'PyG-Mes'!$P$7:$P$67)*IF($B14="+",1,-1)*IF($A14=1,1,0)</f>
        <v>-1936000</v>
      </c>
      <c r="BM14" s="175">
        <f>SUMIF('PyG-Mes'!$B$7:$B$67,BM$3,'PyG-Mes'!$P$7:$P$67)*IF($B14="+",1,-1)*IF($A14=1,1,0)</f>
        <v>-2185000</v>
      </c>
      <c r="BN14" s="175">
        <f>SUMIF('PyG-Mes'!$B$7:$B$67,BN$3,'PyG-Mes'!$P$7:$P$67)*IF($B14="+",1,-1)*IF($A14=1,1,0)</f>
        <v>-2007000</v>
      </c>
      <c r="BO14" s="175">
        <f>SUMIF('PyG-Mes'!$B$7:$B$67,BO$3,'PyG-Mes'!$P$7:$P$67)*IF($B14="+",1,-1)*IF($A14=1,1,0)</f>
        <v>-2184000</v>
      </c>
    </row>
    <row r="15" spans="1:67" x14ac:dyDescent="0.35">
      <c r="C15">
        <v>17</v>
      </c>
      <c r="D15" s="406" t="s">
        <v>596</v>
      </c>
      <c r="E15" s="406"/>
      <c r="F15" s="406"/>
      <c r="G15" s="405">
        <f>SUM(G13:G14)</f>
        <v>0</v>
      </c>
      <c r="H15" s="399">
        <f>SUM(H13:H14)</f>
        <v>2202036.9600499868</v>
      </c>
      <c r="I15" s="399">
        <f>SUM(I13:I14)</f>
        <v>1857654.9600499868</v>
      </c>
      <c r="J15" s="399">
        <f t="shared" ref="J15:AR15" si="73">SUM(J13:J14)</f>
        <v>1877565.9600499868</v>
      </c>
      <c r="K15" s="399">
        <f t="shared" si="73"/>
        <v>1857393.9600499868</v>
      </c>
      <c r="L15" s="399">
        <f t="shared" si="73"/>
        <v>1878837.9600499868</v>
      </c>
      <c r="M15" s="399">
        <f t="shared" si="73"/>
        <v>1890060.9600499868</v>
      </c>
      <c r="N15" s="399">
        <f t="shared" si="73"/>
        <v>939125.96004998684</v>
      </c>
      <c r="O15" s="399">
        <f t="shared" si="73"/>
        <v>943398.96004998684</v>
      </c>
      <c r="P15" s="399">
        <f t="shared" si="73"/>
        <v>966037.96004998684</v>
      </c>
      <c r="Q15" s="399">
        <f t="shared" si="73"/>
        <v>955485.96004998684</v>
      </c>
      <c r="R15" s="399">
        <f t="shared" si="73"/>
        <v>979315.96004998684</v>
      </c>
      <c r="S15" s="399">
        <f t="shared" si="73"/>
        <v>991730.96004998684</v>
      </c>
      <c r="T15" s="399">
        <f t="shared" si="73"/>
        <v>3051518.136199981</v>
      </c>
      <c r="U15" s="399">
        <f t="shared" si="73"/>
        <v>3052189.136199981</v>
      </c>
      <c r="V15" s="399">
        <f t="shared" si="73"/>
        <v>3120574.136199981</v>
      </c>
      <c r="W15" s="399">
        <f t="shared" si="73"/>
        <v>3219749.136199981</v>
      </c>
      <c r="X15" s="399">
        <f t="shared" si="73"/>
        <v>3282059.136199981</v>
      </c>
      <c r="Y15" s="399">
        <f t="shared" si="73"/>
        <v>3312035.136199981</v>
      </c>
      <c r="Z15" s="399">
        <f t="shared" si="73"/>
        <v>3770793.136199981</v>
      </c>
      <c r="AA15" s="399">
        <f t="shared" si="73"/>
        <v>3881704.136199981</v>
      </c>
      <c r="AB15" s="399">
        <f t="shared" si="73"/>
        <v>3888955.136199981</v>
      </c>
      <c r="AC15" s="399">
        <f t="shared" si="73"/>
        <v>4036617.136199981</v>
      </c>
      <c r="AD15" s="399">
        <f t="shared" si="73"/>
        <v>4043285.136199981</v>
      </c>
      <c r="AE15" s="399">
        <f t="shared" si="73"/>
        <v>4131248.136199981</v>
      </c>
      <c r="AF15" s="399">
        <f t="shared" si="73"/>
        <v>3557328.8961250037</v>
      </c>
      <c r="AG15" s="399">
        <f t="shared" si="73"/>
        <v>4085318.8961250037</v>
      </c>
      <c r="AH15" s="399">
        <f t="shared" si="73"/>
        <v>3687223.8961250037</v>
      </c>
      <c r="AI15" s="399">
        <f t="shared" si="73"/>
        <v>4234237.8961250037</v>
      </c>
      <c r="AJ15" s="399">
        <f t="shared" si="73"/>
        <v>3813674.8961250037</v>
      </c>
      <c r="AK15" s="399">
        <f t="shared" si="73"/>
        <v>4341191.8961250037</v>
      </c>
      <c r="AL15" s="399">
        <f t="shared" si="73"/>
        <v>3823484.8961250037</v>
      </c>
      <c r="AM15" s="399">
        <f t="shared" si="73"/>
        <v>4434690.8961250037</v>
      </c>
      <c r="AN15" s="399">
        <f t="shared" si="73"/>
        <v>3947130.8961250037</v>
      </c>
      <c r="AO15" s="399">
        <f t="shared" si="73"/>
        <v>4566959.8961250037</v>
      </c>
      <c r="AP15" s="399">
        <f t="shared" si="73"/>
        <v>4090708.8961250037</v>
      </c>
      <c r="AQ15" s="399">
        <f t="shared" si="73"/>
        <v>4668467.8961250037</v>
      </c>
      <c r="AR15" s="399">
        <f t="shared" si="73"/>
        <v>5005661.5127999783</v>
      </c>
      <c r="AS15" s="399">
        <f t="shared" ref="AS15" si="74">SUM(AS13:AS14)</f>
        <v>5677199.5127999783</v>
      </c>
      <c r="AT15" s="399">
        <f t="shared" ref="AT15" si="75">SUM(AT13:AT14)</f>
        <v>5092217.5127999783</v>
      </c>
      <c r="AU15" s="399">
        <f t="shared" ref="AU15" si="76">SUM(AU13:AU14)</f>
        <v>5776878.5127999783</v>
      </c>
      <c r="AV15" s="399">
        <f t="shared" ref="AV15" si="77">SUM(AV13:AV14)</f>
        <v>5161124.5127999783</v>
      </c>
      <c r="AW15" s="399">
        <f t="shared" ref="AW15" si="78">SUM(AW13:AW14)</f>
        <v>5852628.5127999783</v>
      </c>
      <c r="AX15" s="399">
        <f t="shared" ref="AX15" si="79">SUM(AX13:AX14)</f>
        <v>5087374.5127999783</v>
      </c>
      <c r="AY15" s="399">
        <f t="shared" ref="AY15" si="80">SUM(AY13:AY14)</f>
        <v>5897378.5127999783</v>
      </c>
      <c r="AZ15" s="399">
        <f t="shared" ref="AZ15" si="81">SUM(AZ13:AZ14)</f>
        <v>5180623.5127999783</v>
      </c>
      <c r="BA15" s="399">
        <f t="shared" ref="BA15" si="82">SUM(BA13:BA14)</f>
        <v>5982878.5127999783</v>
      </c>
      <c r="BB15" s="399">
        <f t="shared" ref="BB15" si="83">SUM(BB13:BB14)</f>
        <v>5282624.5127999783</v>
      </c>
      <c r="BC15" s="399">
        <f t="shared" ref="BC15" si="84">SUM(BC13:BC14)</f>
        <v>5981878.5127999783</v>
      </c>
      <c r="BD15" s="399">
        <f t="shared" ref="BD15" si="85">SUM(BD13:BD14)</f>
        <v>4723482.2566500008</v>
      </c>
      <c r="BE15" s="399">
        <f t="shared" ref="BE15" si="86">SUM(BE13:BE14)</f>
        <v>5719487.2566500008</v>
      </c>
      <c r="BF15" s="399">
        <f t="shared" ref="BF15" si="87">SUM(BF13:BF14)</f>
        <v>4809732.2566500008</v>
      </c>
      <c r="BG15" s="399">
        <f t="shared" ref="BG15" si="88">SUM(BG13:BG14)</f>
        <v>5734987.2566500008</v>
      </c>
      <c r="BH15" s="399">
        <f t="shared" ref="BH15" si="89">SUM(BH13:BH14)</f>
        <v>4894691.2566500008</v>
      </c>
      <c r="BI15" s="399">
        <f t="shared" ref="BI15" si="90">SUM(BI13:BI14)</f>
        <v>5734987.2566500008</v>
      </c>
      <c r="BJ15" s="399">
        <f t="shared" ref="BJ15" si="91">SUM(BJ13:BJ14)</f>
        <v>4847685.2566500008</v>
      </c>
      <c r="BK15" s="399">
        <f t="shared" ref="BK15" si="92">SUM(BK13:BK14)</f>
        <v>5686404.2566500008</v>
      </c>
      <c r="BL15" s="399">
        <f t="shared" ref="BL15" si="93">SUM(BL13:BL14)</f>
        <v>5041542.2566500008</v>
      </c>
      <c r="BM15" s="399">
        <f t="shared" ref="BM15" si="94">SUM(BM13:BM14)</f>
        <v>5685404.2566500008</v>
      </c>
      <c r="BN15" s="399">
        <f t="shared" ref="BN15" si="95">SUM(BN13:BN14)</f>
        <v>5226936.2566500008</v>
      </c>
      <c r="BO15" s="399">
        <f t="shared" ref="BO15" si="96">SUM(BO13:BO14)</f>
        <v>5686404.2566500008</v>
      </c>
    </row>
    <row r="16" spans="1:67" x14ac:dyDescent="0.35">
      <c r="A16" s="412">
        <v>1</v>
      </c>
      <c r="B16" s="410" t="s">
        <v>620</v>
      </c>
      <c r="D16" s="407" t="s">
        <v>591</v>
      </c>
      <c r="E16" s="408" t="s">
        <v>601</v>
      </c>
      <c r="F16" s="408"/>
      <c r="G16" s="175">
        <f>SUMIF('PyG-Mes'!$B$7:$B$67,G$3,'PyG-Mes'!$H$7:$H$67)*IF($B16="+",1,-1)*IF($A16=1,1,0)</f>
        <v>0</v>
      </c>
      <c r="H16" s="175">
        <f>SUMIF('PyG-Mes'!$B$7:$B$67,H$3,'PyG-Mes'!$H$7:$H$67)*IF($B16="+",1,-1)*IF($A16=1,1,0)</f>
        <v>2853471</v>
      </c>
      <c r="I16" s="175">
        <f>SUMIF('PyG-Mes'!$B$7:$B$67,I$3,'PyG-Mes'!$H$7:$H$67)*IF($B16="+",1,-1)*IF($A16=1,1,0)</f>
        <v>2853471</v>
      </c>
      <c r="J16" s="175">
        <f>SUMIF('PyG-Mes'!$B$7:$B$67,J$3,'PyG-Mes'!$H$7:$H$67)*IF($B16="+",1,-1)*IF($A16=1,1,0)</f>
        <v>2853471</v>
      </c>
      <c r="K16" s="175">
        <f>SUMIF('PyG-Mes'!$B$7:$B$67,K$3,'PyG-Mes'!$H$7:$H$67)*IF($B16="+",1,-1)*IF($A16=1,1,0)</f>
        <v>2853471</v>
      </c>
      <c r="L16" s="175">
        <f>SUMIF('PyG-Mes'!$B$7:$B$67,L$3,'PyG-Mes'!$H$7:$H$67)*IF($B16="+",1,-1)*IF($A16=1,1,0)</f>
        <v>2853471</v>
      </c>
      <c r="M16" s="175">
        <f>SUMIF('PyG-Mes'!$B$7:$B$67,M$3,'PyG-Mes'!$H$7:$H$67)*IF($B16="+",1,-1)*IF($A16=1,1,0)</f>
        <v>2853471</v>
      </c>
      <c r="N16" s="175">
        <f>SUMIF('PyG-Mes'!$B$7:$B$67,N$3,'PyG-Mes'!$H$7:$H$67)*IF($B16="+",1,-1)*IF($A16=1,1,0)</f>
        <v>3853471</v>
      </c>
      <c r="O16" s="175">
        <f>SUMIF('PyG-Mes'!$B$7:$B$67,O$3,'PyG-Mes'!$H$7:$H$67)*IF($B16="+",1,-1)*IF($A16=1,1,0)</f>
        <v>3853471</v>
      </c>
      <c r="P16" s="175">
        <f>SUMIF('PyG-Mes'!$B$7:$B$67,P$3,'PyG-Mes'!$H$7:$H$67)*IF($B16="+",1,-1)*IF($A16=1,1,0)</f>
        <v>3853471</v>
      </c>
      <c r="Q16" s="175">
        <f>SUMIF('PyG-Mes'!$B$7:$B$67,Q$3,'PyG-Mes'!$H$7:$H$67)*IF($B16="+",1,-1)*IF($A16=1,1,0)</f>
        <v>3853471</v>
      </c>
      <c r="R16" s="175">
        <f>SUMIF('PyG-Mes'!$B$7:$B$67,R$3,'PyG-Mes'!$H$7:$H$67)*IF($B16="+",1,-1)*IF($A16=1,1,0)</f>
        <v>3853471</v>
      </c>
      <c r="S16" s="175">
        <f>SUMIF('PyG-Mes'!$B$7:$B$67,S$3,'PyG-Mes'!$H$7:$H$67)*IF($B16="+",1,-1)*IF($A16=1,1,0)</f>
        <v>3853471</v>
      </c>
      <c r="T16" s="175">
        <f>SUMIF('PyG-Mes'!$B$7:$B$67,T$3,'PyG-Mes'!$H$7:$H$67)*IF($B16="+",1,-1)*IF($A16=1,1,0)</f>
        <v>2878472</v>
      </c>
      <c r="U16" s="175">
        <f>SUMIF('PyG-Mes'!$B$7:$B$67,U$3,'PyG-Mes'!$H$7:$H$67)*IF($B16="+",1,-1)*IF($A16=1,1,0)</f>
        <v>2878471</v>
      </c>
      <c r="V16" s="175">
        <f>SUMIF('PyG-Mes'!$B$7:$B$67,V$3,'PyG-Mes'!$H$7:$H$67)*IF($B16="+",1,-1)*IF($A16=1,1,0)</f>
        <v>2878472</v>
      </c>
      <c r="W16" s="175">
        <f>SUMIF('PyG-Mes'!$B$7:$B$67,W$3,'PyG-Mes'!$H$7:$H$67)*IF($B16="+",1,-1)*IF($A16=1,1,0)</f>
        <v>2878471</v>
      </c>
      <c r="X16" s="175">
        <f>SUMIF('PyG-Mes'!$B$7:$B$67,X$3,'PyG-Mes'!$H$7:$H$67)*IF($B16="+",1,-1)*IF($A16=1,1,0)</f>
        <v>2878472</v>
      </c>
      <c r="Y16" s="175">
        <f>SUMIF('PyG-Mes'!$B$7:$B$67,Y$3,'PyG-Mes'!$H$7:$H$67)*IF($B16="+",1,-1)*IF($A16=1,1,0)</f>
        <v>2878471</v>
      </c>
      <c r="Z16" s="175">
        <f>SUMIF('PyG-Mes'!$B$7:$B$67,Z$3,'PyG-Mes'!$H$7:$H$67)*IF($B16="+",1,-1)*IF($A16=1,1,0)</f>
        <v>2428472</v>
      </c>
      <c r="AA16" s="175">
        <f>SUMIF('PyG-Mes'!$B$7:$B$67,AA$3,'PyG-Mes'!$H$7:$H$67)*IF($B16="+",1,-1)*IF($A16=1,1,0)</f>
        <v>2428471</v>
      </c>
      <c r="AB16" s="175">
        <f>SUMIF('PyG-Mes'!$B$7:$B$67,AB$3,'PyG-Mes'!$H$7:$H$67)*IF($B16="+",1,-1)*IF($A16=1,1,0)</f>
        <v>2428475</v>
      </c>
      <c r="AC16" s="175">
        <f>SUMIF('PyG-Mes'!$B$7:$B$67,AC$3,'PyG-Mes'!$H$7:$H$67)*IF($B16="+",1,-1)*IF($A16=1,1,0)</f>
        <v>2428471</v>
      </c>
      <c r="AD16" s="175">
        <f>SUMIF('PyG-Mes'!$B$7:$B$67,AD$3,'PyG-Mes'!$H$7:$H$67)*IF($B16="+",1,-1)*IF($A16=1,1,0)</f>
        <v>2428475</v>
      </c>
      <c r="AE16" s="175">
        <f>SUMIF('PyG-Mes'!$B$7:$B$67,AE$3,'PyG-Mes'!$H$7:$H$67)*IF($B16="+",1,-1)*IF($A16=1,1,0)</f>
        <v>2428471</v>
      </c>
      <c r="AF16" s="175">
        <f>SUMIF('PyG-Mes'!$B$7:$B$67,AF$3,'PyG-Mes'!$H$7:$H$67)*IF($B16="+",1,-1)*IF($A16=1,1,0)</f>
        <v>2930572</v>
      </c>
      <c r="AG16" s="175">
        <f>SUMIF('PyG-Mes'!$B$7:$B$67,AG$3,'PyG-Mes'!$H$7:$H$67)*IF($B16="+",1,-1)*IF($A16=1,1,0)</f>
        <v>2930568</v>
      </c>
      <c r="AH16" s="175">
        <f>SUMIF('PyG-Mes'!$B$7:$B$67,AH$3,'PyG-Mes'!$H$7:$H$67)*IF($B16="+",1,-1)*IF($A16=1,1,0)</f>
        <v>2930572</v>
      </c>
      <c r="AI16" s="175">
        <f>SUMIF('PyG-Mes'!$B$7:$B$67,AI$3,'PyG-Mes'!$H$7:$H$67)*IF($B16="+",1,-1)*IF($A16=1,1,0)</f>
        <v>2930568</v>
      </c>
      <c r="AJ16" s="175">
        <f>SUMIF('PyG-Mes'!$B$7:$B$67,AJ$3,'PyG-Mes'!$H$7:$H$67)*IF($B16="+",1,-1)*IF($A16=1,1,0)</f>
        <v>2930572</v>
      </c>
      <c r="AK16" s="175">
        <f>SUMIF('PyG-Mes'!$B$7:$B$67,AK$3,'PyG-Mes'!$H$7:$H$67)*IF($B16="+",1,-1)*IF($A16=1,1,0)</f>
        <v>2930568</v>
      </c>
      <c r="AL16" s="175">
        <f>SUMIF('PyG-Mes'!$B$7:$B$67,AL$3,'PyG-Mes'!$H$7:$H$67)*IF($B16="+",1,-1)*IF($A16=1,1,0)</f>
        <v>2985572</v>
      </c>
      <c r="AM16" s="175">
        <f>SUMIF('PyG-Mes'!$B$7:$B$67,AM$3,'PyG-Mes'!$H$7:$H$67)*IF($B16="+",1,-1)*IF($A16=1,1,0)</f>
        <v>2985568</v>
      </c>
      <c r="AN16" s="175">
        <f>SUMIF('PyG-Mes'!$B$7:$B$67,AN$3,'PyG-Mes'!$H$7:$H$67)*IF($B16="+",1,-1)*IF($A16=1,1,0)</f>
        <v>2985572</v>
      </c>
      <c r="AO16" s="175">
        <f>SUMIF('PyG-Mes'!$B$7:$B$67,AO$3,'PyG-Mes'!$H$7:$H$67)*IF($B16="+",1,-1)*IF($A16=1,1,0)</f>
        <v>2985568</v>
      </c>
      <c r="AP16" s="175">
        <f>SUMIF('PyG-Mes'!$B$7:$B$67,AP$3,'PyG-Mes'!$H$7:$H$67)*IF($B16="+",1,-1)*IF($A16=1,1,0)</f>
        <v>2985572</v>
      </c>
      <c r="AQ16" s="175">
        <f>SUMIF('PyG-Mes'!$B$7:$B$67,AQ$3,'PyG-Mes'!$H$7:$H$67)*IF($B16="+",1,-1)*IF($A16=1,1,0)</f>
        <v>2985568</v>
      </c>
      <c r="AR16" s="175">
        <f>SUMIF('PyG-Mes'!$B$7:$B$67,AR$3,'PyG-Mes'!$H$7:$H$67)*IF($B16="+",1,-1)*IF($A16=1,1,0)</f>
        <v>2647765</v>
      </c>
      <c r="AS16" s="175">
        <f>SUMIF('PyG-Mes'!$B$7:$B$67,AS$3,'PyG-Mes'!$H$7:$H$67)*IF($B16="+",1,-1)*IF($A16=1,1,0)</f>
        <v>2647763</v>
      </c>
      <c r="AT16" s="175">
        <f>SUMIF('PyG-Mes'!$B$7:$B$67,AT$3,'PyG-Mes'!$H$7:$H$67)*IF($B16="+",1,-1)*IF($A16=1,1,0)</f>
        <v>2647765</v>
      </c>
      <c r="AU16" s="175">
        <f>SUMIF('PyG-Mes'!$B$7:$B$67,AU$3,'PyG-Mes'!$H$7:$H$67)*IF($B16="+",1,-1)*IF($A16=1,1,0)</f>
        <v>2647763</v>
      </c>
      <c r="AV16" s="175">
        <f>SUMIF('PyG-Mes'!$B$7:$B$67,AV$3,'PyG-Mes'!$H$7:$H$67)*IF($B16="+",1,-1)*IF($A16=1,1,0)</f>
        <v>2647765</v>
      </c>
      <c r="AW16" s="175">
        <f>SUMIF('PyG-Mes'!$B$7:$B$67,AW$3,'PyG-Mes'!$H$7:$H$67)*IF($B16="+",1,-1)*IF($A16=1,1,0)</f>
        <v>2647763</v>
      </c>
      <c r="AX16" s="175">
        <f>SUMIF('PyG-Mes'!$B$7:$B$67,AX$3,'PyG-Mes'!$H$7:$H$67)*IF($B16="+",1,-1)*IF($A16=1,1,0)</f>
        <v>2708265</v>
      </c>
      <c r="AY16" s="175">
        <f>SUMIF('PyG-Mes'!$B$7:$B$67,AY$3,'PyG-Mes'!$H$7:$H$67)*IF($B16="+",1,-1)*IF($A16=1,1,0)</f>
        <v>2708263</v>
      </c>
      <c r="AZ16" s="175">
        <f>SUMIF('PyG-Mes'!$B$7:$B$67,AZ$3,'PyG-Mes'!$H$7:$H$67)*IF($B16="+",1,-1)*IF($A16=1,1,0)</f>
        <v>2708266</v>
      </c>
      <c r="BA16" s="175">
        <f>SUMIF('PyG-Mes'!$B$7:$B$67,BA$3,'PyG-Mes'!$H$7:$H$67)*IF($B16="+",1,-1)*IF($A16=1,1,0)</f>
        <v>2708263</v>
      </c>
      <c r="BB16" s="175">
        <f>SUMIF('PyG-Mes'!$B$7:$B$67,BB$3,'PyG-Mes'!$H$7:$H$67)*IF($B16="+",1,-1)*IF($A16=1,1,0)</f>
        <v>2708266</v>
      </c>
      <c r="BC16" s="175">
        <f>SUMIF('PyG-Mes'!$B$7:$B$67,BC$3,'PyG-Mes'!$H$7:$H$67)*IF($B16="+",1,-1)*IF($A16=1,1,0)</f>
        <v>2708263</v>
      </c>
      <c r="BD16" s="175">
        <f>SUMIF('PyG-Mes'!$B$7:$B$67,BD$3,'PyG-Mes'!$H$7:$H$67)*IF($B16="+",1,-1)*IF($A16=1,1,0)</f>
        <v>3244279</v>
      </c>
      <c r="BE16" s="175">
        <f>SUMIF('PyG-Mes'!$B$7:$B$67,BE$3,'PyG-Mes'!$H$7:$H$67)*IF($B16="+",1,-1)*IF($A16=1,1,0)</f>
        <v>3244276</v>
      </c>
      <c r="BF16" s="175">
        <f>SUMIF('PyG-Mes'!$B$7:$B$67,BF$3,'PyG-Mes'!$H$7:$H$67)*IF($B16="+",1,-1)*IF($A16=1,1,0)</f>
        <v>3244279</v>
      </c>
      <c r="BG16" s="175">
        <f>SUMIF('PyG-Mes'!$B$7:$B$67,BG$3,'PyG-Mes'!$H$7:$H$67)*IF($B16="+",1,-1)*IF($A16=1,1,0)</f>
        <v>3244276</v>
      </c>
      <c r="BH16" s="175">
        <f>SUMIF('PyG-Mes'!$B$7:$B$67,BH$3,'PyG-Mes'!$H$7:$H$67)*IF($B16="+",1,-1)*IF($A16=1,1,0)</f>
        <v>3244280</v>
      </c>
      <c r="BI16" s="175">
        <f>SUMIF('PyG-Mes'!$B$7:$B$67,BI$3,'PyG-Mes'!$H$7:$H$67)*IF($B16="+",1,-1)*IF($A16=1,1,0)</f>
        <v>3244276</v>
      </c>
      <c r="BJ16" s="175">
        <f>SUMIF('PyG-Mes'!$B$7:$B$67,BJ$3,'PyG-Mes'!$H$7:$H$67)*IF($B16="+",1,-1)*IF($A16=1,1,0)</f>
        <v>3310863</v>
      </c>
      <c r="BK16" s="175">
        <f>SUMIF('PyG-Mes'!$B$7:$B$67,BK$3,'PyG-Mes'!$H$7:$H$67)*IF($B16="+",1,-1)*IF($A16=1,1,0)</f>
        <v>3310859</v>
      </c>
      <c r="BL16" s="175">
        <f>SUMIF('PyG-Mes'!$B$7:$B$67,BL$3,'PyG-Mes'!$H$7:$H$67)*IF($B16="+",1,-1)*IF($A16=1,1,0)</f>
        <v>3310864</v>
      </c>
      <c r="BM16" s="175">
        <f>SUMIF('PyG-Mes'!$B$7:$B$67,BM$3,'PyG-Mes'!$H$7:$H$67)*IF($B16="+",1,-1)*IF($A16=1,1,0)</f>
        <v>3310859</v>
      </c>
      <c r="BN16" s="175">
        <f>SUMIF('PyG-Mes'!$B$7:$B$67,BN$3,'PyG-Mes'!$H$7:$H$67)*IF($B16="+",1,-1)*IF($A16=1,1,0)</f>
        <v>3310865</v>
      </c>
      <c r="BO16" s="175">
        <f>SUMIF('PyG-Mes'!$B$7:$B$67,BO$3,'PyG-Mes'!$H$7:$H$67)*IF($B16="+",1,-1)*IF($A16=1,1,0)</f>
        <v>3310859</v>
      </c>
    </row>
    <row r="17" spans="1:68" x14ac:dyDescent="0.35">
      <c r="A17" s="412">
        <v>1</v>
      </c>
      <c r="B17" s="410" t="s">
        <v>620</v>
      </c>
      <c r="D17" s="407"/>
      <c r="E17" s="408" t="s">
        <v>187</v>
      </c>
      <c r="F17" s="408"/>
      <c r="G17" s="175">
        <f>SUMIF('PyG-Mes'!$B$7:$B$67,G$3,'PyG-Mes'!$N$7:$N$67)*IF($B17="+",1,-1)*IF($A17=1,1,0)</f>
        <v>0</v>
      </c>
      <c r="H17" s="175">
        <f>SUMIF('PyG-Mes'!$B$7:$B$67,H$3,'PyG-Mes'!$N$7:$N$67)*IF($B17="+",1,-1)*IF($A17=1,1,0)</f>
        <v>1747752</v>
      </c>
      <c r="I17" s="175">
        <f>SUMIF('PyG-Mes'!$B$7:$B$67,I$3,'PyG-Mes'!$N$7:$N$67)*IF($B17="+",1,-1)*IF($A17=1,1,0)</f>
        <v>1769663</v>
      </c>
      <c r="J17" s="175">
        <f>SUMIF('PyG-Mes'!$B$7:$B$67,J$3,'PyG-Mes'!$N$7:$N$67)*IF($B17="+",1,-1)*IF($A17=1,1,0)</f>
        <v>1747752</v>
      </c>
      <c r="K17" s="175">
        <f>SUMIF('PyG-Mes'!$B$7:$B$67,K$3,'PyG-Mes'!$N$7:$N$67)*IF($B17="+",1,-1)*IF($A17=1,1,0)</f>
        <v>1791295</v>
      </c>
      <c r="L17" s="175">
        <f>SUMIF('PyG-Mes'!$B$7:$B$67,L$3,'PyG-Mes'!$N$7:$N$67)*IF($B17="+",1,-1)*IF($A17=1,1,0)</f>
        <v>1791295</v>
      </c>
      <c r="M17" s="175">
        <f>SUMIF('PyG-Mes'!$B$7:$B$67,M$3,'PyG-Mes'!$N$7:$N$67)*IF($B17="+",1,-1)*IF($A17=1,1,0)</f>
        <v>1791295</v>
      </c>
      <c r="N17" s="175">
        <f>SUMIF('PyG-Mes'!$B$7:$B$67,N$3,'PyG-Mes'!$N$7:$N$67)*IF($B17="+",1,-1)*IF($A17=1,1,0)</f>
        <v>1834743</v>
      </c>
      <c r="O17" s="175">
        <f>SUMIF('PyG-Mes'!$B$7:$B$67,O$3,'PyG-Mes'!$N$7:$N$67)*IF($B17="+",1,-1)*IF($A17=1,1,0)</f>
        <v>1834743</v>
      </c>
      <c r="P17" s="175">
        <f>SUMIF('PyG-Mes'!$B$7:$B$67,P$3,'PyG-Mes'!$N$7:$N$67)*IF($B17="+",1,-1)*IF($A17=1,1,0)</f>
        <v>1834743</v>
      </c>
      <c r="Q17" s="175">
        <f>SUMIF('PyG-Mes'!$B$7:$B$67,Q$3,'PyG-Mes'!$N$7:$N$67)*IF($B17="+",1,-1)*IF($A17=1,1,0)</f>
        <v>1878096</v>
      </c>
      <c r="R17" s="175">
        <f>SUMIF('PyG-Mes'!$B$7:$B$67,R$3,'PyG-Mes'!$N$7:$N$67)*IF($B17="+",1,-1)*IF($A17=1,1,0)</f>
        <v>1878096</v>
      </c>
      <c r="S17" s="175">
        <f>SUMIF('PyG-Mes'!$B$7:$B$67,S$3,'PyG-Mes'!$N$7:$N$67)*IF($B17="+",1,-1)*IF($A17=1,1,0)</f>
        <v>1878096</v>
      </c>
      <c r="T17" s="175">
        <f>SUMIF('PyG-Mes'!$B$7:$B$67,T$3,'PyG-Mes'!$N$7:$N$67)*IF($B17="+",1,-1)*IF($A17=1,1,0)</f>
        <v>1921357</v>
      </c>
      <c r="U17" s="175">
        <f>SUMIF('PyG-Mes'!$B$7:$B$67,U$3,'PyG-Mes'!$N$7:$N$67)*IF($B17="+",1,-1)*IF($A17=1,1,0)</f>
        <v>1841300</v>
      </c>
      <c r="V17" s="175">
        <f>SUMIF('PyG-Mes'!$B$7:$B$67,V$3,'PyG-Mes'!$N$7:$N$67)*IF($B17="+",1,-1)*IF($A17=1,1,0)</f>
        <v>1761244</v>
      </c>
      <c r="W17" s="175">
        <f>SUMIF('PyG-Mes'!$B$7:$B$67,W$3,'PyG-Mes'!$N$7:$N$67)*IF($B17="+",1,-1)*IF($A17=1,1,0)</f>
        <v>1643334</v>
      </c>
      <c r="X17" s="175">
        <f>SUMIF('PyG-Mes'!$B$7:$B$67,X$3,'PyG-Mes'!$N$7:$N$67)*IF($B17="+",1,-1)*IF($A17=1,1,0)</f>
        <v>1565080</v>
      </c>
      <c r="Y17" s="175">
        <f>SUMIF('PyG-Mes'!$B$7:$B$67,Y$3,'PyG-Mes'!$N$7:$N$67)*IF($B17="+",1,-1)*IF($A17=1,1,0)</f>
        <v>1533105</v>
      </c>
      <c r="Z17" s="175">
        <f>SUMIF('PyG-Mes'!$B$7:$B$67,Z$3,'PyG-Mes'!$N$7:$N$67)*IF($B17="+",1,-1)*IF($A17=1,1,0)</f>
        <v>1478346</v>
      </c>
      <c r="AA17" s="175">
        <f>SUMIF('PyG-Mes'!$B$7:$B$67,AA$3,'PyG-Mes'!$N$7:$N$67)*IF($B17="+",1,-1)*IF($A17=1,1,0)</f>
        <v>1356436</v>
      </c>
      <c r="AB17" s="175">
        <f>SUMIF('PyG-Mes'!$B$7:$B$67,AB$3,'PyG-Mes'!$N$7:$N$67)*IF($B17="+",1,-1)*IF($A17=1,1,0)</f>
        <v>1348181</v>
      </c>
      <c r="AC17" s="175">
        <f>SUMIF('PyG-Mes'!$B$7:$B$67,AC$3,'PyG-Mes'!$N$7:$N$67)*IF($B17="+",1,-1)*IF($A17=1,1,0)</f>
        <v>1186523</v>
      </c>
      <c r="AD17" s="175">
        <f>SUMIF('PyG-Mes'!$B$7:$B$67,AD$3,'PyG-Mes'!$N$7:$N$67)*IF($B17="+",1,-1)*IF($A17=1,1,0)</f>
        <v>1178851</v>
      </c>
      <c r="AE17" s="175">
        <f>SUMIF('PyG-Mes'!$B$7:$B$67,AE$3,'PyG-Mes'!$N$7:$N$67)*IF($B17="+",1,-1)*IF($A17=1,1,0)</f>
        <v>1081892</v>
      </c>
      <c r="AF17" s="175">
        <f>SUMIF('PyG-Mes'!$B$7:$B$67,AF$3,'PyG-Mes'!$N$7:$N$67)*IF($B17="+",1,-1)*IF($A17=1,1,0)</f>
        <v>1781141</v>
      </c>
      <c r="AG17" s="175">
        <f>SUMIF('PyG-Mes'!$B$7:$B$67,AG$3,'PyG-Mes'!$N$7:$N$67)*IF($B17="+",1,-1)*IF($A17=1,1,0)</f>
        <v>1159155</v>
      </c>
      <c r="AH17" s="175">
        <f>SUMIF('PyG-Mes'!$B$7:$B$67,AH$3,'PyG-Mes'!$N$7:$N$67)*IF($B17="+",1,-1)*IF($A17=1,1,0)</f>
        <v>1628246</v>
      </c>
      <c r="AI17" s="175">
        <f>SUMIF('PyG-Mes'!$B$7:$B$67,AI$3,'PyG-Mes'!$N$7:$N$67)*IF($B17="+",1,-1)*IF($A17=1,1,0)</f>
        <v>984236</v>
      </c>
      <c r="AJ17" s="175">
        <f>SUMIF('PyG-Mes'!$B$7:$B$67,AJ$3,'PyG-Mes'!$N$7:$N$67)*IF($B17="+",1,-1)*IF($A17=1,1,0)</f>
        <v>1478795</v>
      </c>
      <c r="AK17" s="175">
        <f>SUMIF('PyG-Mes'!$B$7:$B$67,AK$3,'PyG-Mes'!$N$7:$N$67)*IF($B17="+",1,-1)*IF($A17=1,1,0)</f>
        <v>857282</v>
      </c>
      <c r="AL17" s="175">
        <f>SUMIF('PyG-Mes'!$B$7:$B$67,AL$3,'PyG-Mes'!$N$7:$N$67)*IF($B17="+",1,-1)*IF($A17=1,1,0)</f>
        <v>1411985</v>
      </c>
      <c r="AM17" s="175">
        <f>SUMIF('PyG-Mes'!$B$7:$B$67,AM$3,'PyG-Mes'!$N$7:$N$67)*IF($B17="+",1,-1)*IF($A17=1,1,0)</f>
        <v>692783</v>
      </c>
      <c r="AN17" s="175">
        <f>SUMIF('PyG-Mes'!$B$7:$B$67,AN$3,'PyG-Mes'!$N$7:$N$67)*IF($B17="+",1,-1)*IF($A17=1,1,0)</f>
        <v>1266339</v>
      </c>
      <c r="AO17" s="175">
        <f>SUMIF('PyG-Mes'!$B$7:$B$67,AO$3,'PyG-Mes'!$N$7:$N$67)*IF($B17="+",1,-1)*IF($A17=1,1,0)</f>
        <v>535514</v>
      </c>
      <c r="AP17" s="175">
        <f>SUMIF('PyG-Mes'!$B$7:$B$67,AP$3,'PyG-Mes'!$N$7:$N$67)*IF($B17="+",1,-1)*IF($A17=1,1,0)</f>
        <v>1098761</v>
      </c>
      <c r="AQ17" s="175">
        <f>SUMIF('PyG-Mes'!$B$7:$B$67,AQ$3,'PyG-Mes'!$N$7:$N$67)*IF($B17="+",1,-1)*IF($A17=1,1,0)</f>
        <v>415006</v>
      </c>
      <c r="AR17" s="175">
        <f>SUMIF('PyG-Mes'!$B$7:$B$67,AR$3,'PyG-Mes'!$N$7:$N$67)*IF($B17="+",1,-1)*IF($A17=1,1,0)</f>
        <v>1303715</v>
      </c>
      <c r="AS17" s="175">
        <f>SUMIF('PyG-Mes'!$B$7:$B$67,AS$3,'PyG-Mes'!$N$7:$N$67)*IF($B17="+",1,-1)*IF($A17=1,1,0)</f>
        <v>449179</v>
      </c>
      <c r="AT17" s="175">
        <f>SUMIF('PyG-Mes'!$B$7:$B$67,AT$3,'PyG-Mes'!$N$7:$N$67)*IF($B17="+",1,-1)*IF($A17=1,1,0)</f>
        <v>1194159</v>
      </c>
      <c r="AU17" s="175">
        <f>SUMIF('PyG-Mes'!$B$7:$B$67,AU$3,'PyG-Mes'!$N$7:$N$67)*IF($B17="+",1,-1)*IF($A17=1,1,0)</f>
        <v>322500</v>
      </c>
      <c r="AV17" s="175">
        <f>SUMIF('PyG-Mes'!$B$7:$B$67,AV$3,'PyG-Mes'!$N$7:$N$67)*IF($B17="+",1,-1)*IF($A17=1,1,0)</f>
        <v>1107252</v>
      </c>
      <c r="AW17" s="175">
        <f>SUMIF('PyG-Mes'!$B$7:$B$67,AW$3,'PyG-Mes'!$N$7:$N$67)*IF($B17="+",1,-1)*IF($A17=1,1,0)</f>
        <v>225750</v>
      </c>
      <c r="AX17" s="175">
        <f>SUMIF('PyG-Mes'!$B$7:$B$67,AX$3,'PyG-Mes'!$N$7:$N$67)*IF($B17="+",1,-1)*IF($A17=1,1,0)</f>
        <v>1139502</v>
      </c>
      <c r="AY17" s="175">
        <f>SUMIF('PyG-Mes'!$B$7:$B$67,AY$3,'PyG-Mes'!$N$7:$N$67)*IF($B17="+",1,-1)*IF($A17=1,1,0)</f>
        <v>107500</v>
      </c>
      <c r="AZ17" s="175">
        <f>SUMIF('PyG-Mes'!$B$7:$B$67,AZ$3,'PyG-Mes'!$N$7:$N$67)*IF($B17="+",1,-1)*IF($A17=1,1,0)</f>
        <v>1021252</v>
      </c>
      <c r="BA17" s="175">
        <f>SUMIF('PyG-Mes'!$B$7:$B$67,BA$3,'PyG-Mes'!$N$7:$N$67)*IF($B17="+",1,-1)*IF($A17=1,1,0)</f>
        <v>0</v>
      </c>
      <c r="BB17" s="175">
        <f>SUMIF('PyG-Mes'!$B$7:$B$67,BB$3,'PyG-Mes'!$N$7:$N$67)*IF($B17="+",1,-1)*IF($A17=1,1,0)</f>
        <v>892251</v>
      </c>
      <c r="BC17" s="175">
        <f>SUMIF('PyG-Mes'!$B$7:$B$67,BC$3,'PyG-Mes'!$N$7:$N$67)*IF($B17="+",1,-1)*IF($A17=1,1,0)</f>
        <v>0</v>
      </c>
      <c r="BD17" s="175">
        <f>SUMIF('PyG-Mes'!$B$7:$B$67,BD$3,'PyG-Mes'!$N$7:$N$67)*IF($B17="+",1,-1)*IF($A17=1,1,0)</f>
        <v>1397502</v>
      </c>
      <c r="BE17" s="175">
        <f>SUMIF('PyG-Mes'!$B$7:$B$67,BE$3,'PyG-Mes'!$N$7:$N$67)*IF($B17="+",1,-1)*IF($A17=1,1,0)</f>
        <v>21500</v>
      </c>
      <c r="BF17" s="175">
        <f>SUMIF('PyG-Mes'!$B$7:$B$67,BF$3,'PyG-Mes'!$N$7:$N$67)*IF($B17="+",1,-1)*IF($A17=1,1,0)</f>
        <v>1279252</v>
      </c>
      <c r="BG17" s="175">
        <f>SUMIF('PyG-Mes'!$B$7:$B$67,BG$3,'PyG-Mes'!$N$7:$N$67)*IF($B17="+",1,-1)*IF($A17=1,1,0)</f>
        <v>0</v>
      </c>
      <c r="BH17" s="175">
        <f>SUMIF('PyG-Mes'!$B$7:$B$67,BH$3,'PyG-Mes'!$N$7:$N$67)*IF($B17="+",1,-1)*IF($A17=1,1,0)</f>
        <v>1161292</v>
      </c>
      <c r="BI17" s="175">
        <f>SUMIF('PyG-Mes'!$B$7:$B$67,BI$3,'PyG-Mes'!$N$7:$N$67)*IF($B17="+",1,-1)*IF($A17=1,1,0)</f>
        <v>0</v>
      </c>
      <c r="BJ17" s="175">
        <f>SUMIF('PyG-Mes'!$B$7:$B$67,BJ$3,'PyG-Mes'!$N$7:$N$67)*IF($B17="+",1,-1)*IF($A17=1,1,0)</f>
        <v>1160715</v>
      </c>
      <c r="BK17" s="175">
        <f>SUMIF('PyG-Mes'!$B$7:$B$67,BK$3,'PyG-Mes'!$N$7:$N$67)*IF($B17="+",1,-1)*IF($A17=1,1,0)</f>
        <v>0</v>
      </c>
      <c r="BL17" s="175">
        <f>SUMIF('PyG-Mes'!$B$7:$B$67,BL$3,'PyG-Mes'!$N$7:$N$67)*IF($B17="+",1,-1)*IF($A17=1,1,0)</f>
        <v>892857</v>
      </c>
      <c r="BM17" s="175">
        <f>SUMIF('PyG-Mes'!$B$7:$B$67,BM$3,'PyG-Mes'!$N$7:$N$67)*IF($B17="+",1,-1)*IF($A17=1,1,0)</f>
        <v>0</v>
      </c>
      <c r="BN17" s="175">
        <f>SUMIF('PyG-Mes'!$B$7:$B$67,BN$3,'PyG-Mes'!$N$7:$N$67)*IF($B17="+",1,-1)*IF($A17=1,1,0)</f>
        <v>636462</v>
      </c>
      <c r="BO17" s="175">
        <f>SUMIF('PyG-Mes'!$B$7:$B$67,BO$3,'PyG-Mes'!$N$7:$N$67)*IF($B17="+",1,-1)*IF($A17=1,1,0)</f>
        <v>0</v>
      </c>
    </row>
    <row r="18" spans="1:68" x14ac:dyDescent="0.35">
      <c r="D18" s="406" t="s">
        <v>612</v>
      </c>
      <c r="E18" s="406"/>
      <c r="F18" s="406"/>
      <c r="G18" s="399">
        <f>SUM(G15:G17)</f>
        <v>0</v>
      </c>
      <c r="H18" s="399">
        <f>SUM(H15:H17)</f>
        <v>6803259.9600499868</v>
      </c>
      <c r="I18" s="399">
        <f t="shared" ref="I18:BO18" si="97">SUM(I15:I17)</f>
        <v>6480788.9600499868</v>
      </c>
      <c r="J18" s="399">
        <f t="shared" si="97"/>
        <v>6478788.9600499868</v>
      </c>
      <c r="K18" s="399">
        <f t="shared" si="97"/>
        <v>6502159.9600499868</v>
      </c>
      <c r="L18" s="399">
        <f t="shared" si="97"/>
        <v>6523603.9600499868</v>
      </c>
      <c r="M18" s="399">
        <f t="shared" si="97"/>
        <v>6534826.9600499868</v>
      </c>
      <c r="N18" s="399">
        <f t="shared" si="97"/>
        <v>6627339.9600499868</v>
      </c>
      <c r="O18" s="399">
        <f t="shared" si="97"/>
        <v>6631612.9600499868</v>
      </c>
      <c r="P18" s="399">
        <f t="shared" si="97"/>
        <v>6654251.9600499868</v>
      </c>
      <c r="Q18" s="399">
        <f t="shared" si="97"/>
        <v>6687052.9600499868</v>
      </c>
      <c r="R18" s="399">
        <f t="shared" si="97"/>
        <v>6710882.9600499868</v>
      </c>
      <c r="S18" s="399">
        <f t="shared" si="97"/>
        <v>6723297.9600499868</v>
      </c>
      <c r="T18" s="399">
        <f t="shared" si="97"/>
        <v>7851347.136199981</v>
      </c>
      <c r="U18" s="399">
        <f t="shared" si="97"/>
        <v>7771960.136199981</v>
      </c>
      <c r="V18" s="399">
        <f t="shared" si="97"/>
        <v>7760290.136199981</v>
      </c>
      <c r="W18" s="399">
        <f t="shared" si="97"/>
        <v>7741554.136199981</v>
      </c>
      <c r="X18" s="399">
        <f t="shared" si="97"/>
        <v>7725611.136199981</v>
      </c>
      <c r="Y18" s="399">
        <f t="shared" si="97"/>
        <v>7723611.136199981</v>
      </c>
      <c r="Z18" s="399">
        <f t="shared" si="97"/>
        <v>7677611.136199981</v>
      </c>
      <c r="AA18" s="399">
        <f t="shared" si="97"/>
        <v>7666611.136199981</v>
      </c>
      <c r="AB18" s="399">
        <f t="shared" si="97"/>
        <v>7665611.136199981</v>
      </c>
      <c r="AC18" s="399">
        <f t="shared" si="97"/>
        <v>7651611.136199981</v>
      </c>
      <c r="AD18" s="399">
        <f t="shared" si="97"/>
        <v>7650611.136199981</v>
      </c>
      <c r="AE18" s="399">
        <f t="shared" si="97"/>
        <v>7641611.136199981</v>
      </c>
      <c r="AF18" s="399">
        <f t="shared" si="97"/>
        <v>8269041.8961250037</v>
      </c>
      <c r="AG18" s="399">
        <f t="shared" si="97"/>
        <v>8175041.8961250037</v>
      </c>
      <c r="AH18" s="399">
        <f t="shared" si="97"/>
        <v>8246041.8961250037</v>
      </c>
      <c r="AI18" s="399">
        <f t="shared" si="97"/>
        <v>8149041.8961250037</v>
      </c>
      <c r="AJ18" s="399">
        <f t="shared" si="97"/>
        <v>8223041.8961250037</v>
      </c>
      <c r="AK18" s="399">
        <f t="shared" si="97"/>
        <v>8129041.8961250037</v>
      </c>
      <c r="AL18" s="399">
        <f t="shared" si="97"/>
        <v>8221041.8961250037</v>
      </c>
      <c r="AM18" s="399">
        <f t="shared" si="97"/>
        <v>8113041.8961250037</v>
      </c>
      <c r="AN18" s="399">
        <f t="shared" si="97"/>
        <v>8199041.8961250037</v>
      </c>
      <c r="AO18" s="399">
        <f t="shared" si="97"/>
        <v>8088041.8961250037</v>
      </c>
      <c r="AP18" s="399">
        <f t="shared" si="97"/>
        <v>8175041.8961250037</v>
      </c>
      <c r="AQ18" s="399">
        <f t="shared" si="97"/>
        <v>8069041.8961250037</v>
      </c>
      <c r="AR18" s="399">
        <f t="shared" si="97"/>
        <v>8957141.5127999783</v>
      </c>
      <c r="AS18" s="399">
        <f t="shared" si="97"/>
        <v>8774141.5127999783</v>
      </c>
      <c r="AT18" s="399">
        <f t="shared" si="97"/>
        <v>8934141.5127999783</v>
      </c>
      <c r="AU18" s="399">
        <f t="shared" si="97"/>
        <v>8747141.5127999783</v>
      </c>
      <c r="AV18" s="399">
        <f t="shared" si="97"/>
        <v>8916141.5127999783</v>
      </c>
      <c r="AW18" s="399">
        <f t="shared" si="97"/>
        <v>8726141.5127999783</v>
      </c>
      <c r="AX18" s="399">
        <f t="shared" si="97"/>
        <v>8935141.5127999783</v>
      </c>
      <c r="AY18" s="399">
        <f t="shared" si="97"/>
        <v>8713141.5127999783</v>
      </c>
      <c r="AZ18" s="399">
        <f t="shared" si="97"/>
        <v>8910141.5127999783</v>
      </c>
      <c r="BA18" s="399">
        <f t="shared" si="97"/>
        <v>8691141.5127999783</v>
      </c>
      <c r="BB18" s="399">
        <f t="shared" si="97"/>
        <v>8883141.5127999783</v>
      </c>
      <c r="BC18" s="399">
        <f t="shared" si="97"/>
        <v>8690141.5127999783</v>
      </c>
      <c r="BD18" s="399">
        <f t="shared" si="97"/>
        <v>9365263.2566500008</v>
      </c>
      <c r="BE18" s="399">
        <f t="shared" si="97"/>
        <v>8985263.2566500008</v>
      </c>
      <c r="BF18" s="399">
        <f t="shared" si="97"/>
        <v>9333263.2566500008</v>
      </c>
      <c r="BG18" s="399">
        <f t="shared" si="97"/>
        <v>8979263.2566500008</v>
      </c>
      <c r="BH18" s="399">
        <f t="shared" si="97"/>
        <v>9300263.2566500008</v>
      </c>
      <c r="BI18" s="399">
        <f t="shared" si="97"/>
        <v>8979263.2566500008</v>
      </c>
      <c r="BJ18" s="399">
        <f t="shared" si="97"/>
        <v>9319263.2566500008</v>
      </c>
      <c r="BK18" s="399">
        <f t="shared" si="97"/>
        <v>8997263.2566500008</v>
      </c>
      <c r="BL18" s="399">
        <f t="shared" si="97"/>
        <v>9245263.2566500008</v>
      </c>
      <c r="BM18" s="399">
        <f t="shared" si="97"/>
        <v>8996263.2566500008</v>
      </c>
      <c r="BN18" s="399">
        <f t="shared" si="97"/>
        <v>9174263.2566500008</v>
      </c>
      <c r="BO18" s="399">
        <f t="shared" si="97"/>
        <v>8997263.2566500008</v>
      </c>
    </row>
    <row r="19" spans="1:68" x14ac:dyDescent="0.35">
      <c r="A19" s="412">
        <v>1</v>
      </c>
      <c r="B19" s="410" t="s">
        <v>619</v>
      </c>
      <c r="D19" s="407" t="s">
        <v>591</v>
      </c>
      <c r="E19" s="408" t="s">
        <v>613</v>
      </c>
      <c r="F19" s="408"/>
      <c r="G19" s="175">
        <f>SUMIF('Bal Mes'!$B$8:$B$68,G$3,'Bal Mes'!$AF$8:$AF$68)*IF($B19="+",1,-1)*IF($A19=1,1,0)</f>
        <v>0</v>
      </c>
      <c r="H19" s="175">
        <f>SUMIF('Bal Mes'!$B$8:$B$68,H$3,'Bal Mes'!$AF$8:$AF$68)*IF($B19="+",1,-1)*IF($A19=1,1,0)</f>
        <v>-96211204.039950013</v>
      </c>
      <c r="I19" s="175">
        <f>SUMIF('Bal Mes'!$B$8:$B$68,I$3,'Bal Mes'!$AF$8:$AF$68)*IF($B19="+",1,-1)*IF($A19=1,1,0)</f>
        <v>3893413.9600499868</v>
      </c>
      <c r="J19" s="175">
        <f>SUMIF('Bal Mes'!$B$8:$B$68,J$3,'Bal Mes'!$AF$8:$AF$68)*IF($B19="+",1,-1)*IF($A19=1,1,0)</f>
        <v>5915324.9600499868</v>
      </c>
      <c r="K19" s="175">
        <f>SUMIF('Bal Mes'!$B$8:$B$68,K$3,'Bal Mes'!$AF$8:$AF$68)*IF($B19="+",1,-1)*IF($A19=1,1,0)</f>
        <v>892152.96004998684</v>
      </c>
      <c r="L19" s="175">
        <f>SUMIF('Bal Mes'!$B$8:$B$68,L$3,'Bal Mes'!$AF$8:$AF$68)*IF($B19="+",1,-1)*IF($A19=1,1,0)</f>
        <v>-83403.039950013161</v>
      </c>
      <c r="M19" s="175">
        <f>SUMIF('Bal Mes'!$B$8:$B$68,M$3,'Bal Mes'!$AF$8:$AF$68)*IF($B19="+",1,-1)*IF($A19=1,1,0)</f>
        <v>-10896524.039950013</v>
      </c>
      <c r="N19" s="175">
        <f>SUMIF('Bal Mes'!$B$8:$B$68,N$3,'Bal Mes'!$AF$8:$AF$68)*IF($B19="+",1,-1)*IF($A19=1,1,0)</f>
        <v>5883884.9600499868</v>
      </c>
      <c r="O19" s="175">
        <f>SUMIF('Bal Mes'!$B$8:$B$68,O$3,'Bal Mes'!$AF$8:$AF$68)*IF($B19="+",1,-1)*IF($A19=1,1,0)</f>
        <v>4888157.9600499868</v>
      </c>
      <c r="P19" s="175">
        <f>SUMIF('Bal Mes'!$B$8:$B$68,P$3,'Bal Mes'!$AF$8:$AF$68)*IF($B19="+",1,-1)*IF($A19=1,1,0)</f>
        <v>-86203.039950013161</v>
      </c>
      <c r="Q19" s="175">
        <f>SUMIF('Bal Mes'!$B$8:$B$68,Q$3,'Bal Mes'!$AF$8:$AF$68)*IF($B19="+",1,-1)*IF($A19=1,1,0)</f>
        <v>-98755.039950013161</v>
      </c>
      <c r="R19" s="175">
        <f>SUMIF('Bal Mes'!$B$8:$B$68,R$3,'Bal Mes'!$AF$8:$AF$68)*IF($B19="+",1,-1)*IF($A19=1,1,0)</f>
        <v>-71925.039950013161</v>
      </c>
      <c r="S19" s="175">
        <f>SUMIF('Bal Mes'!$B$8:$B$68,S$3,'Bal Mes'!$AF$8:$AF$68)*IF($B19="+",1,-1)*IF($A19=1,1,0)</f>
        <v>9816145.9600499868</v>
      </c>
      <c r="T19" s="175">
        <f>SUMIF('Bal Mes'!$B$8:$B$68,T$3,'Bal Mes'!$AF$8:$AF$68)*IF($B19="+",1,-1)*IF($A19=1,1,0)</f>
        <v>-5861833.863800019</v>
      </c>
      <c r="U19" s="175">
        <f>SUMIF('Bal Mes'!$B$8:$B$68,U$3,'Bal Mes'!$AF$8:$AF$68)*IF($B19="+",1,-1)*IF($A19=1,1,0)</f>
        <v>-622393.86380001903</v>
      </c>
      <c r="V19" s="175">
        <f>SUMIF('Bal Mes'!$B$8:$B$68,V$3,'Bal Mes'!$AF$8:$AF$68)*IF($B19="+",1,-1)*IF($A19=1,1,0)</f>
        <v>452992.13619998097</v>
      </c>
      <c r="W19" s="175">
        <f>SUMIF('Bal Mes'!$B$8:$B$68,W$3,'Bal Mes'!$AF$8:$AF$68)*IF($B19="+",1,-1)*IF($A19=1,1,0)</f>
        <v>-296333.86380001903</v>
      </c>
      <c r="X19" s="175">
        <f>SUMIF('Bal Mes'!$B$8:$B$68,X$3,'Bal Mes'!$AF$8:$AF$68)*IF($B19="+",1,-1)*IF($A19=1,1,0)</f>
        <v>2630477.136199981</v>
      </c>
      <c r="Y19" s="175">
        <f>SUMIF('Bal Mes'!$B$8:$B$68,Y$3,'Bal Mes'!$AF$8:$AF$68)*IF($B19="+",1,-1)*IF($A19=1,1,0)</f>
        <v>-6876262.863800019</v>
      </c>
      <c r="Z19" s="175">
        <f>SUMIF('Bal Mes'!$B$8:$B$68,Z$3,'Bal Mes'!$AF$8:$AF$68)*IF($B19="+",1,-1)*IF($A19=1,1,0)</f>
        <v>-5282788.863800019</v>
      </c>
      <c r="AA19" s="175">
        <f>SUMIF('Bal Mes'!$B$8:$B$68,AA$3,'Bal Mes'!$AF$8:$AF$68)*IF($B19="+",1,-1)*IF($A19=1,1,0)</f>
        <v>4839121.136199981</v>
      </c>
      <c r="AB19" s="175">
        <f>SUMIF('Bal Mes'!$B$8:$B$68,AB$3,'Bal Mes'!$AF$8:$AF$68)*IF($B19="+",1,-1)*IF($A19=1,1,0)</f>
        <v>-6152623.863800019</v>
      </c>
      <c r="AC19" s="175">
        <f>SUMIF('Bal Mes'!$B$8:$B$68,AC$3,'Bal Mes'!$AF$8:$AF$68)*IF($B19="+",1,-1)*IF($A19=1,1,0)</f>
        <v>5009034.136199981</v>
      </c>
      <c r="AD19" s="175">
        <f>SUMIF('Bal Mes'!$B$8:$B$68,AD$3,'Bal Mes'!$AF$8:$AF$68)*IF($B19="+",1,-1)*IF($A19=1,1,0)</f>
        <v>-2983293.863800019</v>
      </c>
      <c r="AE19" s="175">
        <f>SUMIF('Bal Mes'!$B$8:$B$68,AE$3,'Bal Mes'!$AF$8:$AF$68)*IF($B19="+",1,-1)*IF($A19=1,1,0)</f>
        <v>21224450.136199981</v>
      </c>
      <c r="AF19" s="175">
        <f>SUMIF('Bal Mes'!$B$8:$B$68,AF$3,'Bal Mes'!$AF$8:$AF$68)*IF($B19="+",1,-1)*IF($A19=1,1,0)</f>
        <v>-72850576.103874996</v>
      </c>
      <c r="AG19" s="175">
        <f>SUMIF('Bal Mes'!$B$8:$B$68,AG$3,'Bal Mes'!$AF$8:$AF$68)*IF($B19="+",1,-1)*IF($A19=1,1,0)</f>
        <v>47998330.896125004</v>
      </c>
      <c r="AH19" s="175">
        <f>SUMIF('Bal Mes'!$B$8:$B$68,AH$3,'Bal Mes'!$AF$8:$AF$68)*IF($B19="+",1,-1)*IF($A19=1,1,0)</f>
        <v>-48470760.103874996</v>
      </c>
      <c r="AI19" s="175">
        <f>SUMIF('Bal Mes'!$B$8:$B$68,AI$3,'Bal Mes'!$AF$8:$AF$68)*IF($B19="+",1,-1)*IF($A19=1,1,0)</f>
        <v>49056749.896125004</v>
      </c>
      <c r="AJ19" s="175">
        <f>SUMIF('Bal Mes'!$B$8:$B$68,AJ$3,'Bal Mes'!$AF$8:$AF$68)*IF($B19="+",1,-1)*IF($A19=1,1,0)</f>
        <v>-49321309.103874996</v>
      </c>
      <c r="AK19" s="175">
        <f>SUMIF('Bal Mes'!$B$8:$B$68,AK$3,'Bal Mes'!$AF$8:$AF$68)*IF($B19="+",1,-1)*IF($A19=1,1,0)</f>
        <v>46552398.896125004</v>
      </c>
      <c r="AL19" s="175">
        <f>SUMIF('Bal Mes'!$B$8:$B$68,AL$3,'Bal Mes'!$AF$8:$AF$68)*IF($B19="+",1,-1)*IF($A19=1,1,0)</f>
        <v>-59254499.103874996</v>
      </c>
      <c r="AM19" s="175">
        <f>SUMIF('Bal Mes'!$B$8:$B$68,AM$3,'Bal Mes'!$AF$8:$AF$68)*IF($B19="+",1,-1)*IF($A19=1,1,0)</f>
        <v>59464702.896125004</v>
      </c>
      <c r="AN19" s="175">
        <f>SUMIF('Bal Mes'!$B$8:$B$68,AN$3,'Bal Mes'!$AF$8:$AF$68)*IF($B19="+",1,-1)*IF($A19=1,1,0)</f>
        <v>-59108853.103874996</v>
      </c>
      <c r="AO19" s="175">
        <f>SUMIF('Bal Mes'!$B$8:$B$68,AO$3,'Bal Mes'!$AF$8:$AF$68)*IF($B19="+",1,-1)*IF($A19=1,1,0)</f>
        <v>59621971.896125004</v>
      </c>
      <c r="AP19" s="175">
        <f>SUMIF('Bal Mes'!$B$8:$B$68,AP$3,'Bal Mes'!$AF$8:$AF$68)*IF($B19="+",1,-1)*IF($A19=1,1,0)</f>
        <v>-56941275.103874996</v>
      </c>
      <c r="AQ19" s="175">
        <f>SUMIF('Bal Mes'!$B$8:$B$68,AQ$3,'Bal Mes'!$AF$8:$AF$68)*IF($B19="+",1,-1)*IF($A19=1,1,0)</f>
        <v>80378174.896125004</v>
      </c>
      <c r="AR19" s="175">
        <f>SUMIF('Bal Mes'!$B$8:$B$68,AR$3,'Bal Mes'!$AF$8:$AF$68)*IF($B19="+",1,-1)*IF($A19=1,1,0)</f>
        <v>-95175502.487200022</v>
      </c>
      <c r="AS19" s="175">
        <f>SUMIF('Bal Mes'!$B$8:$B$68,AS$3,'Bal Mes'!$AF$8:$AF$68)*IF($B19="+",1,-1)*IF($A19=1,1,0)</f>
        <v>79186755.512799978</v>
      </c>
      <c r="AT19" s="175">
        <f>SUMIF('Bal Mes'!$B$8:$B$68,AT$3,'Bal Mes'!$AF$8:$AF$68)*IF($B19="+",1,-1)*IF($A19=1,1,0)</f>
        <v>-68558224.487200022</v>
      </c>
      <c r="AU19" s="175">
        <f>SUMIF('Bal Mes'!$B$8:$B$68,AU$3,'Bal Mes'!$AF$8:$AF$68)*IF($B19="+",1,-1)*IF($A19=1,1,0)</f>
        <v>79881434.512799978</v>
      </c>
      <c r="AV19" s="175">
        <f>SUMIF('Bal Mes'!$B$8:$B$68,AV$3,'Bal Mes'!$AF$8:$AF$68)*IF($B19="+",1,-1)*IF($A19=1,1,0)</f>
        <v>-71471317.487200022</v>
      </c>
      <c r="AW19" s="175">
        <f>SUMIF('Bal Mes'!$B$8:$B$68,AW$3,'Bal Mes'!$AF$8:$AF$68)*IF($B19="+",1,-1)*IF($A19=1,1,0)</f>
        <v>80293712.512799978</v>
      </c>
      <c r="AX19" s="175">
        <f>SUMIF('Bal Mes'!$B$8:$B$68,AX$3,'Bal Mes'!$AF$8:$AF$68)*IF($B19="+",1,-1)*IF($A19=1,1,0)</f>
        <v>-85503567.487200022</v>
      </c>
      <c r="AY19" s="175">
        <f>SUMIF('Bal Mes'!$B$8:$B$68,AY$3,'Bal Mes'!$AF$8:$AF$68)*IF($B19="+",1,-1)*IF($A19=1,1,0)</f>
        <v>96528434.512799978</v>
      </c>
      <c r="AZ19" s="175">
        <f>SUMIF('Bal Mes'!$B$8:$B$68,AZ$3,'Bal Mes'!$AF$8:$AF$68)*IF($B19="+",1,-1)*IF($A19=1,1,0)</f>
        <v>-84385317.487200022</v>
      </c>
      <c r="BA19" s="175">
        <f>SUMIF('Bal Mes'!$B$8:$B$68,BA$3,'Bal Mes'!$AF$8:$AF$68)*IF($B19="+",1,-1)*IF($A19=1,1,0)</f>
        <v>94635934.512799978</v>
      </c>
      <c r="BB19" s="175">
        <f>SUMIF('Bal Mes'!$B$8:$B$68,BB$3,'Bal Mes'!$AF$8:$AF$68)*IF($B19="+",1,-1)*IF($A19=1,1,0)</f>
        <v>-72256316.487200022</v>
      </c>
      <c r="BC19" s="175">
        <f>SUMIF('Bal Mes'!$B$8:$B$68,BC$3,'Bal Mes'!$AF$8:$AF$68)*IF($B19="+",1,-1)*IF($A19=1,1,0)</f>
        <v>93344462.512799978</v>
      </c>
      <c r="BD19" s="175">
        <f>SUMIF('Bal Mes'!$B$8:$B$68,BD$3,'Bal Mes'!$AF$8:$AF$68)*IF($B19="+",1,-1)*IF($A19=1,1,0)</f>
        <v>-139656895.74335</v>
      </c>
      <c r="BE19" s="175">
        <f>SUMIF('Bal Mes'!$B$8:$B$68,BE$3,'Bal Mes'!$AF$8:$AF$68)*IF($B19="+",1,-1)*IF($A19=1,1,0)</f>
        <v>129557684.25665</v>
      </c>
      <c r="BF19" s="175">
        <f>SUMIF('Bal Mes'!$B$8:$B$68,BF$3,'Bal Mes'!$AF$8:$AF$68)*IF($B19="+",1,-1)*IF($A19=1,1,0)</f>
        <v>-107700067.74335</v>
      </c>
      <c r="BG19" s="175">
        <f>SUMIF('Bal Mes'!$B$8:$B$68,BG$3,'Bal Mes'!$AF$8:$AF$68)*IF($B19="+",1,-1)*IF($A19=1,1,0)</f>
        <v>109543184.25665</v>
      </c>
      <c r="BH19" s="175">
        <f>SUMIF('Bal Mes'!$B$8:$B$68,BH$3,'Bal Mes'!$AF$8:$AF$68)*IF($B19="+",1,-1)*IF($A19=1,1,0)</f>
        <v>-94582107.743349999</v>
      </c>
      <c r="BI19" s="175">
        <f>SUMIF('Bal Mes'!$B$8:$B$68,BI$3,'Bal Mes'!$AF$8:$AF$68)*IF($B19="+",1,-1)*IF($A19=1,1,0)</f>
        <v>94801803.256650001</v>
      </c>
      <c r="BJ19" s="175">
        <f>SUMIF('Bal Mes'!$B$8:$B$68,BJ$3,'Bal Mes'!$AF$8:$AF$68)*IF($B19="+",1,-1)*IF($A19=1,1,0)</f>
        <v>-92581530.743349999</v>
      </c>
      <c r="BK19" s="175">
        <f>SUMIF('Bal Mes'!$B$8:$B$68,BK$3,'Bal Mes'!$AF$8:$AF$68)*IF($B19="+",1,-1)*IF($A19=1,1,0)</f>
        <v>92579184.256650001</v>
      </c>
      <c r="BL19" s="175">
        <f>SUMIF('Bal Mes'!$B$8:$B$68,BL$3,'Bal Mes'!$AF$8:$AF$68)*IF($B19="+",1,-1)*IF($A19=1,1,0)</f>
        <v>-68313672.743349999</v>
      </c>
      <c r="BM19" s="175">
        <f>SUMIF('Bal Mes'!$B$8:$B$68,BM$3,'Bal Mes'!$AF$8:$AF$68)*IF($B19="+",1,-1)*IF($A19=1,1,0)</f>
        <v>68579184.256650001</v>
      </c>
      <c r="BN19" s="175">
        <f>SUMIF('Bal Mes'!$B$8:$B$68,BN$3,'Bal Mes'!$AF$8:$AF$68)*IF($B19="+",1,-1)*IF($A19=1,1,0)</f>
        <v>-44057277.743349999</v>
      </c>
      <c r="BO19" s="175">
        <f>SUMIF('Bal Mes'!$B$8:$B$68,BO$3,'Bal Mes'!$AF$8:$AF$68)*IF($B19="+",1,-1)*IF($A19=1,1,0)</f>
        <v>47622803.256650001</v>
      </c>
    </row>
    <row r="20" spans="1:68" x14ac:dyDescent="0.35">
      <c r="A20" s="412">
        <v>1</v>
      </c>
      <c r="B20" s="410" t="s">
        <v>619</v>
      </c>
      <c r="D20" s="407"/>
      <c r="E20" s="408" t="s">
        <v>614</v>
      </c>
      <c r="F20" s="408"/>
      <c r="G20" s="175">
        <f>SUMIF('Bal Mes'!$B$8:$B$68,G$3,'Bal Mes'!$AG$8:$AG$68)*IF($B20="+",1,-1)*IF($A20=1,1,0)</f>
        <v>0</v>
      </c>
      <c r="H20" s="175">
        <f>SUMIF('Bal Mes'!$B$8:$B$68,H$3,'Bal Mes'!$AG$8:$AG$68)*IF($B20="+",1,-1)*IF($A20=1,1,0)</f>
        <v>0</v>
      </c>
      <c r="I20" s="175">
        <f>SUMIF('Bal Mes'!$B$8:$B$68,I$3,'Bal Mes'!$AG$8:$AG$68)*IF($B20="+",1,-1)*IF($A20=1,1,0)</f>
        <v>0</v>
      </c>
      <c r="J20" s="175">
        <f>SUMIF('Bal Mes'!$B$8:$B$68,J$3,'Bal Mes'!$AG$8:$AG$68)*IF($B20="+",1,-1)*IF($A20=1,1,0)</f>
        <v>0</v>
      </c>
      <c r="K20" s="175">
        <f>SUMIF('Bal Mes'!$B$8:$B$68,K$3,'Bal Mes'!$AG$8:$AG$68)*IF($B20="+",1,-1)*IF($A20=1,1,0)</f>
        <v>0</v>
      </c>
      <c r="L20" s="175">
        <f>SUMIF('Bal Mes'!$B$8:$B$68,L$3,'Bal Mes'!$AG$8:$AG$68)*IF($B20="+",1,-1)*IF($A20=1,1,0)</f>
        <v>0</v>
      </c>
      <c r="M20" s="175">
        <f>SUMIF('Bal Mes'!$B$8:$B$68,M$3,'Bal Mes'!$AG$8:$AG$68)*IF($B20="+",1,-1)*IF($A20=1,1,0)</f>
        <v>0</v>
      </c>
      <c r="N20" s="175">
        <f>SUMIF('Bal Mes'!$B$8:$B$68,N$3,'Bal Mes'!$AG$8:$AG$68)*IF($B20="+",1,-1)*IF($A20=1,1,0)</f>
        <v>0</v>
      </c>
      <c r="O20" s="175">
        <f>SUMIF('Bal Mes'!$B$8:$B$68,O$3,'Bal Mes'!$AG$8:$AG$68)*IF($B20="+",1,-1)*IF($A20=1,1,0)</f>
        <v>0</v>
      </c>
      <c r="P20" s="175">
        <f>SUMIF('Bal Mes'!$B$8:$B$68,P$3,'Bal Mes'!$AG$8:$AG$68)*IF($B20="+",1,-1)*IF($A20=1,1,0)</f>
        <v>0</v>
      </c>
      <c r="Q20" s="175">
        <f>SUMIF('Bal Mes'!$B$8:$B$68,Q$3,'Bal Mes'!$AG$8:$AG$68)*IF($B20="+",1,-1)*IF($A20=1,1,0)</f>
        <v>0</v>
      </c>
      <c r="R20" s="175">
        <f>SUMIF('Bal Mes'!$B$8:$B$68,R$3,'Bal Mes'!$AG$8:$AG$68)*IF($B20="+",1,-1)*IF($A20=1,1,0)</f>
        <v>0</v>
      </c>
      <c r="S20" s="175">
        <f>SUMIF('Bal Mes'!$B$8:$B$68,S$3,'Bal Mes'!$AG$8:$AG$68)*IF($B20="+",1,-1)*IF($A20=1,1,0)</f>
        <v>0</v>
      </c>
      <c r="T20" s="175">
        <f>SUMIF('Bal Mes'!$B$8:$B$68,T$3,'Bal Mes'!$AG$8:$AG$68)*IF($B20="+",1,-1)*IF($A20=1,1,0)</f>
        <v>0</v>
      </c>
      <c r="U20" s="175">
        <f>SUMIF('Bal Mes'!$B$8:$B$68,U$3,'Bal Mes'!$AG$8:$AG$68)*IF($B20="+",1,-1)*IF($A20=1,1,0)</f>
        <v>0</v>
      </c>
      <c r="V20" s="175">
        <f>SUMIF('Bal Mes'!$B$8:$B$68,V$3,'Bal Mes'!$AG$8:$AG$68)*IF($B20="+",1,-1)*IF($A20=1,1,0)</f>
        <v>0</v>
      </c>
      <c r="W20" s="175">
        <f>SUMIF('Bal Mes'!$B$8:$B$68,W$3,'Bal Mes'!$AG$8:$AG$68)*IF($B20="+",1,-1)*IF($A20=1,1,0)</f>
        <v>0</v>
      </c>
      <c r="X20" s="175">
        <f>SUMIF('Bal Mes'!$B$8:$B$68,X$3,'Bal Mes'!$AG$8:$AG$68)*IF($B20="+",1,-1)*IF($A20=1,1,0)</f>
        <v>0</v>
      </c>
      <c r="Y20" s="175">
        <f>SUMIF('Bal Mes'!$B$8:$B$68,Y$3,'Bal Mes'!$AG$8:$AG$68)*IF($B20="+",1,-1)*IF($A20=1,1,0)</f>
        <v>0</v>
      </c>
      <c r="Z20" s="175">
        <f>SUMIF('Bal Mes'!$B$8:$B$68,Z$3,'Bal Mes'!$AG$8:$AG$68)*IF($B20="+",1,-1)*IF($A20=1,1,0)</f>
        <v>0</v>
      </c>
      <c r="AA20" s="175">
        <f>SUMIF('Bal Mes'!$B$8:$B$68,AA$3,'Bal Mes'!$AG$8:$AG$68)*IF($B20="+",1,-1)*IF($A20=1,1,0)</f>
        <v>0</v>
      </c>
      <c r="AB20" s="175">
        <f>SUMIF('Bal Mes'!$B$8:$B$68,AB$3,'Bal Mes'!$AG$8:$AG$68)*IF($B20="+",1,-1)*IF($A20=1,1,0)</f>
        <v>0</v>
      </c>
      <c r="AC20" s="175">
        <f>SUMIF('Bal Mes'!$B$8:$B$68,AC$3,'Bal Mes'!$AG$8:$AG$68)*IF($B20="+",1,-1)*IF($A20=1,1,0)</f>
        <v>0</v>
      </c>
      <c r="AD20" s="175">
        <f>SUMIF('Bal Mes'!$B$8:$B$68,AD$3,'Bal Mes'!$AG$8:$AG$68)*IF($B20="+",1,-1)*IF($A20=1,1,0)</f>
        <v>0</v>
      </c>
      <c r="AE20" s="175">
        <f>SUMIF('Bal Mes'!$B$8:$B$68,AE$3,'Bal Mes'!$AG$8:$AG$68)*IF($B20="+",1,-1)*IF($A20=1,1,0)</f>
        <v>37178000</v>
      </c>
      <c r="AF20" s="175">
        <f>SUMIF('Bal Mes'!$B$8:$B$68,AF$3,'Bal Mes'!$AG$8:$AG$68)*IF($B20="+",1,-1)*IF($A20=1,1,0)</f>
        <v>0</v>
      </c>
      <c r="AG20" s="175">
        <f>SUMIF('Bal Mes'!$B$8:$B$68,AG$3,'Bal Mes'!$AG$8:$AG$68)*IF($B20="+",1,-1)*IF($A20=1,1,0)</f>
        <v>0</v>
      </c>
      <c r="AH20" s="175">
        <f>SUMIF('Bal Mes'!$B$8:$B$68,AH$3,'Bal Mes'!$AG$8:$AG$68)*IF($B20="+",1,-1)*IF($A20=1,1,0)</f>
        <v>0</v>
      </c>
      <c r="AI20" s="175">
        <f>SUMIF('Bal Mes'!$B$8:$B$68,AI$3,'Bal Mes'!$AG$8:$AG$68)*IF($B20="+",1,-1)*IF($A20=1,1,0)</f>
        <v>0</v>
      </c>
      <c r="AJ20" s="175">
        <f>SUMIF('Bal Mes'!$B$8:$B$68,AJ$3,'Bal Mes'!$AG$8:$AG$68)*IF($B20="+",1,-1)*IF($A20=1,1,0)</f>
        <v>0</v>
      </c>
      <c r="AK20" s="175">
        <f>SUMIF('Bal Mes'!$B$8:$B$68,AK$3,'Bal Mes'!$AG$8:$AG$68)*IF($B20="+",1,-1)*IF($A20=1,1,0)</f>
        <v>0</v>
      </c>
      <c r="AL20" s="175">
        <f>SUMIF('Bal Mes'!$B$8:$B$68,AL$3,'Bal Mes'!$AG$8:$AG$68)*IF($B20="+",1,-1)*IF($A20=1,1,0)</f>
        <v>0</v>
      </c>
      <c r="AM20" s="175">
        <f>SUMIF('Bal Mes'!$B$8:$B$68,AM$3,'Bal Mes'!$AG$8:$AG$68)*IF($B20="+",1,-1)*IF($A20=1,1,0)</f>
        <v>0</v>
      </c>
      <c r="AN20" s="175">
        <f>SUMIF('Bal Mes'!$B$8:$B$68,AN$3,'Bal Mes'!$AG$8:$AG$68)*IF($B20="+",1,-1)*IF($A20=1,1,0)</f>
        <v>0</v>
      </c>
      <c r="AO20" s="175">
        <f>SUMIF('Bal Mes'!$B$8:$B$68,AO$3,'Bal Mes'!$AG$8:$AG$68)*IF($B20="+",1,-1)*IF($A20=1,1,0)</f>
        <v>0</v>
      </c>
      <c r="AP20" s="175">
        <f>SUMIF('Bal Mes'!$B$8:$B$68,AP$3,'Bal Mes'!$AG$8:$AG$68)*IF($B20="+",1,-1)*IF($A20=1,1,0)</f>
        <v>0</v>
      </c>
      <c r="AQ20" s="175">
        <f>SUMIF('Bal Mes'!$B$8:$B$68,AQ$3,'Bal Mes'!$AG$8:$AG$68)*IF($B20="+",1,-1)*IF($A20=1,1,0)</f>
        <v>0</v>
      </c>
      <c r="AR20" s="175">
        <f>SUMIF('Bal Mes'!$B$8:$B$68,AR$3,'Bal Mes'!$AG$8:$AG$68)*IF($B20="+",1,-1)*IF($A20=1,1,0)</f>
        <v>0</v>
      </c>
      <c r="AS20" s="175">
        <f>SUMIF('Bal Mes'!$B$8:$B$68,AS$3,'Bal Mes'!$AG$8:$AG$68)*IF($B20="+",1,-1)*IF($A20=1,1,0)</f>
        <v>0</v>
      </c>
      <c r="AT20" s="175">
        <f>SUMIF('Bal Mes'!$B$8:$B$68,AT$3,'Bal Mes'!$AG$8:$AG$68)*IF($B20="+",1,-1)*IF($A20=1,1,0)</f>
        <v>0</v>
      </c>
      <c r="AU20" s="175">
        <f>SUMIF('Bal Mes'!$B$8:$B$68,AU$3,'Bal Mes'!$AG$8:$AG$68)*IF($B20="+",1,-1)*IF($A20=1,1,0)</f>
        <v>0</v>
      </c>
      <c r="AV20" s="175">
        <f>SUMIF('Bal Mes'!$B$8:$B$68,AV$3,'Bal Mes'!$AG$8:$AG$68)*IF($B20="+",1,-1)*IF($A20=1,1,0)</f>
        <v>0</v>
      </c>
      <c r="AW20" s="175">
        <f>SUMIF('Bal Mes'!$B$8:$B$68,AW$3,'Bal Mes'!$AG$8:$AG$68)*IF($B20="+",1,-1)*IF($A20=1,1,0)</f>
        <v>0</v>
      </c>
      <c r="AX20" s="175">
        <f>SUMIF('Bal Mes'!$B$8:$B$68,AX$3,'Bal Mes'!$AG$8:$AG$68)*IF($B20="+",1,-1)*IF($A20=1,1,0)</f>
        <v>0</v>
      </c>
      <c r="AY20" s="175">
        <f>SUMIF('Bal Mes'!$B$8:$B$68,AY$3,'Bal Mes'!$AG$8:$AG$68)*IF($B20="+",1,-1)*IF($A20=1,1,0)</f>
        <v>0</v>
      </c>
      <c r="AZ20" s="175">
        <f>SUMIF('Bal Mes'!$B$8:$B$68,AZ$3,'Bal Mes'!$AG$8:$AG$68)*IF($B20="+",1,-1)*IF($A20=1,1,0)</f>
        <v>0</v>
      </c>
      <c r="BA20" s="175">
        <f>SUMIF('Bal Mes'!$B$8:$B$68,BA$3,'Bal Mes'!$AG$8:$AG$68)*IF($B20="+",1,-1)*IF($A20=1,1,0)</f>
        <v>0</v>
      </c>
      <c r="BB20" s="175">
        <f>SUMIF('Bal Mes'!$B$8:$B$68,BB$3,'Bal Mes'!$AG$8:$AG$68)*IF($B20="+",1,-1)*IF($A20=1,1,0)</f>
        <v>0</v>
      </c>
      <c r="BC20" s="175">
        <f>SUMIF('Bal Mes'!$B$8:$B$68,BC$3,'Bal Mes'!$AG$8:$AG$68)*IF($B20="+",1,-1)*IF($A20=1,1,0)</f>
        <v>35901000</v>
      </c>
      <c r="BD20" s="175">
        <f>SUMIF('Bal Mes'!$B$8:$B$68,BD$3,'Bal Mes'!$AG$8:$AG$68)*IF($B20="+",1,-1)*IF($A20=1,1,0)</f>
        <v>0</v>
      </c>
      <c r="BE20" s="175">
        <f>SUMIF('Bal Mes'!$B$8:$B$68,BE$3,'Bal Mes'!$AG$8:$AG$68)*IF($B20="+",1,-1)*IF($A20=1,1,0)</f>
        <v>0</v>
      </c>
      <c r="BF20" s="175">
        <f>SUMIF('Bal Mes'!$B$8:$B$68,BF$3,'Bal Mes'!$AG$8:$AG$68)*IF($B20="+",1,-1)*IF($A20=1,1,0)</f>
        <v>0</v>
      </c>
      <c r="BG20" s="175">
        <f>SUMIF('Bal Mes'!$B$8:$B$68,BG$3,'Bal Mes'!$AG$8:$AG$68)*IF($B20="+",1,-1)*IF($A20=1,1,0)</f>
        <v>0</v>
      </c>
      <c r="BH20" s="175">
        <f>SUMIF('Bal Mes'!$B$8:$B$68,BH$3,'Bal Mes'!$AG$8:$AG$68)*IF($B20="+",1,-1)*IF($A20=1,1,0)</f>
        <v>0</v>
      </c>
      <c r="BI20" s="175">
        <f>SUMIF('Bal Mes'!$B$8:$B$68,BI$3,'Bal Mes'!$AG$8:$AG$68)*IF($B20="+",1,-1)*IF($A20=1,1,0)</f>
        <v>0</v>
      </c>
      <c r="BJ20" s="175">
        <f>SUMIF('Bal Mes'!$B$8:$B$68,BJ$3,'Bal Mes'!$AG$8:$AG$68)*IF($B20="+",1,-1)*IF($A20=1,1,0)</f>
        <v>0</v>
      </c>
      <c r="BK20" s="175">
        <f>SUMIF('Bal Mes'!$B$8:$B$68,BK$3,'Bal Mes'!$AG$8:$AG$68)*IF($B20="+",1,-1)*IF($A20=1,1,0)</f>
        <v>0</v>
      </c>
      <c r="BL20" s="175">
        <f>SUMIF('Bal Mes'!$B$8:$B$68,BL$3,'Bal Mes'!$AG$8:$AG$68)*IF($B20="+",1,-1)*IF($A20=1,1,0)</f>
        <v>0</v>
      </c>
      <c r="BM20" s="175">
        <f>SUMIF('Bal Mes'!$B$8:$B$68,BM$3,'Bal Mes'!$AG$8:$AG$68)*IF($B20="+",1,-1)*IF($A20=1,1,0)</f>
        <v>0</v>
      </c>
      <c r="BN20" s="175">
        <f>SUMIF('Bal Mes'!$B$8:$B$68,BN$3,'Bal Mes'!$AG$8:$AG$68)*IF($B20="+",1,-1)*IF($A20=1,1,0)</f>
        <v>0</v>
      </c>
      <c r="BO20" s="175">
        <f>SUMIF('Bal Mes'!$B$8:$B$68,BO$3,'Bal Mes'!$AG$8:$AG$68)*IF($B20="+",1,-1)*IF($A20=1,1,0)</f>
        <v>0</v>
      </c>
    </row>
    <row r="21" spans="1:68" x14ac:dyDescent="0.35">
      <c r="A21" s="412">
        <v>1</v>
      </c>
      <c r="B21" s="410" t="s">
        <v>619</v>
      </c>
      <c r="D21" s="407"/>
      <c r="E21" s="408" t="s">
        <v>615</v>
      </c>
      <c r="F21" s="408"/>
      <c r="G21" s="175">
        <f>SUMIF('Bal Mes'!$B$8:$B$68,G$3,'Bal Mes'!$AH$8:$AH$68)*IF($B21="+",1,-1)*IF($A21=1,1,0)</f>
        <v>0</v>
      </c>
      <c r="H21" s="175">
        <f>SUMIF('Bal Mes'!$B$8:$B$68,H$3,'Bal Mes'!$AH$8:$AH$68)*IF($B21="+",1,-1)*IF($A21=1,1,0)</f>
        <v>0</v>
      </c>
      <c r="I21" s="175">
        <f>SUMIF('Bal Mes'!$B$8:$B$68,I$3,'Bal Mes'!$AH$8:$AH$68)*IF($B21="+",1,-1)*IF($A21=1,1,0)</f>
        <v>0</v>
      </c>
      <c r="J21" s="175">
        <f>SUMIF('Bal Mes'!$B$8:$B$68,J$3,'Bal Mes'!$AH$8:$AH$68)*IF($B21="+",1,-1)*IF($A21=1,1,0)</f>
        <v>0</v>
      </c>
      <c r="K21" s="175">
        <f>SUMIF('Bal Mes'!$B$8:$B$68,K$3,'Bal Mes'!$AH$8:$AH$68)*IF($B21="+",1,-1)*IF($A21=1,1,0)</f>
        <v>0</v>
      </c>
      <c r="L21" s="175">
        <f>SUMIF('Bal Mes'!$B$8:$B$68,L$3,'Bal Mes'!$AH$8:$AH$68)*IF($B21="+",1,-1)*IF($A21=1,1,0)</f>
        <v>0</v>
      </c>
      <c r="M21" s="175">
        <f>SUMIF('Bal Mes'!$B$8:$B$68,M$3,'Bal Mes'!$AH$8:$AH$68)*IF($B21="+",1,-1)*IF($A21=1,1,0)</f>
        <v>12000000</v>
      </c>
      <c r="N21" s="175">
        <f>SUMIF('Bal Mes'!$B$8:$B$68,N$3,'Bal Mes'!$AH$8:$AH$68)*IF($B21="+",1,-1)*IF($A21=1,1,0)</f>
        <v>0</v>
      </c>
      <c r="O21" s="175">
        <f>SUMIF('Bal Mes'!$B$8:$B$68,O$3,'Bal Mes'!$AH$8:$AH$68)*IF($B21="+",1,-1)*IF($A21=1,1,0)</f>
        <v>0</v>
      </c>
      <c r="P21" s="175">
        <f>SUMIF('Bal Mes'!$B$8:$B$68,P$3,'Bal Mes'!$AH$8:$AH$68)*IF($B21="+",1,-1)*IF($A21=1,1,0)</f>
        <v>0</v>
      </c>
      <c r="Q21" s="175">
        <f>SUMIF('Bal Mes'!$B$8:$B$68,Q$3,'Bal Mes'!$AH$8:$AH$68)*IF($B21="+",1,-1)*IF($A21=1,1,0)</f>
        <v>0</v>
      </c>
      <c r="R21" s="175">
        <f>SUMIF('Bal Mes'!$B$8:$B$68,R$3,'Bal Mes'!$AH$8:$AH$68)*IF($B21="+",1,-1)*IF($A21=1,1,0)</f>
        <v>0</v>
      </c>
      <c r="S21" s="175">
        <f>SUMIF('Bal Mes'!$B$8:$B$68,S$3,'Bal Mes'!$AH$8:$AH$68)*IF($B21="+",1,-1)*IF($A21=1,1,0)</f>
        <v>3300000</v>
      </c>
      <c r="T21" s="175">
        <f>SUMIF('Bal Mes'!$B$8:$B$68,T$3,'Bal Mes'!$AH$8:$AH$68)*IF($B21="+",1,-1)*IF($A21=1,1,0)</f>
        <v>0</v>
      </c>
      <c r="U21" s="175">
        <f>SUMIF('Bal Mes'!$B$8:$B$68,U$3,'Bal Mes'!$AH$8:$AH$68)*IF($B21="+",1,-1)*IF($A21=1,1,0)</f>
        <v>0</v>
      </c>
      <c r="V21" s="175">
        <f>SUMIF('Bal Mes'!$B$8:$B$68,V$3,'Bal Mes'!$AH$8:$AH$68)*IF($B21="+",1,-1)*IF($A21=1,1,0)</f>
        <v>0</v>
      </c>
      <c r="W21" s="175">
        <f>SUMIF('Bal Mes'!$B$8:$B$68,W$3,'Bal Mes'!$AH$8:$AH$68)*IF($B21="+",1,-1)*IF($A21=1,1,0)</f>
        <v>0</v>
      </c>
      <c r="X21" s="175">
        <f>SUMIF('Bal Mes'!$B$8:$B$68,X$3,'Bal Mes'!$AH$8:$AH$68)*IF($B21="+",1,-1)*IF($A21=1,1,0)</f>
        <v>0</v>
      </c>
      <c r="Y21" s="175">
        <f>SUMIF('Bal Mes'!$B$8:$B$68,Y$3,'Bal Mes'!$AH$8:$AH$68)*IF($B21="+",1,-1)*IF($A21=1,1,0)</f>
        <v>6600000</v>
      </c>
      <c r="Z21" s="175">
        <f>SUMIF('Bal Mes'!$B$8:$B$68,Z$3,'Bal Mes'!$AH$8:$AH$68)*IF($B21="+",1,-1)*IF($A21=1,1,0)</f>
        <v>0</v>
      </c>
      <c r="AA21" s="175">
        <f>SUMIF('Bal Mes'!$B$8:$B$68,AA$3,'Bal Mes'!$AH$8:$AH$68)*IF($B21="+",1,-1)*IF($A21=1,1,0)</f>
        <v>0</v>
      </c>
      <c r="AB21" s="175">
        <f>SUMIF('Bal Mes'!$B$8:$B$68,AB$3,'Bal Mes'!$AH$8:$AH$68)*IF($B21="+",1,-1)*IF($A21=1,1,0)</f>
        <v>0</v>
      </c>
      <c r="AC21" s="175">
        <f>SUMIF('Bal Mes'!$B$8:$B$68,AC$3,'Bal Mes'!$AH$8:$AH$68)*IF($B21="+",1,-1)*IF($A21=1,1,0)</f>
        <v>0</v>
      </c>
      <c r="AD21" s="175">
        <f>SUMIF('Bal Mes'!$B$8:$B$68,AD$3,'Bal Mes'!$AH$8:$AH$68)*IF($B21="+",1,-1)*IF($A21=1,1,0)</f>
        <v>0</v>
      </c>
      <c r="AE21" s="175">
        <f>SUMIF('Bal Mes'!$B$8:$B$68,AE$3,'Bal Mes'!$AH$8:$AH$68)*IF($B21="+",1,-1)*IF($A21=1,1,0)</f>
        <v>3630000</v>
      </c>
      <c r="AF21" s="175">
        <f>SUMIF('Bal Mes'!$B$8:$B$68,AF$3,'Bal Mes'!$AH$8:$AH$68)*IF($B21="+",1,-1)*IF($A21=1,1,0)</f>
        <v>0</v>
      </c>
      <c r="AG21" s="175">
        <f>SUMIF('Bal Mes'!$B$8:$B$68,AG$3,'Bal Mes'!$AH$8:$AH$68)*IF($B21="+",1,-1)*IF($A21=1,1,0)</f>
        <v>0</v>
      </c>
      <c r="AH21" s="175">
        <f>SUMIF('Bal Mes'!$B$8:$B$68,AH$3,'Bal Mes'!$AH$8:$AH$68)*IF($B21="+",1,-1)*IF($A21=1,1,0)</f>
        <v>0</v>
      </c>
      <c r="AI21" s="175">
        <f>SUMIF('Bal Mes'!$B$8:$B$68,AI$3,'Bal Mes'!$AH$8:$AH$68)*IF($B21="+",1,-1)*IF($A21=1,1,0)</f>
        <v>0</v>
      </c>
      <c r="AJ21" s="175">
        <f>SUMIF('Bal Mes'!$B$8:$B$68,AJ$3,'Bal Mes'!$AH$8:$AH$68)*IF($B21="+",1,-1)*IF($A21=1,1,0)</f>
        <v>0</v>
      </c>
      <c r="AK21" s="175">
        <f>SUMIF('Bal Mes'!$B$8:$B$68,AK$3,'Bal Mes'!$AH$8:$AH$68)*IF($B21="+",1,-1)*IF($A21=1,1,0)</f>
        <v>7260000</v>
      </c>
      <c r="AL21" s="175">
        <f>SUMIF('Bal Mes'!$B$8:$B$68,AL$3,'Bal Mes'!$AH$8:$AH$68)*IF($B21="+",1,-1)*IF($A21=1,1,0)</f>
        <v>0</v>
      </c>
      <c r="AM21" s="175">
        <f>SUMIF('Bal Mes'!$B$8:$B$68,AM$3,'Bal Mes'!$AH$8:$AH$68)*IF($B21="+",1,-1)*IF($A21=1,1,0)</f>
        <v>0</v>
      </c>
      <c r="AN21" s="175">
        <f>SUMIF('Bal Mes'!$B$8:$B$68,AN$3,'Bal Mes'!$AH$8:$AH$68)*IF($B21="+",1,-1)*IF($A21=1,1,0)</f>
        <v>0</v>
      </c>
      <c r="AO21" s="175">
        <f>SUMIF('Bal Mes'!$B$8:$B$68,AO$3,'Bal Mes'!$AH$8:$AH$68)*IF($B21="+",1,-1)*IF($A21=1,1,0)</f>
        <v>0</v>
      </c>
      <c r="AP21" s="175">
        <f>SUMIF('Bal Mes'!$B$8:$B$68,AP$3,'Bal Mes'!$AH$8:$AH$68)*IF($B21="+",1,-1)*IF($A21=1,1,0)</f>
        <v>0</v>
      </c>
      <c r="AQ21" s="175">
        <f>SUMIF('Bal Mes'!$B$8:$B$68,AQ$3,'Bal Mes'!$AH$8:$AH$68)*IF($B21="+",1,-1)*IF($A21=1,1,0)</f>
        <v>3993000</v>
      </c>
      <c r="AR21" s="175">
        <f>SUMIF('Bal Mes'!$B$8:$B$68,AR$3,'Bal Mes'!$AH$8:$AH$68)*IF($B21="+",1,-1)*IF($A21=1,1,0)</f>
        <v>0</v>
      </c>
      <c r="AS21" s="175">
        <f>SUMIF('Bal Mes'!$B$8:$B$68,AS$3,'Bal Mes'!$AH$8:$AH$68)*IF($B21="+",1,-1)*IF($A21=1,1,0)</f>
        <v>0</v>
      </c>
      <c r="AT21" s="175">
        <f>SUMIF('Bal Mes'!$B$8:$B$68,AT$3,'Bal Mes'!$AH$8:$AH$68)*IF($B21="+",1,-1)*IF($A21=1,1,0)</f>
        <v>0</v>
      </c>
      <c r="AU21" s="175">
        <f>SUMIF('Bal Mes'!$B$8:$B$68,AU$3,'Bal Mes'!$AH$8:$AH$68)*IF($B21="+",1,-1)*IF($A21=1,1,0)</f>
        <v>0</v>
      </c>
      <c r="AV21" s="175">
        <f>SUMIF('Bal Mes'!$B$8:$B$68,AV$3,'Bal Mes'!$AH$8:$AH$68)*IF($B21="+",1,-1)*IF($A21=1,1,0)</f>
        <v>0</v>
      </c>
      <c r="AW21" s="175">
        <f>SUMIF('Bal Mes'!$B$8:$B$68,AW$3,'Bal Mes'!$AH$8:$AH$68)*IF($B21="+",1,-1)*IF($A21=1,1,0)</f>
        <v>7986000</v>
      </c>
      <c r="AX21" s="175">
        <f>SUMIF('Bal Mes'!$B$8:$B$68,AX$3,'Bal Mes'!$AH$8:$AH$68)*IF($B21="+",1,-1)*IF($A21=1,1,0)</f>
        <v>0</v>
      </c>
      <c r="AY21" s="175">
        <f>SUMIF('Bal Mes'!$B$8:$B$68,AY$3,'Bal Mes'!$AH$8:$AH$68)*IF($B21="+",1,-1)*IF($A21=1,1,0)</f>
        <v>0</v>
      </c>
      <c r="AZ21" s="175">
        <f>SUMIF('Bal Mes'!$B$8:$B$68,AZ$3,'Bal Mes'!$AH$8:$AH$68)*IF($B21="+",1,-1)*IF($A21=1,1,0)</f>
        <v>0</v>
      </c>
      <c r="BA21" s="175">
        <f>SUMIF('Bal Mes'!$B$8:$B$68,BA$3,'Bal Mes'!$AH$8:$AH$68)*IF($B21="+",1,-1)*IF($A21=1,1,0)</f>
        <v>0</v>
      </c>
      <c r="BB21" s="175">
        <f>SUMIF('Bal Mes'!$B$8:$B$68,BB$3,'Bal Mes'!$AH$8:$AH$68)*IF($B21="+",1,-1)*IF($A21=1,1,0)</f>
        <v>0</v>
      </c>
      <c r="BC21" s="175">
        <f>SUMIF('Bal Mes'!$B$8:$B$68,BC$3,'Bal Mes'!$AH$8:$AH$68)*IF($B21="+",1,-1)*IF($A21=1,1,0)</f>
        <v>8692000</v>
      </c>
      <c r="BD21" s="175">
        <f>SUMIF('Bal Mes'!$B$8:$B$68,BD$3,'Bal Mes'!$AH$8:$AH$68)*IF($B21="+",1,-1)*IF($A21=1,1,0)</f>
        <v>0</v>
      </c>
      <c r="BE21" s="175">
        <f>SUMIF('Bal Mes'!$B$8:$B$68,BE$3,'Bal Mes'!$AH$8:$AH$68)*IF($B21="+",1,-1)*IF($A21=1,1,0)</f>
        <v>0</v>
      </c>
      <c r="BF21" s="175">
        <f>SUMIF('Bal Mes'!$B$8:$B$68,BF$3,'Bal Mes'!$AH$8:$AH$68)*IF($B21="+",1,-1)*IF($A21=1,1,0)</f>
        <v>0</v>
      </c>
      <c r="BG21" s="175">
        <f>SUMIF('Bal Mes'!$B$8:$B$68,BG$3,'Bal Mes'!$AH$8:$AH$68)*IF($B21="+",1,-1)*IF($A21=1,1,0)</f>
        <v>0</v>
      </c>
      <c r="BH21" s="175">
        <f>SUMIF('Bal Mes'!$B$8:$B$68,BH$3,'Bal Mes'!$AH$8:$AH$68)*IF($B21="+",1,-1)*IF($A21=1,1,0)</f>
        <v>0</v>
      </c>
      <c r="BI21" s="175">
        <f>SUMIF('Bal Mes'!$B$8:$B$68,BI$3,'Bal Mes'!$AH$8:$AH$68)*IF($B21="+",1,-1)*IF($A21=1,1,0)</f>
        <v>8785000</v>
      </c>
      <c r="BJ21" s="175">
        <f>SUMIF('Bal Mes'!$B$8:$B$68,BJ$3,'Bal Mes'!$AH$8:$AH$68)*IF($B21="+",1,-1)*IF($A21=1,1,0)</f>
        <v>0</v>
      </c>
      <c r="BK21" s="175">
        <f>SUMIF('Bal Mes'!$B$8:$B$68,BK$3,'Bal Mes'!$AH$8:$AH$68)*IF($B21="+",1,-1)*IF($A21=1,1,0)</f>
        <v>0</v>
      </c>
      <c r="BL21" s="175">
        <f>SUMIF('Bal Mes'!$B$8:$B$68,BL$3,'Bal Mes'!$AH$8:$AH$68)*IF($B21="+",1,-1)*IF($A21=1,1,0)</f>
        <v>0</v>
      </c>
      <c r="BM21" s="175">
        <f>SUMIF('Bal Mes'!$B$8:$B$68,BM$3,'Bal Mes'!$AH$8:$AH$68)*IF($B21="+",1,-1)*IF($A21=1,1,0)</f>
        <v>0</v>
      </c>
      <c r="BN21" s="175">
        <f>SUMIF('Bal Mes'!$B$8:$B$68,BN$3,'Bal Mes'!$AH$8:$AH$68)*IF($B21="+",1,-1)*IF($A21=1,1,0)</f>
        <v>0</v>
      </c>
      <c r="BO21" s="175">
        <f>SUMIF('Bal Mes'!$B$8:$B$68,BO$3,'Bal Mes'!$AH$8:$AH$68)*IF($B21="+",1,-1)*IF($A21=1,1,0)</f>
        <v>0</v>
      </c>
    </row>
    <row r="22" spans="1:68" x14ac:dyDescent="0.35">
      <c r="A22" s="412">
        <v>1</v>
      </c>
      <c r="B22" s="410" t="s">
        <v>620</v>
      </c>
      <c r="D22" s="407"/>
      <c r="E22" s="408" t="s">
        <v>623</v>
      </c>
      <c r="F22" s="408"/>
      <c r="G22" s="175">
        <f>SUMIF('Bal Mes'!$B$8:$B$68,G$3,'Bal Mes'!$AI$8:$AI$68)*IF($B22="+",1,-1)*IF($A22=1,1,0)</f>
        <v>0</v>
      </c>
      <c r="H22" s="175">
        <f>SUMIF('Bal Mes'!$B$8:$B$68,H$3,'Bal Mes'!$AI$8:$AI$68)*IF($B22="+",1,-1)*IF($A22=1,1,0)</f>
        <v>0</v>
      </c>
      <c r="I22" s="175">
        <f>SUMIF('Bal Mes'!$B$8:$B$68,I$3,'Bal Mes'!$AI$8:$AI$68)*IF($B22="+",1,-1)*IF($A22=1,1,0)</f>
        <v>0</v>
      </c>
      <c r="J22" s="175">
        <f>SUMIF('Bal Mes'!$B$8:$B$68,J$3,'Bal Mes'!$AI$8:$AI$68)*IF($B22="+",1,-1)*IF($A22=1,1,0)</f>
        <v>0</v>
      </c>
      <c r="K22" s="175">
        <f>SUMIF('Bal Mes'!$B$8:$B$68,K$3,'Bal Mes'!$AI$8:$AI$68)*IF($B22="+",1,-1)*IF($A22=1,1,0)</f>
        <v>-5000000</v>
      </c>
      <c r="L22" s="175">
        <f>SUMIF('Bal Mes'!$B$8:$B$68,L$3,'Bal Mes'!$AI$8:$AI$68)*IF($B22="+",1,-1)*IF($A22=1,1,0)</f>
        <v>-6000000</v>
      </c>
      <c r="M22" s="175">
        <f>SUMIF('Bal Mes'!$B$8:$B$68,M$3,'Bal Mes'!$AI$8:$AI$68)*IF($B22="+",1,-1)*IF($A22=1,1,0)</f>
        <v>-2000000</v>
      </c>
      <c r="N22" s="175">
        <f>SUMIF('Bal Mes'!$B$8:$B$68,N$3,'Bal Mes'!$AI$8:$AI$68)*IF($B22="+",1,-1)*IF($A22=1,1,0)</f>
        <v>0</v>
      </c>
      <c r="O22" s="175">
        <f>SUMIF('Bal Mes'!$B$8:$B$68,O$3,'Bal Mes'!$AI$8:$AI$68)*IF($B22="+",1,-1)*IF($A22=1,1,0)</f>
        <v>-1000000</v>
      </c>
      <c r="P22" s="175">
        <f>SUMIF('Bal Mes'!$B$8:$B$68,P$3,'Bal Mes'!$AI$8:$AI$68)*IF($B22="+",1,-1)*IF($A22=1,1,0)</f>
        <v>-6000000</v>
      </c>
      <c r="Q22" s="175">
        <f>SUMIF('Bal Mes'!$B$8:$B$68,Q$3,'Bal Mes'!$AI$8:$AI$68)*IF($B22="+",1,-1)*IF($A22=1,1,0)</f>
        <v>-6000000</v>
      </c>
      <c r="R22" s="175">
        <f>SUMIF('Bal Mes'!$B$8:$B$68,R$3,'Bal Mes'!$AI$8:$AI$68)*IF($B22="+",1,-1)*IF($A22=1,1,0)</f>
        <v>-6000000</v>
      </c>
      <c r="S22" s="175">
        <f>SUMIF('Bal Mes'!$B$8:$B$68,S$3,'Bal Mes'!$AI$8:$AI$68)*IF($B22="+",1,-1)*IF($A22=1,1,0)</f>
        <v>10000000</v>
      </c>
      <c r="T22" s="175">
        <f>SUMIF('Bal Mes'!$B$8:$B$68,T$3,'Bal Mes'!$AI$8:$AI$68)*IF($B22="+",1,-1)*IF($A22=1,1,0)</f>
        <v>17000000</v>
      </c>
      <c r="U22" s="175">
        <f>SUMIF('Bal Mes'!$B$8:$B$68,U$3,'Bal Mes'!$AI$8:$AI$68)*IF($B22="+",1,-1)*IF($A22=1,1,0)</f>
        <v>1000000</v>
      </c>
      <c r="V22" s="175">
        <f>SUMIF('Bal Mes'!$B$8:$B$68,V$3,'Bal Mes'!$AI$8:$AI$68)*IF($B22="+",1,-1)*IF($A22=1,1,0)</f>
        <v>2000000</v>
      </c>
      <c r="W22" s="175">
        <f>SUMIF('Bal Mes'!$B$8:$B$68,W$3,'Bal Mes'!$AI$8:$AI$68)*IF($B22="+",1,-1)*IF($A22=1,1,0)</f>
        <v>2000000</v>
      </c>
      <c r="X22" s="175">
        <f>SUMIF('Bal Mes'!$B$8:$B$68,X$3,'Bal Mes'!$AI$8:$AI$68)*IF($B22="+",1,-1)*IF($A22=1,1,0)</f>
        <v>0</v>
      </c>
      <c r="Y22" s="175">
        <f>SUMIF('Bal Mes'!$B$8:$B$68,Y$3,'Bal Mes'!$AI$8:$AI$68)*IF($B22="+",1,-1)*IF($A22=1,1,0)</f>
        <v>0</v>
      </c>
      <c r="Z22" s="175">
        <f>SUMIF('Bal Mes'!$B$8:$B$68,Z$3,'Bal Mes'!$AI$8:$AI$68)*IF($B22="+",1,-1)*IF($A22=1,1,0)</f>
        <v>0</v>
      </c>
      <c r="AA22" s="175">
        <f>SUMIF('Bal Mes'!$B$8:$B$68,AA$3,'Bal Mes'!$AI$8:$AI$68)*IF($B22="+",1,-1)*IF($A22=1,1,0)</f>
        <v>0</v>
      </c>
      <c r="AB22" s="175">
        <f>SUMIF('Bal Mes'!$B$8:$B$68,AB$3,'Bal Mes'!$AI$8:$AI$68)*IF($B22="+",1,-1)*IF($A22=1,1,0)</f>
        <v>0</v>
      </c>
      <c r="AC22" s="175">
        <f>SUMIF('Bal Mes'!$B$8:$B$68,AC$3,'Bal Mes'!$AI$8:$AI$68)*IF($B22="+",1,-1)*IF($A22=1,1,0)</f>
        <v>0</v>
      </c>
      <c r="AD22" s="175">
        <f>SUMIF('Bal Mes'!$B$8:$B$68,AD$3,'Bal Mes'!$AI$8:$AI$68)*IF($B22="+",1,-1)*IF($A22=1,1,0)</f>
        <v>0</v>
      </c>
      <c r="AE22" s="175">
        <f>SUMIF('Bal Mes'!$B$8:$B$68,AE$3,'Bal Mes'!$AI$8:$AI$68)*IF($B22="+",1,-1)*IF($A22=1,1,0)</f>
        <v>0</v>
      </c>
      <c r="AF22" s="175">
        <f>SUMIF('Bal Mes'!$B$8:$B$68,AF$3,'Bal Mes'!$AI$8:$AI$68)*IF($B22="+",1,-1)*IF($A22=1,1,0)</f>
        <v>0</v>
      </c>
      <c r="AG22" s="175">
        <f>SUMIF('Bal Mes'!$B$8:$B$68,AG$3,'Bal Mes'!$AI$8:$AI$68)*IF($B22="+",1,-1)*IF($A22=1,1,0)</f>
        <v>0</v>
      </c>
      <c r="AH22" s="175">
        <f>SUMIF('Bal Mes'!$B$8:$B$68,AH$3,'Bal Mes'!$AI$8:$AI$68)*IF($B22="+",1,-1)*IF($A22=1,1,0)</f>
        <v>0</v>
      </c>
      <c r="AI22" s="175">
        <f>SUMIF('Bal Mes'!$B$8:$B$68,AI$3,'Bal Mes'!$AI$8:$AI$68)*IF($B22="+",1,-1)*IF($A22=1,1,0)</f>
        <v>0</v>
      </c>
      <c r="AJ22" s="175">
        <f>SUMIF('Bal Mes'!$B$8:$B$68,AJ$3,'Bal Mes'!$AI$8:$AI$68)*IF($B22="+",1,-1)*IF($A22=1,1,0)</f>
        <v>0</v>
      </c>
      <c r="AK22" s="175">
        <f>SUMIF('Bal Mes'!$B$8:$B$68,AK$3,'Bal Mes'!$AI$8:$AI$68)*IF($B22="+",1,-1)*IF($A22=1,1,0)</f>
        <v>0</v>
      </c>
      <c r="AL22" s="175">
        <f>SUMIF('Bal Mes'!$B$8:$B$68,AL$3,'Bal Mes'!$AI$8:$AI$68)*IF($B22="+",1,-1)*IF($A22=1,1,0)</f>
        <v>0</v>
      </c>
      <c r="AM22" s="175">
        <f>SUMIF('Bal Mes'!$B$8:$B$68,AM$3,'Bal Mes'!$AI$8:$AI$68)*IF($B22="+",1,-1)*IF($A22=1,1,0)</f>
        <v>0</v>
      </c>
      <c r="AN22" s="175">
        <f>SUMIF('Bal Mes'!$B$8:$B$68,AN$3,'Bal Mes'!$AI$8:$AI$68)*IF($B22="+",1,-1)*IF($A22=1,1,0)</f>
        <v>0</v>
      </c>
      <c r="AO22" s="175">
        <f>SUMIF('Bal Mes'!$B$8:$B$68,AO$3,'Bal Mes'!$AI$8:$AI$68)*IF($B22="+",1,-1)*IF($A22=1,1,0)</f>
        <v>0</v>
      </c>
      <c r="AP22" s="175">
        <f>SUMIF('Bal Mes'!$B$8:$B$68,AP$3,'Bal Mes'!$AI$8:$AI$68)*IF($B22="+",1,-1)*IF($A22=1,1,0)</f>
        <v>0</v>
      </c>
      <c r="AQ22" s="175">
        <f>SUMIF('Bal Mes'!$B$8:$B$68,AQ$3,'Bal Mes'!$AI$8:$AI$68)*IF($B22="+",1,-1)*IF($A22=1,1,0)</f>
        <v>0</v>
      </c>
      <c r="AR22" s="175">
        <f>SUMIF('Bal Mes'!$B$8:$B$68,AR$3,'Bal Mes'!$AI$8:$AI$68)*IF($B22="+",1,-1)*IF($A22=1,1,0)</f>
        <v>0</v>
      </c>
      <c r="AS22" s="175">
        <f>SUMIF('Bal Mes'!$B$8:$B$68,AS$3,'Bal Mes'!$AI$8:$AI$68)*IF($B22="+",1,-1)*IF($A22=1,1,0)</f>
        <v>0</v>
      </c>
      <c r="AT22" s="175">
        <f>SUMIF('Bal Mes'!$B$8:$B$68,AT$3,'Bal Mes'!$AI$8:$AI$68)*IF($B22="+",1,-1)*IF($A22=1,1,0)</f>
        <v>0</v>
      </c>
      <c r="AU22" s="175">
        <f>SUMIF('Bal Mes'!$B$8:$B$68,AU$3,'Bal Mes'!$AI$8:$AI$68)*IF($B22="+",1,-1)*IF($A22=1,1,0)</f>
        <v>0</v>
      </c>
      <c r="AV22" s="175">
        <f>SUMIF('Bal Mes'!$B$8:$B$68,AV$3,'Bal Mes'!$AI$8:$AI$68)*IF($B22="+",1,-1)*IF($A22=1,1,0)</f>
        <v>0</v>
      </c>
      <c r="AW22" s="175">
        <f>SUMIF('Bal Mes'!$B$8:$B$68,AW$3,'Bal Mes'!$AI$8:$AI$68)*IF($B22="+",1,-1)*IF($A22=1,1,0)</f>
        <v>0</v>
      </c>
      <c r="AX22" s="175">
        <f>SUMIF('Bal Mes'!$B$8:$B$68,AX$3,'Bal Mes'!$AI$8:$AI$68)*IF($B22="+",1,-1)*IF($A22=1,1,0)</f>
        <v>0</v>
      </c>
      <c r="AY22" s="175">
        <f>SUMIF('Bal Mes'!$B$8:$B$68,AY$3,'Bal Mes'!$AI$8:$AI$68)*IF($B22="+",1,-1)*IF($A22=1,1,0)</f>
        <v>0</v>
      </c>
      <c r="AZ22" s="175">
        <f>SUMIF('Bal Mes'!$B$8:$B$68,AZ$3,'Bal Mes'!$AI$8:$AI$68)*IF($B22="+",1,-1)*IF($A22=1,1,0)</f>
        <v>0</v>
      </c>
      <c r="BA22" s="175">
        <f>SUMIF('Bal Mes'!$B$8:$B$68,BA$3,'Bal Mes'!$AI$8:$AI$68)*IF($B22="+",1,-1)*IF($A22=1,1,0)</f>
        <v>0</v>
      </c>
      <c r="BB22" s="175">
        <f>SUMIF('Bal Mes'!$B$8:$B$68,BB$3,'Bal Mes'!$AI$8:$AI$68)*IF($B22="+",1,-1)*IF($A22=1,1,0)</f>
        <v>0</v>
      </c>
      <c r="BC22" s="175">
        <f>SUMIF('Bal Mes'!$B$8:$B$68,BC$3,'Bal Mes'!$AI$8:$AI$68)*IF($B22="+",1,-1)*IF($A22=1,1,0)</f>
        <v>0</v>
      </c>
      <c r="BD22" s="175">
        <f>SUMIF('Bal Mes'!$B$8:$B$68,BD$3,'Bal Mes'!$AI$8:$AI$68)*IF($B22="+",1,-1)*IF($A22=1,1,0)</f>
        <v>0</v>
      </c>
      <c r="BE22" s="175">
        <f>SUMIF('Bal Mes'!$B$8:$B$68,BE$3,'Bal Mes'!$AI$8:$AI$68)*IF($B22="+",1,-1)*IF($A22=1,1,0)</f>
        <v>0</v>
      </c>
      <c r="BF22" s="175">
        <f>SUMIF('Bal Mes'!$B$8:$B$68,BF$3,'Bal Mes'!$AI$8:$AI$68)*IF($B22="+",1,-1)*IF($A22=1,1,0)</f>
        <v>0</v>
      </c>
      <c r="BG22" s="175">
        <f>SUMIF('Bal Mes'!$B$8:$B$68,BG$3,'Bal Mes'!$AI$8:$AI$68)*IF($B22="+",1,-1)*IF($A22=1,1,0)</f>
        <v>0</v>
      </c>
      <c r="BH22" s="175">
        <f>SUMIF('Bal Mes'!$B$8:$B$68,BH$3,'Bal Mes'!$AI$8:$AI$68)*IF($B22="+",1,-1)*IF($A22=1,1,0)</f>
        <v>0</v>
      </c>
      <c r="BI22" s="175">
        <f>SUMIF('Bal Mes'!$B$8:$B$68,BI$3,'Bal Mes'!$AI$8:$AI$68)*IF($B22="+",1,-1)*IF($A22=1,1,0)</f>
        <v>0</v>
      </c>
      <c r="BJ22" s="175">
        <f>SUMIF('Bal Mes'!$B$8:$B$68,BJ$3,'Bal Mes'!$AI$8:$AI$68)*IF($B22="+",1,-1)*IF($A22=1,1,0)</f>
        <v>0</v>
      </c>
      <c r="BK22" s="175">
        <f>SUMIF('Bal Mes'!$B$8:$B$68,BK$3,'Bal Mes'!$AI$8:$AI$68)*IF($B22="+",1,-1)*IF($A22=1,1,0)</f>
        <v>0</v>
      </c>
      <c r="BL22" s="175">
        <f>SUMIF('Bal Mes'!$B$8:$B$68,BL$3,'Bal Mes'!$AI$8:$AI$68)*IF($B22="+",1,-1)*IF($A22=1,1,0)</f>
        <v>0</v>
      </c>
      <c r="BM22" s="175">
        <f>SUMIF('Bal Mes'!$B$8:$B$68,BM$3,'Bal Mes'!$AI$8:$AI$68)*IF($B22="+",1,-1)*IF($A22=1,1,0)</f>
        <v>0</v>
      </c>
      <c r="BN22" s="175">
        <f>SUMIF('Bal Mes'!$B$8:$B$68,BN$3,'Bal Mes'!$AI$8:$AI$68)*IF($B22="+",1,-1)*IF($A22=1,1,0)</f>
        <v>0</v>
      </c>
      <c r="BO22" s="175">
        <f>SUMIF('Bal Mes'!$B$8:$B$68,BO$3,'Bal Mes'!$AI$8:$AI$68)*IF($B22="+",1,-1)*IF($A22=1,1,0)</f>
        <v>0</v>
      </c>
    </row>
    <row r="23" spans="1:68" x14ac:dyDescent="0.35">
      <c r="A23" s="412">
        <v>1</v>
      </c>
      <c r="B23" s="410" t="s">
        <v>619</v>
      </c>
      <c r="D23" s="400" t="s">
        <v>622</v>
      </c>
      <c r="E23" s="400"/>
      <c r="F23" s="400"/>
      <c r="G23" s="175">
        <f>'Inv Inicial'!$D$21*IF($B23="+",1,-1)*IF($A23=1,1,0)</f>
        <v>50000000</v>
      </c>
      <c r="H23" s="175">
        <v>0</v>
      </c>
      <c r="I23" s="175">
        <v>0</v>
      </c>
      <c r="J23" s="175">
        <v>0</v>
      </c>
      <c r="K23" s="175">
        <v>0</v>
      </c>
      <c r="L23" s="175">
        <v>0</v>
      </c>
      <c r="M23" s="175">
        <v>0</v>
      </c>
      <c r="N23" s="175">
        <v>0</v>
      </c>
      <c r="O23" s="175">
        <v>0</v>
      </c>
      <c r="P23" s="175">
        <v>0</v>
      </c>
      <c r="Q23" s="175">
        <v>0</v>
      </c>
      <c r="R23" s="175">
        <v>0</v>
      </c>
      <c r="S23" s="175">
        <v>0</v>
      </c>
      <c r="T23" s="175">
        <v>0</v>
      </c>
      <c r="U23" s="175">
        <v>0</v>
      </c>
      <c r="V23" s="175">
        <v>0</v>
      </c>
      <c r="W23" s="175">
        <v>0</v>
      </c>
      <c r="X23" s="175">
        <v>0</v>
      </c>
      <c r="Y23" s="175">
        <v>0</v>
      </c>
      <c r="Z23" s="175">
        <v>0</v>
      </c>
      <c r="AA23" s="175">
        <v>0</v>
      </c>
      <c r="AB23" s="175">
        <v>0</v>
      </c>
      <c r="AC23" s="175">
        <v>0</v>
      </c>
      <c r="AD23" s="175">
        <v>0</v>
      </c>
      <c r="AE23" s="175">
        <v>0</v>
      </c>
      <c r="AF23" s="175">
        <v>0</v>
      </c>
      <c r="AG23" s="175">
        <v>0</v>
      </c>
      <c r="AH23" s="175">
        <v>0</v>
      </c>
      <c r="AI23" s="175">
        <v>0</v>
      </c>
      <c r="AJ23" s="175">
        <v>0</v>
      </c>
      <c r="AK23" s="175">
        <v>0</v>
      </c>
      <c r="AL23" s="175">
        <v>0</v>
      </c>
      <c r="AM23" s="175">
        <v>0</v>
      </c>
      <c r="AN23" s="175">
        <v>0</v>
      </c>
      <c r="AO23" s="175">
        <v>0</v>
      </c>
      <c r="AP23" s="175">
        <v>0</v>
      </c>
      <c r="AQ23" s="175">
        <v>0</v>
      </c>
      <c r="AR23" s="175">
        <v>0</v>
      </c>
      <c r="AS23" s="175">
        <v>0</v>
      </c>
      <c r="AT23" s="175">
        <v>0</v>
      </c>
      <c r="AU23" s="175">
        <v>0</v>
      </c>
      <c r="AV23" s="175">
        <v>0</v>
      </c>
      <c r="AW23" s="175">
        <v>0</v>
      </c>
      <c r="AX23" s="175">
        <v>0</v>
      </c>
      <c r="AY23" s="175">
        <v>0</v>
      </c>
      <c r="AZ23" s="175">
        <v>0</v>
      </c>
      <c r="BA23" s="175">
        <v>0</v>
      </c>
      <c r="BB23" s="175">
        <v>0</v>
      </c>
      <c r="BC23" s="175">
        <v>0</v>
      </c>
      <c r="BD23" s="175">
        <v>0</v>
      </c>
      <c r="BE23" s="175">
        <v>0</v>
      </c>
      <c r="BF23" s="175">
        <v>0</v>
      </c>
      <c r="BG23" s="175">
        <v>0</v>
      </c>
      <c r="BH23" s="175">
        <v>0</v>
      </c>
      <c r="BI23" s="175">
        <v>0</v>
      </c>
      <c r="BJ23" s="175">
        <v>0</v>
      </c>
      <c r="BK23" s="175">
        <v>0</v>
      </c>
      <c r="BL23" s="175">
        <v>0</v>
      </c>
      <c r="BM23" s="175">
        <v>0</v>
      </c>
      <c r="BN23" s="175">
        <v>0</v>
      </c>
      <c r="BO23" s="175">
        <v>0</v>
      </c>
    </row>
    <row r="24" spans="1:68" x14ac:dyDescent="0.35">
      <c r="D24" s="406" t="s">
        <v>399</v>
      </c>
      <c r="E24" s="406"/>
      <c r="F24" s="406"/>
      <c r="G24" s="399">
        <f>SUM(G18:G22)-G23</f>
        <v>-50000000</v>
      </c>
      <c r="H24" s="399">
        <f t="shared" ref="H24:BO24" si="98">SUM(H18:H22)-H23</f>
        <v>-89407944.079900026</v>
      </c>
      <c r="I24" s="399">
        <f t="shared" si="98"/>
        <v>10374202.920099974</v>
      </c>
      <c r="J24" s="399">
        <f t="shared" si="98"/>
        <v>12394113.920099974</v>
      </c>
      <c r="K24" s="399">
        <f t="shared" si="98"/>
        <v>2394312.9200999737</v>
      </c>
      <c r="L24" s="399">
        <f t="shared" si="98"/>
        <v>440200.92009997368</v>
      </c>
      <c r="M24" s="399">
        <f t="shared" si="98"/>
        <v>5638302.9200999737</v>
      </c>
      <c r="N24" s="399">
        <f t="shared" si="98"/>
        <v>12511224.920099974</v>
      </c>
      <c r="O24" s="399">
        <f t="shared" si="98"/>
        <v>10519770.920099974</v>
      </c>
      <c r="P24" s="399">
        <f t="shared" si="98"/>
        <v>568048.92009997368</v>
      </c>
      <c r="Q24" s="399">
        <f t="shared" si="98"/>
        <v>588297.92009997368</v>
      </c>
      <c r="R24" s="399">
        <f t="shared" si="98"/>
        <v>638957.92009997368</v>
      </c>
      <c r="S24" s="399">
        <f t="shared" si="98"/>
        <v>29839443.920099974</v>
      </c>
      <c r="T24" s="399">
        <f t="shared" si="98"/>
        <v>18989513.272399962</v>
      </c>
      <c r="U24" s="399">
        <f t="shared" si="98"/>
        <v>8149566.2723999619</v>
      </c>
      <c r="V24" s="399">
        <f t="shared" si="98"/>
        <v>10213282.272399962</v>
      </c>
      <c r="W24" s="399">
        <f t="shared" si="98"/>
        <v>9445220.2723999619</v>
      </c>
      <c r="X24" s="399">
        <f t="shared" si="98"/>
        <v>10356088.272399962</v>
      </c>
      <c r="Y24" s="399">
        <f t="shared" si="98"/>
        <v>7447348.2723999619</v>
      </c>
      <c r="Z24" s="399">
        <f t="shared" si="98"/>
        <v>2394822.2723999619</v>
      </c>
      <c r="AA24" s="399">
        <f t="shared" si="98"/>
        <v>12505732.272399962</v>
      </c>
      <c r="AB24" s="399">
        <f t="shared" si="98"/>
        <v>1512987.2723999619</v>
      </c>
      <c r="AC24" s="399">
        <f t="shared" si="98"/>
        <v>12660645.272399962</v>
      </c>
      <c r="AD24" s="399">
        <f t="shared" si="98"/>
        <v>4667317.2723999619</v>
      </c>
      <c r="AE24" s="399">
        <f t="shared" si="98"/>
        <v>69674061.272399962</v>
      </c>
      <c r="AF24" s="399">
        <f t="shared" si="98"/>
        <v>-64581534.207749993</v>
      </c>
      <c r="AG24" s="399">
        <f t="shared" si="98"/>
        <v>56173372.792250007</v>
      </c>
      <c r="AH24" s="399">
        <f t="shared" si="98"/>
        <v>-40224718.207749993</v>
      </c>
      <c r="AI24" s="399">
        <f t="shared" si="98"/>
        <v>57205791.792250007</v>
      </c>
      <c r="AJ24" s="399">
        <f t="shared" si="98"/>
        <v>-41098267.207749993</v>
      </c>
      <c r="AK24" s="399">
        <f t="shared" si="98"/>
        <v>61941440.792250007</v>
      </c>
      <c r="AL24" s="399">
        <f t="shared" si="98"/>
        <v>-51033457.207749993</v>
      </c>
      <c r="AM24" s="399">
        <f t="shared" si="98"/>
        <v>67577744.792250007</v>
      </c>
      <c r="AN24" s="399">
        <f t="shared" si="98"/>
        <v>-50909811.207749993</v>
      </c>
      <c r="AO24" s="399">
        <f t="shared" si="98"/>
        <v>67710013.792250007</v>
      </c>
      <c r="AP24" s="399">
        <f t="shared" si="98"/>
        <v>-48766233.207749993</v>
      </c>
      <c r="AQ24" s="399">
        <f t="shared" si="98"/>
        <v>92440216.792250007</v>
      </c>
      <c r="AR24" s="399">
        <f t="shared" si="98"/>
        <v>-86218360.974400043</v>
      </c>
      <c r="AS24" s="399">
        <f t="shared" si="98"/>
        <v>87960897.025599957</v>
      </c>
      <c r="AT24" s="399">
        <f t="shared" si="98"/>
        <v>-59624082.974400043</v>
      </c>
      <c r="AU24" s="399">
        <f t="shared" si="98"/>
        <v>88628576.025599957</v>
      </c>
      <c r="AV24" s="399">
        <f t="shared" si="98"/>
        <v>-62555175.974400043</v>
      </c>
      <c r="AW24" s="399">
        <f t="shared" si="98"/>
        <v>97005854.025599957</v>
      </c>
      <c r="AX24" s="399">
        <f t="shared" si="98"/>
        <v>-76568425.974400043</v>
      </c>
      <c r="AY24" s="399">
        <f t="shared" si="98"/>
        <v>105241576.02559996</v>
      </c>
      <c r="AZ24" s="399">
        <f t="shared" si="98"/>
        <v>-75475175.974400043</v>
      </c>
      <c r="BA24" s="399">
        <f t="shared" si="98"/>
        <v>103327076.02559996</v>
      </c>
      <c r="BB24" s="399">
        <f t="shared" si="98"/>
        <v>-63373174.974400043</v>
      </c>
      <c r="BC24" s="399">
        <f t="shared" si="98"/>
        <v>146627604.02559996</v>
      </c>
      <c r="BD24" s="399">
        <f t="shared" si="98"/>
        <v>-130291632.4867</v>
      </c>
      <c r="BE24" s="399">
        <f t="shared" si="98"/>
        <v>138542947.5133</v>
      </c>
      <c r="BF24" s="399">
        <f t="shared" si="98"/>
        <v>-98366804.486699998</v>
      </c>
      <c r="BG24" s="399">
        <f t="shared" si="98"/>
        <v>118522447.5133</v>
      </c>
      <c r="BH24" s="399">
        <f t="shared" si="98"/>
        <v>-85281844.486699998</v>
      </c>
      <c r="BI24" s="399">
        <f t="shared" si="98"/>
        <v>112566066.5133</v>
      </c>
      <c r="BJ24" s="399">
        <f t="shared" si="98"/>
        <v>-83262267.486699998</v>
      </c>
      <c r="BK24" s="399">
        <f t="shared" si="98"/>
        <v>101576447.5133</v>
      </c>
      <c r="BL24" s="399">
        <f t="shared" si="98"/>
        <v>-59068409.486699998</v>
      </c>
      <c r="BM24" s="399">
        <f t="shared" si="98"/>
        <v>77575447.513300002</v>
      </c>
      <c r="BN24" s="399">
        <f t="shared" si="98"/>
        <v>-34883014.486699998</v>
      </c>
      <c r="BO24" s="399">
        <f t="shared" si="98"/>
        <v>56620066.513300002</v>
      </c>
      <c r="BP24" s="349"/>
    </row>
    <row r="27" spans="1:68" x14ac:dyDescent="0.35">
      <c r="D27" s="1" t="s">
        <v>189</v>
      </c>
      <c r="E27" s="120">
        <f>IRR(G24:BO24)</f>
        <v>6.2062371095210622E-2</v>
      </c>
      <c r="F27" s="1" t="s">
        <v>802</v>
      </c>
    </row>
    <row r="28" spans="1:68" x14ac:dyDescent="0.35">
      <c r="D28" s="1" t="s">
        <v>804</v>
      </c>
      <c r="E28" s="509">
        <f>NPV(E27,$G$24:$BO$24)</f>
        <v>-1.3109656145847225E-7</v>
      </c>
      <c r="F28" s="1" t="s">
        <v>805</v>
      </c>
    </row>
    <row r="29" spans="1:68" x14ac:dyDescent="0.35">
      <c r="D29" s="1" t="s">
        <v>796</v>
      </c>
      <c r="E29" s="185">
        <f>Variables!$F$84</f>
        <v>1.1588170255059316E-2</v>
      </c>
      <c r="F29" s="1" t="str">
        <f>Variables!$C$84</f>
        <v>General</v>
      </c>
    </row>
    <row r="30" spans="1:68" x14ac:dyDescent="0.35">
      <c r="D30" s="1" t="s">
        <v>803</v>
      </c>
      <c r="E30" s="509">
        <f>NPV(E29,$G$24:$BO$24)</f>
        <v>316862495.30319488</v>
      </c>
      <c r="F30" s="411"/>
    </row>
    <row r="31" spans="1:68" x14ac:dyDescent="0.35">
      <c r="D31" s="1" t="s">
        <v>796</v>
      </c>
      <c r="E31" s="185">
        <f>Variables!$F$85</f>
        <v>1.6051907602091076E-2</v>
      </c>
      <c r="F31" s="1" t="str">
        <f>Variables!$C$85</f>
        <v>Ajustado Colombia</v>
      </c>
      <c r="BG31" t="s">
        <v>77</v>
      </c>
    </row>
    <row r="32" spans="1:68" x14ac:dyDescent="0.35">
      <c r="D32" s="1" t="s">
        <v>803</v>
      </c>
      <c r="E32" s="509">
        <f>NPV(E31,$G$24:$BO$24)</f>
        <v>257090711.55200407</v>
      </c>
      <c r="F32" s="411"/>
    </row>
  </sheetData>
  <conditionalFormatting sqref="A6:A7 A9:A10 A12 A14 A16:A17 A19:A23">
    <cfRule type="expression" priority="16" stopIfTrue="1">
      <formula>A6&lt;&gt;#REF!</formula>
    </cfRule>
  </conditionalFormatting>
  <dataValidations disablePrompts="1" count="2">
    <dataValidation type="list" allowBlank="1" showInputMessage="1" showErrorMessage="1" sqref="B14 B16:B17 B6:B7 B9:B10 B12 B19:B23">
      <formula1>SIGNO</formula1>
    </dataValidation>
    <dataValidation type="list" allowBlank="1" showInputMessage="1" showErrorMessage="1" sqref="A6:A7 A9:A10 A12 A14 A16:A17 A19:A23">
      <formula1>SIONO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M33"/>
  <sheetViews>
    <sheetView showGridLines="0" workbookViewId="0">
      <pane xSplit="5" ySplit="6" topLeftCell="F12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2" x14ac:dyDescent="0.35"/>
  <cols>
    <col min="1" max="1" width="4.26953125" customWidth="1"/>
    <col min="2" max="2" width="4.6328125" customWidth="1"/>
    <col min="3" max="3" width="2.81640625" bestFit="1" customWidth="1"/>
    <col min="4" max="4" width="9.453125" customWidth="1"/>
    <col min="5" max="5" width="15.6328125" customWidth="1"/>
    <col min="6" max="6" width="17.36328125" customWidth="1"/>
    <col min="7" max="7" width="11.54296875" customWidth="1"/>
    <col min="8" max="9" width="13.6328125" customWidth="1"/>
    <col min="10" max="10" width="13.6328125" customWidth="1" outlineLevel="1"/>
    <col min="11" max="11" width="13.6328125" customWidth="1" outlineLevel="2"/>
    <col min="12" max="12" width="13.6328125" customWidth="1"/>
    <col min="13" max="13" width="12.81640625" bestFit="1" customWidth="1"/>
  </cols>
  <sheetData>
    <row r="1" spans="1:13" x14ac:dyDescent="0.35">
      <c r="D1" s="172"/>
      <c r="E1" s="172"/>
      <c r="F1" s="172"/>
    </row>
    <row r="2" spans="1:13" x14ac:dyDescent="0.35">
      <c r="D2" s="172"/>
      <c r="E2" s="172"/>
      <c r="F2" s="172"/>
      <c r="G2" s="398">
        <v>0</v>
      </c>
      <c r="H2" s="398">
        <v>12</v>
      </c>
      <c r="I2" s="398">
        <v>24</v>
      </c>
      <c r="J2" s="398">
        <v>36</v>
      </c>
      <c r="K2" s="398">
        <v>48</v>
      </c>
      <c r="L2" s="398">
        <v>60</v>
      </c>
    </row>
    <row r="3" spans="1:13" ht="15" thickBot="1" x14ac:dyDescent="0.4">
      <c r="D3" s="172"/>
      <c r="E3" s="172"/>
      <c r="F3" s="172"/>
      <c r="G3" s="398"/>
      <c r="H3" s="398"/>
      <c r="I3" s="398"/>
      <c r="J3" s="398"/>
      <c r="K3" s="398"/>
      <c r="L3" s="398"/>
    </row>
    <row r="4" spans="1:13" ht="19" thickBot="1" x14ac:dyDescent="0.5">
      <c r="D4" s="937" t="s">
        <v>852</v>
      </c>
      <c r="E4" s="938"/>
      <c r="F4" s="938"/>
      <c r="G4" s="938"/>
      <c r="H4" s="938"/>
      <c r="I4" s="938"/>
      <c r="J4" s="938"/>
      <c r="K4" s="938"/>
      <c r="L4" s="939"/>
    </row>
    <row r="5" spans="1:13" ht="15" thickBot="1" x14ac:dyDescent="0.4">
      <c r="D5" s="172"/>
      <c r="E5" s="172"/>
      <c r="F5" s="172"/>
      <c r="G5" s="398"/>
      <c r="H5" s="398"/>
      <c r="I5" s="398"/>
      <c r="J5" s="398"/>
      <c r="K5" s="398"/>
      <c r="L5" s="398"/>
    </row>
    <row r="6" spans="1:13" x14ac:dyDescent="0.35">
      <c r="D6" s="1128" t="s">
        <v>57</v>
      </c>
      <c r="E6" s="1128"/>
      <c r="F6" s="1128"/>
      <c r="G6" s="1129">
        <v>2014</v>
      </c>
      <c r="H6" s="1129">
        <v>2015</v>
      </c>
      <c r="I6" s="1129">
        <v>2016</v>
      </c>
      <c r="J6" s="1129">
        <v>2017</v>
      </c>
      <c r="K6" s="1129">
        <v>2018</v>
      </c>
      <c r="L6" s="1129">
        <v>2019</v>
      </c>
    </row>
    <row r="7" spans="1:13" x14ac:dyDescent="0.35">
      <c r="A7" s="412">
        <v>1</v>
      </c>
      <c r="B7" s="410" t="s">
        <v>619</v>
      </c>
      <c r="C7">
        <v>3</v>
      </c>
      <c r="D7" s="734" t="s">
        <v>516</v>
      </c>
      <c r="E7" s="734"/>
      <c r="F7" s="734"/>
      <c r="G7" s="511">
        <f>SUMIF('Flujo-Mes'!$G$1:$BO$1,G$6,'Flujo-Mes'!$G6:$BO6)</f>
        <v>0</v>
      </c>
      <c r="H7" s="511">
        <f>SUMIF('Flujo-Mes'!$G$1:$BO$1,H$6,'Flujo-Mes'!$G6:$BO6)</f>
        <v>1253796000</v>
      </c>
      <c r="I7" s="511">
        <f>SUMIF('Flujo-Mes'!$G$1:$BO$1,I$6,'Flujo-Mes'!$G6:$BO6)</f>
        <v>1432716000</v>
      </c>
      <c r="J7" s="511">
        <f>SUMIF('Flujo-Mes'!$G$1:$BO$1,J$6,'Flujo-Mes'!$G6:$BO6)</f>
        <v>1640616000</v>
      </c>
      <c r="K7" s="511">
        <f>SUMIF('Flujo-Mes'!$G$1:$BO$1,K$6,'Flujo-Mes'!$G6:$BO6)</f>
        <v>1880088000</v>
      </c>
      <c r="L7" s="511">
        <f>SUMIF('Flujo-Mes'!$G$1:$BO$1,L$6,'Flujo-Mes'!$G6:$BO6)</f>
        <v>2054736000</v>
      </c>
    </row>
    <row r="8" spans="1:13" x14ac:dyDescent="0.35">
      <c r="A8" s="412">
        <v>1</v>
      </c>
      <c r="B8" s="410" t="s">
        <v>619</v>
      </c>
      <c r="C8">
        <v>8</v>
      </c>
      <c r="D8" s="734" t="s">
        <v>252</v>
      </c>
      <c r="E8" s="734"/>
      <c r="F8" s="734"/>
      <c r="G8" s="511">
        <f>SUMIF('Flujo-Mes'!$G$1:$BO$1,G$6,'Flujo-Mes'!$G7:$BO7)</f>
        <v>0</v>
      </c>
      <c r="H8" s="511">
        <f>SUMIF('Flujo-Mes'!$G$1:$BO$1,H$6,'Flujo-Mes'!$G7:$BO7)</f>
        <v>-1214060184.4794002</v>
      </c>
      <c r="I8" s="511">
        <f>SUMIF('Flujo-Mes'!$G$1:$BO$1,I$6,'Flujo-Mes'!$G7:$BO7)</f>
        <v>-1367950330.3656003</v>
      </c>
      <c r="J8" s="511">
        <f>SUMIF('Flujo-Mes'!$G$1:$BO$1,J$6,'Flujo-Mes'!$G7:$BO7)</f>
        <v>-1569192337.2464998</v>
      </c>
      <c r="K8" s="511">
        <f>SUMIF('Flujo-Mes'!$G$1:$BO$1,K$6,'Flujo-Mes'!$G7:$BO7)</f>
        <v>-1788274471.8464003</v>
      </c>
      <c r="L8" s="511">
        <f>SUMIF('Flujo-Mes'!$G$1:$BO$1,L$6,'Flujo-Mes'!$G7:$BO7)</f>
        <v>-1959891675.9202001</v>
      </c>
    </row>
    <row r="9" spans="1:13" x14ac:dyDescent="0.35">
      <c r="D9" s="1125" t="s">
        <v>518</v>
      </c>
      <c r="E9" s="1125"/>
      <c r="F9" s="1125"/>
      <c r="G9" s="648">
        <f t="shared" ref="G9:L9" si="0">SUM(G7:G8)</f>
        <v>0</v>
      </c>
      <c r="H9" s="648">
        <f t="shared" si="0"/>
        <v>39735815.520599842</v>
      </c>
      <c r="I9" s="648">
        <f t="shared" si="0"/>
        <v>64765669.634399652</v>
      </c>
      <c r="J9" s="648">
        <f t="shared" si="0"/>
        <v>71423662.753500223</v>
      </c>
      <c r="K9" s="648">
        <f t="shared" si="0"/>
        <v>91813528.153599739</v>
      </c>
      <c r="L9" s="648">
        <f t="shared" si="0"/>
        <v>94844324.079799891</v>
      </c>
      <c r="M9" s="349">
        <f>SUM(G9:L9)</f>
        <v>362583000.14189935</v>
      </c>
    </row>
    <row r="10" spans="1:13" x14ac:dyDescent="0.35">
      <c r="A10" s="412">
        <v>1</v>
      </c>
      <c r="B10" s="410" t="s">
        <v>619</v>
      </c>
      <c r="C10">
        <v>11</v>
      </c>
      <c r="D10" s="734" t="s">
        <v>592</v>
      </c>
      <c r="E10" s="734"/>
      <c r="F10" s="734"/>
      <c r="G10" s="511">
        <f>SUMIF('Flujo-Mes'!$G$1:$BO$1,G$6,'Flujo-Mes'!$G9:$BO9)</f>
        <v>0</v>
      </c>
      <c r="H10" s="511">
        <f>SUMIF('Flujo-Mes'!$G$1:$BO$1,H$6,'Flujo-Mes'!$G9:$BO9)</f>
        <v>1095400</v>
      </c>
      <c r="I10" s="511">
        <f>SUMIF('Flujo-Mes'!$G$1:$BO$1,I$6,'Flujo-Mes'!$G9:$BO9)</f>
        <v>153707</v>
      </c>
      <c r="J10" s="511">
        <f>SUMIF('Flujo-Mes'!$G$1:$BO$1,J$6,'Flujo-Mes'!$G9:$BO9)</f>
        <v>0</v>
      </c>
      <c r="K10" s="511">
        <f>SUMIF('Flujo-Mes'!$G$1:$BO$1,K$6,'Flujo-Mes'!$G9:$BO9)</f>
        <v>0</v>
      </c>
      <c r="L10" s="511">
        <f>SUMIF('Flujo-Mes'!$G$1:$BO$1,L$6,'Flujo-Mes'!$G9:$BO9)</f>
        <v>0</v>
      </c>
    </row>
    <row r="11" spans="1:13" x14ac:dyDescent="0.35">
      <c r="A11" s="412">
        <v>1</v>
      </c>
      <c r="B11" s="410" t="s">
        <v>619</v>
      </c>
      <c r="C11">
        <v>12</v>
      </c>
      <c r="D11" s="734" t="s">
        <v>593</v>
      </c>
      <c r="E11" s="734"/>
      <c r="F11" s="734"/>
      <c r="G11" s="511">
        <f>SUMIF('Flujo-Mes'!$G$1:$BO$1,G$6,'Flujo-Mes'!$G10:$BO10)</f>
        <v>0</v>
      </c>
      <c r="H11" s="511">
        <f>SUMIF('Flujo-Mes'!$G$1:$BO$1,H$6,'Flujo-Mes'!$G10:$BO10)</f>
        <v>0</v>
      </c>
      <c r="I11" s="511">
        <f>SUMIF('Flujo-Mes'!$G$1:$BO$1,I$6,'Flujo-Mes'!$G10:$BO10)</f>
        <v>0</v>
      </c>
      <c r="J11" s="511">
        <f>SUMIF('Flujo-Mes'!$G$1:$BO$1,J$6,'Flujo-Mes'!$G10:$BO10)</f>
        <v>0</v>
      </c>
      <c r="K11" s="511">
        <f>SUMIF('Flujo-Mes'!$G$1:$BO$1,K$6,'Flujo-Mes'!$G10:$BO10)</f>
        <v>0</v>
      </c>
      <c r="L11" s="511">
        <f>SUMIF('Flujo-Mes'!$G$1:$BO$1,L$6,'Flujo-Mes'!$G10:$BO10)</f>
        <v>0</v>
      </c>
    </row>
    <row r="12" spans="1:13" x14ac:dyDescent="0.35">
      <c r="C12">
        <v>13</v>
      </c>
      <c r="D12" s="1125" t="s">
        <v>594</v>
      </c>
      <c r="E12" s="1125"/>
      <c r="F12" s="1125"/>
      <c r="G12" s="648">
        <f t="shared" ref="G12:L12" si="1">SUM(G9:G11)</f>
        <v>0</v>
      </c>
      <c r="H12" s="648">
        <f t="shared" si="1"/>
        <v>40831215.520599842</v>
      </c>
      <c r="I12" s="648">
        <f t="shared" si="1"/>
        <v>64919376.634399652</v>
      </c>
      <c r="J12" s="648">
        <f t="shared" si="1"/>
        <v>71423662.753500223</v>
      </c>
      <c r="K12" s="648">
        <f t="shared" si="1"/>
        <v>91813528.153599739</v>
      </c>
      <c r="L12" s="648">
        <f t="shared" si="1"/>
        <v>94844324.079799891</v>
      </c>
      <c r="M12" s="349">
        <f>SUM(G12:L12)</f>
        <v>363832107.14189935</v>
      </c>
    </row>
    <row r="13" spans="1:13" x14ac:dyDescent="0.35">
      <c r="A13" s="412">
        <v>1</v>
      </c>
      <c r="B13" s="410" t="s">
        <v>619</v>
      </c>
      <c r="C13">
        <v>14</v>
      </c>
      <c r="D13" s="734" t="s">
        <v>187</v>
      </c>
      <c r="E13" s="734"/>
      <c r="F13" s="734"/>
      <c r="G13" s="511">
        <f>SUMIF('Flujo-Mes'!$G$1:$BO$1,G$6,'Flujo-Mes'!$G12:$BO12)</f>
        <v>0</v>
      </c>
      <c r="H13" s="511">
        <f>SUMIF('Flujo-Mes'!$G$1:$BO$1,H$6,'Flujo-Mes'!$G12:$BO12)</f>
        <v>-21777569</v>
      </c>
      <c r="I13" s="511">
        <f>SUMIF('Flujo-Mes'!$G$1:$BO$1,I$6,'Flujo-Mes'!$G12:$BO12)</f>
        <v>-17895649</v>
      </c>
      <c r="J13" s="511">
        <f>SUMIF('Flujo-Mes'!$G$1:$BO$1,J$6,'Flujo-Mes'!$G12:$BO12)</f>
        <v>-13309243</v>
      </c>
      <c r="K13" s="511">
        <f>SUMIF('Flujo-Mes'!$G$1:$BO$1,K$6,'Flujo-Mes'!$G12:$BO12)</f>
        <v>-7763060</v>
      </c>
      <c r="L13" s="511">
        <f>SUMIF('Flujo-Mes'!$G$1:$BO$1,L$6,'Flujo-Mes'!$G12:$BO12)</f>
        <v>-6549580</v>
      </c>
    </row>
    <row r="14" spans="1:13" x14ac:dyDescent="0.35">
      <c r="C14">
        <v>15</v>
      </c>
      <c r="D14" s="1125" t="s">
        <v>594</v>
      </c>
      <c r="E14" s="1125"/>
      <c r="F14" s="1125"/>
      <c r="G14" s="648">
        <f t="shared" ref="G14:L14" si="2">SUM(G12:G13)</f>
        <v>0</v>
      </c>
      <c r="H14" s="648">
        <f t="shared" si="2"/>
        <v>19053646.520599842</v>
      </c>
      <c r="I14" s="648">
        <f t="shared" si="2"/>
        <v>47023727.634399652</v>
      </c>
      <c r="J14" s="648">
        <f t="shared" si="2"/>
        <v>58114419.753500223</v>
      </c>
      <c r="K14" s="648">
        <f t="shared" si="2"/>
        <v>84050468.153599739</v>
      </c>
      <c r="L14" s="648">
        <f t="shared" si="2"/>
        <v>88294744.079799891</v>
      </c>
      <c r="M14" s="349">
        <f>SUM(G14:L14)</f>
        <v>296537006.14189935</v>
      </c>
    </row>
    <row r="15" spans="1:13" x14ac:dyDescent="0.35">
      <c r="A15" s="412">
        <v>1</v>
      </c>
      <c r="B15" s="410" t="s">
        <v>619</v>
      </c>
      <c r="C15">
        <v>16</v>
      </c>
      <c r="D15" s="734" t="s">
        <v>595</v>
      </c>
      <c r="E15" s="734"/>
      <c r="F15" s="734"/>
      <c r="G15" s="511">
        <f>SUMIF('Flujo-Mes'!$G$1:$BO$1,G$6,'Flujo-Mes'!$G14:$BO14)</f>
        <v>0</v>
      </c>
      <c r="H15" s="511">
        <f>SUMIF('Flujo-Mes'!$G$1:$BO$1,H$6,'Flujo-Mes'!$G14:$BO14)</f>
        <v>-1715000</v>
      </c>
      <c r="I15" s="511">
        <f>SUMIF('Flujo-Mes'!$G$1:$BO$1,I$6,'Flujo-Mes'!$G14:$BO14)</f>
        <v>-4233000</v>
      </c>
      <c r="J15" s="511">
        <f>SUMIF('Flujo-Mes'!$G$1:$BO$1,J$6,'Flujo-Mes'!$G14:$BO14)</f>
        <v>-8864000</v>
      </c>
      <c r="K15" s="511">
        <f>SUMIF('Flujo-Mes'!$G$1:$BO$1,K$6,'Flujo-Mes'!$G14:$BO14)</f>
        <v>-18072000</v>
      </c>
      <c r="L15" s="511">
        <f>SUMIF('Flujo-Mes'!$G$1:$BO$1,L$6,'Flujo-Mes'!$G14:$BO14)</f>
        <v>-24503000</v>
      </c>
    </row>
    <row r="16" spans="1:13" x14ac:dyDescent="0.35">
      <c r="C16">
        <v>17</v>
      </c>
      <c r="D16" s="1125" t="s">
        <v>596</v>
      </c>
      <c r="E16" s="1125"/>
      <c r="F16" s="1125"/>
      <c r="G16" s="648">
        <f t="shared" ref="G16:L16" si="3">SUM(G14:G15)</f>
        <v>0</v>
      </c>
      <c r="H16" s="648">
        <f t="shared" si="3"/>
        <v>17338646.520599842</v>
      </c>
      <c r="I16" s="648">
        <f t="shared" si="3"/>
        <v>42790727.634399652</v>
      </c>
      <c r="J16" s="648">
        <f t="shared" si="3"/>
        <v>49250419.753500223</v>
      </c>
      <c r="K16" s="648">
        <f t="shared" si="3"/>
        <v>65978468.153599739</v>
      </c>
      <c r="L16" s="648">
        <f t="shared" si="3"/>
        <v>63791744.079799891</v>
      </c>
      <c r="M16" s="349">
        <f>SUM(G16:L16)</f>
        <v>239150006.14189935</v>
      </c>
    </row>
    <row r="17" spans="1:13" x14ac:dyDescent="0.35">
      <c r="A17" s="412">
        <v>1</v>
      </c>
      <c r="B17" s="410" t="s">
        <v>620</v>
      </c>
      <c r="D17" s="1130" t="s">
        <v>591</v>
      </c>
      <c r="E17" s="1130" t="s">
        <v>601</v>
      </c>
      <c r="F17" s="1130"/>
      <c r="G17" s="511">
        <f>SUMIF('Flujo-Mes'!$G$1:$BO$1,G$6,'Flujo-Mes'!$G16:$BO16)</f>
        <v>0</v>
      </c>
      <c r="H17" s="511">
        <f>SUMIF('Flujo-Mes'!$G$1:$BO$1,H$6,'Flujo-Mes'!$G16:$BO16)</f>
        <v>40241652</v>
      </c>
      <c r="I17" s="511">
        <f>SUMIF('Flujo-Mes'!$G$1:$BO$1,I$6,'Flujo-Mes'!$G16:$BO16)</f>
        <v>31841664</v>
      </c>
      <c r="J17" s="511">
        <f>SUMIF('Flujo-Mes'!$G$1:$BO$1,J$6,'Flujo-Mes'!$G16:$BO16)</f>
        <v>35496840</v>
      </c>
      <c r="K17" s="511">
        <f>SUMIF('Flujo-Mes'!$G$1:$BO$1,K$6,'Flujo-Mes'!$G16:$BO16)</f>
        <v>32136170</v>
      </c>
      <c r="L17" s="511">
        <f>SUMIF('Flujo-Mes'!$G$1:$BO$1,L$6,'Flujo-Mes'!$G16:$BO16)</f>
        <v>39330835</v>
      </c>
    </row>
    <row r="18" spans="1:13" x14ac:dyDescent="0.35">
      <c r="A18" s="412">
        <v>1</v>
      </c>
      <c r="B18" s="410" t="s">
        <v>620</v>
      </c>
      <c r="D18" s="1130"/>
      <c r="E18" s="1130" t="s">
        <v>187</v>
      </c>
      <c r="F18" s="1130"/>
      <c r="G18" s="511">
        <f>SUMIF('Flujo-Mes'!$G$1:$BO$1,G$6,'Flujo-Mes'!$G17:$BO17)</f>
        <v>0</v>
      </c>
      <c r="H18" s="511">
        <f>SUMIF('Flujo-Mes'!$G$1:$BO$1,H$6,'Flujo-Mes'!$G17:$BO17)</f>
        <v>21777569</v>
      </c>
      <c r="I18" s="511">
        <f>SUMIF('Flujo-Mes'!$G$1:$BO$1,I$6,'Flujo-Mes'!$G17:$BO17)</f>
        <v>17895649</v>
      </c>
      <c r="J18" s="511">
        <f>SUMIF('Flujo-Mes'!$G$1:$BO$1,J$6,'Flujo-Mes'!$G17:$BO17)</f>
        <v>13309243</v>
      </c>
      <c r="K18" s="511">
        <f>SUMIF('Flujo-Mes'!$G$1:$BO$1,K$6,'Flujo-Mes'!$G17:$BO17)</f>
        <v>7763060</v>
      </c>
      <c r="L18" s="511">
        <f>SUMIF('Flujo-Mes'!$G$1:$BO$1,L$6,'Flujo-Mes'!$G17:$BO17)</f>
        <v>6549580</v>
      </c>
    </row>
    <row r="19" spans="1:13" x14ac:dyDescent="0.35">
      <c r="D19" s="1125" t="s">
        <v>612</v>
      </c>
      <c r="E19" s="1125"/>
      <c r="F19" s="1125"/>
      <c r="G19" s="648">
        <f t="shared" ref="G19:L19" si="4">SUM(G16:G18)</f>
        <v>0</v>
      </c>
      <c r="H19" s="648">
        <f t="shared" si="4"/>
        <v>79357867.520599842</v>
      </c>
      <c r="I19" s="648">
        <f t="shared" si="4"/>
        <v>92528040.634399652</v>
      </c>
      <c r="J19" s="648">
        <f t="shared" si="4"/>
        <v>98056502.753500223</v>
      </c>
      <c r="K19" s="648">
        <f t="shared" si="4"/>
        <v>105877698.15359974</v>
      </c>
      <c r="L19" s="648">
        <f t="shared" si="4"/>
        <v>109672159.07979989</v>
      </c>
      <c r="M19" s="349">
        <f>SUM(G19:L19)</f>
        <v>485492268.14189935</v>
      </c>
    </row>
    <row r="20" spans="1:13" x14ac:dyDescent="0.35">
      <c r="A20" s="412">
        <v>1</v>
      </c>
      <c r="B20" s="410" t="s">
        <v>619</v>
      </c>
      <c r="D20" s="1130" t="s">
        <v>591</v>
      </c>
      <c r="E20" s="1130" t="s">
        <v>613</v>
      </c>
      <c r="F20" s="1130"/>
      <c r="G20" s="511">
        <f>SUMIF('Flujo-Mes'!$G$1:$BO$1,G$6,'Flujo-Mes'!$G19:$BO19)</f>
        <v>0</v>
      </c>
      <c r="H20" s="511">
        <f>SUMIF('Flujo-Mes'!$G$1:$BO$1,H$6,'Flujo-Mes'!$G19:$BO19)</f>
        <v>-76158933.479400158</v>
      </c>
      <c r="I20" s="511">
        <f>SUMIF('Flujo-Mes'!$G$1:$BO$1,I$6,'Flujo-Mes'!$G19:$BO19)</f>
        <v>6080543.6343997717</v>
      </c>
      <c r="J20" s="511">
        <f>SUMIF('Flujo-Mes'!$G$1:$BO$1,J$6,'Flujo-Mes'!$G19:$BO19)</f>
        <v>-2874943.2464999557</v>
      </c>
      <c r="K20" s="511">
        <f>SUMIF('Flujo-Mes'!$G$1:$BO$1,K$6,'Flujo-Mes'!$G19:$BO19)</f>
        <v>46520488.153599739</v>
      </c>
      <c r="L20" s="511">
        <f>SUMIF('Flujo-Mes'!$G$1:$BO$1,L$6,'Flujo-Mes'!$G19:$BO19)</f>
        <v>-4207708.9201999903</v>
      </c>
      <c r="M20" s="349">
        <f t="shared" ref="M20:M22" si="5">SUM(G20:L20)</f>
        <v>-30640553.858100593</v>
      </c>
    </row>
    <row r="21" spans="1:13" x14ac:dyDescent="0.35">
      <c r="A21" s="412">
        <v>1</v>
      </c>
      <c r="B21" s="410" t="s">
        <v>619</v>
      </c>
      <c r="D21" s="1130"/>
      <c r="E21" s="1130" t="s">
        <v>614</v>
      </c>
      <c r="F21" s="1130"/>
      <c r="G21" s="511">
        <f>SUMIF('Flujo-Mes'!$G$1:$BO$1,G$6,'Flujo-Mes'!$G20:$BO20)</f>
        <v>0</v>
      </c>
      <c r="H21" s="511">
        <f>SUMIF('Flujo-Mes'!$G$1:$BO$1,H$6,'Flujo-Mes'!$G20:$BO20)</f>
        <v>0</v>
      </c>
      <c r="I21" s="511">
        <f>SUMIF('Flujo-Mes'!$G$1:$BO$1,I$6,'Flujo-Mes'!$G20:$BO20)</f>
        <v>37178000</v>
      </c>
      <c r="J21" s="511">
        <f>SUMIF('Flujo-Mes'!$G$1:$BO$1,J$6,'Flujo-Mes'!$G20:$BO20)</f>
        <v>0</v>
      </c>
      <c r="K21" s="511">
        <f>SUMIF('Flujo-Mes'!$G$1:$BO$1,K$6,'Flujo-Mes'!$G20:$BO20)</f>
        <v>35901000</v>
      </c>
      <c r="L21" s="511">
        <f>SUMIF('Flujo-Mes'!$G$1:$BO$1,L$6,'Flujo-Mes'!$G20:$BO20)</f>
        <v>0</v>
      </c>
      <c r="M21" s="349">
        <f t="shared" si="5"/>
        <v>73079000</v>
      </c>
    </row>
    <row r="22" spans="1:13" x14ac:dyDescent="0.35">
      <c r="A22" s="412">
        <v>1</v>
      </c>
      <c r="B22" s="410" t="s">
        <v>619</v>
      </c>
      <c r="D22" s="1130"/>
      <c r="E22" s="1130" t="s">
        <v>615</v>
      </c>
      <c r="F22" s="1130"/>
      <c r="G22" s="511">
        <f>SUMIF('Flujo-Mes'!$G$1:$BO$1,G$6,'Flujo-Mes'!$G21:$BO21)</f>
        <v>0</v>
      </c>
      <c r="H22" s="511">
        <f>SUMIF('Flujo-Mes'!$G$1:$BO$1,H$6,'Flujo-Mes'!$G21:$BO21)</f>
        <v>15300000</v>
      </c>
      <c r="I22" s="511">
        <f>SUMIF('Flujo-Mes'!$G$1:$BO$1,I$6,'Flujo-Mes'!$G21:$BO21)</f>
        <v>10230000</v>
      </c>
      <c r="J22" s="511">
        <f>SUMIF('Flujo-Mes'!$G$1:$BO$1,J$6,'Flujo-Mes'!$G21:$BO21)</f>
        <v>11253000</v>
      </c>
      <c r="K22" s="511">
        <f>SUMIF('Flujo-Mes'!$G$1:$BO$1,K$6,'Flujo-Mes'!$G21:$BO21)</f>
        <v>16678000</v>
      </c>
      <c r="L22" s="511">
        <f>SUMIF('Flujo-Mes'!$G$1:$BO$1,L$6,'Flujo-Mes'!$G21:$BO21)</f>
        <v>8785000</v>
      </c>
      <c r="M22" s="349">
        <f t="shared" si="5"/>
        <v>62246000</v>
      </c>
    </row>
    <row r="23" spans="1:13" x14ac:dyDescent="0.35">
      <c r="A23" s="412">
        <v>1</v>
      </c>
      <c r="B23" s="410" t="s">
        <v>620</v>
      </c>
      <c r="D23" s="1130"/>
      <c r="E23" s="1130" t="s">
        <v>623</v>
      </c>
      <c r="F23" s="1130"/>
      <c r="G23" s="511">
        <f>SUMIF('Flujo-Mes'!$G$1:$BO$1,G$6,'Flujo-Mes'!$G22:$BO22)</f>
        <v>0</v>
      </c>
      <c r="H23" s="511">
        <f>SUMIF('Flujo-Mes'!$G$1:$BO$1,H$6,'Flujo-Mes'!$G22:$BO22)</f>
        <v>-22000000</v>
      </c>
      <c r="I23" s="511">
        <f>SUMIF('Flujo-Mes'!$G$1:$BO$1,I$6,'Flujo-Mes'!$G22:$BO22)</f>
        <v>22000000</v>
      </c>
      <c r="J23" s="511">
        <f>SUMIF('Flujo-Mes'!$G$1:$BO$1,J$6,'Flujo-Mes'!$G22:$BO22)</f>
        <v>0</v>
      </c>
      <c r="K23" s="511">
        <f>SUMIF('Flujo-Mes'!$G$1:$BO$1,K$6,'Flujo-Mes'!$G22:$BO22)</f>
        <v>0</v>
      </c>
      <c r="L23" s="511">
        <f>SUMIF('Flujo-Mes'!$G$1:$BO$1,L$6,'Flujo-Mes'!$G22:$BO22)</f>
        <v>0</v>
      </c>
      <c r="M23" s="349">
        <f>SUM(G23:L23)</f>
        <v>0</v>
      </c>
    </row>
    <row r="24" spans="1:13" x14ac:dyDescent="0.35">
      <c r="A24" s="412">
        <v>1</v>
      </c>
      <c r="B24" s="410" t="s">
        <v>619</v>
      </c>
      <c r="D24" s="734" t="s">
        <v>622</v>
      </c>
      <c r="E24" s="734"/>
      <c r="F24" s="734"/>
      <c r="G24" s="511">
        <f>SUMIF('Flujo-Mes'!$G$1:$BO$1,G$6,'Flujo-Mes'!$G23:$BO23)</f>
        <v>50000000</v>
      </c>
      <c r="H24" s="511">
        <f>SUMIF('Flujo-Mes'!$G$1:$BO$1,H$6,'Flujo-Mes'!$G23:$BO23)</f>
        <v>0</v>
      </c>
      <c r="I24" s="511">
        <f>SUMIF('Flujo-Mes'!$G$1:$BO$1,I$6,'Flujo-Mes'!$G23:$BO23)</f>
        <v>0</v>
      </c>
      <c r="J24" s="511">
        <f>SUMIF('Flujo-Mes'!$G$1:$BO$1,J$6,'Flujo-Mes'!$G23:$BO23)</f>
        <v>0</v>
      </c>
      <c r="K24" s="511">
        <f>SUMIF('Flujo-Mes'!$G$1:$BO$1,K$6,'Flujo-Mes'!$G23:$BO23)</f>
        <v>0</v>
      </c>
      <c r="L24" s="511">
        <f>SUMIF('Flujo-Mes'!$G$1:$BO$1,L$6,'Flujo-Mes'!$G23:$BO23)</f>
        <v>0</v>
      </c>
      <c r="M24" s="349">
        <f>SUM(G24:L24)</f>
        <v>50000000</v>
      </c>
    </row>
    <row r="25" spans="1:13" ht="15" thickBot="1" x14ac:dyDescent="0.4">
      <c r="D25" s="1126" t="s">
        <v>399</v>
      </c>
      <c r="E25" s="1126"/>
      <c r="F25" s="1126"/>
      <c r="G25" s="1127">
        <f t="shared" ref="G25:L25" si="6">SUM(G19:G23)-G24</f>
        <v>-50000000</v>
      </c>
      <c r="H25" s="1127">
        <f t="shared" si="6"/>
        <v>-3501065.9588003159</v>
      </c>
      <c r="I25" s="1127">
        <f t="shared" si="6"/>
        <v>168016584.26879942</v>
      </c>
      <c r="J25" s="1127">
        <f t="shared" si="6"/>
        <v>106434559.50700027</v>
      </c>
      <c r="K25" s="1127">
        <f t="shared" si="6"/>
        <v>204977186.30719948</v>
      </c>
      <c r="L25" s="1127">
        <f t="shared" si="6"/>
        <v>114249450.1595999</v>
      </c>
      <c r="M25" s="349">
        <f>SUM(G25:L25)</f>
        <v>540176714.28379869</v>
      </c>
    </row>
    <row r="28" spans="1:13" x14ac:dyDescent="0.35">
      <c r="D28" s="1" t="s">
        <v>189</v>
      </c>
      <c r="E28" s="120">
        <f>((1+IRR(G25:L25))^(1/12))-1</f>
        <v>7.055231083181468E-2</v>
      </c>
      <c r="F28" s="1" t="s">
        <v>802</v>
      </c>
    </row>
    <row r="29" spans="1:13" x14ac:dyDescent="0.35">
      <c r="D29" s="1" t="s">
        <v>804</v>
      </c>
      <c r="E29" s="509">
        <f>NPV(((1+E28)^12)-1,$G$25:$L$25)</f>
        <v>-4.8904899683822944E-8</v>
      </c>
      <c r="F29" s="1" t="s">
        <v>805</v>
      </c>
      <c r="G29" s="374"/>
    </row>
    <row r="30" spans="1:13" x14ac:dyDescent="0.35">
      <c r="D30" s="1" t="s">
        <v>796</v>
      </c>
      <c r="E30" s="185">
        <f>Variables!$E$84</f>
        <v>0.14827234010808299</v>
      </c>
      <c r="F30" s="1" t="str">
        <f>Variables!$C$84</f>
        <v>General</v>
      </c>
    </row>
    <row r="31" spans="1:13" x14ac:dyDescent="0.35">
      <c r="D31" s="1" t="s">
        <v>803</v>
      </c>
      <c r="E31" s="509">
        <f>NPV(E30,$G$25:$L$25)</f>
        <v>278515060.27379513</v>
      </c>
      <c r="F31" s="411"/>
    </row>
    <row r="32" spans="1:13" x14ac:dyDescent="0.35">
      <c r="D32" s="1" t="s">
        <v>796</v>
      </c>
      <c r="E32" s="185">
        <f>Variables!$E$85</f>
        <v>0.21057234010808301</v>
      </c>
      <c r="F32" s="1" t="str">
        <f>Variables!$C$85</f>
        <v>Ajustado Colombia</v>
      </c>
    </row>
    <row r="33" spans="4:6" x14ac:dyDescent="0.35">
      <c r="D33" s="1" t="s">
        <v>803</v>
      </c>
      <c r="E33" s="509">
        <f>NPV(E32,$G$25:$L$25)</f>
        <v>215714601.31963927</v>
      </c>
      <c r="F33" s="411"/>
    </row>
  </sheetData>
  <mergeCells count="1">
    <mergeCell ref="D4:L4"/>
  </mergeCells>
  <conditionalFormatting sqref="A7:A8 A10:A11 A13 A15 A17:A18 A20:A24">
    <cfRule type="expression" priority="1" stopIfTrue="1">
      <formula>A7&lt;&gt;#REF!</formula>
    </cfRule>
  </conditionalFormatting>
  <dataValidations disablePrompts="1" count="2">
    <dataValidation type="list" allowBlank="1" showInputMessage="1" showErrorMessage="1" sqref="A7:A8 A10:A11 A13 A15 A17:A18 A20:A24">
      <formula1>SIONO</formula1>
    </dataValidation>
    <dataValidation type="list" allowBlank="1" showInputMessage="1" showErrorMessage="1" sqref="B15 B17:B18 B7:B8 B10:B11 B13 B20:B24">
      <formula1>SIGNO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4:H2873"/>
  <sheetViews>
    <sheetView workbookViewId="0">
      <pane xSplit="1" ySplit="6" topLeftCell="B25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5" max="5" width="16.453125" bestFit="1" customWidth="1"/>
    <col min="6" max="6" width="11.81640625" bestFit="1" customWidth="1"/>
    <col min="261" max="261" width="16.453125" bestFit="1" customWidth="1"/>
    <col min="262" max="262" width="11.81640625" bestFit="1" customWidth="1"/>
    <col min="517" max="517" width="16.453125" bestFit="1" customWidth="1"/>
    <col min="518" max="518" width="11.81640625" bestFit="1" customWidth="1"/>
    <col min="773" max="773" width="16.453125" bestFit="1" customWidth="1"/>
    <col min="774" max="774" width="11.81640625" bestFit="1" customWidth="1"/>
    <col min="1029" max="1029" width="16.453125" bestFit="1" customWidth="1"/>
    <col min="1030" max="1030" width="11.81640625" bestFit="1" customWidth="1"/>
    <col min="1285" max="1285" width="16.453125" bestFit="1" customWidth="1"/>
    <col min="1286" max="1286" width="11.81640625" bestFit="1" customWidth="1"/>
    <col min="1541" max="1541" width="16.453125" bestFit="1" customWidth="1"/>
    <col min="1542" max="1542" width="11.81640625" bestFit="1" customWidth="1"/>
    <col min="1797" max="1797" width="16.453125" bestFit="1" customWidth="1"/>
    <col min="1798" max="1798" width="11.81640625" bestFit="1" customWidth="1"/>
    <col min="2053" max="2053" width="16.453125" bestFit="1" customWidth="1"/>
    <col min="2054" max="2054" width="11.81640625" bestFit="1" customWidth="1"/>
    <col min="2309" max="2309" width="16.453125" bestFit="1" customWidth="1"/>
    <col min="2310" max="2310" width="11.81640625" bestFit="1" customWidth="1"/>
    <col min="2565" max="2565" width="16.453125" bestFit="1" customWidth="1"/>
    <col min="2566" max="2566" width="11.81640625" bestFit="1" customWidth="1"/>
    <col min="2821" max="2821" width="16.453125" bestFit="1" customWidth="1"/>
    <col min="2822" max="2822" width="11.81640625" bestFit="1" customWidth="1"/>
    <col min="3077" max="3077" width="16.453125" bestFit="1" customWidth="1"/>
    <col min="3078" max="3078" width="11.81640625" bestFit="1" customWidth="1"/>
    <col min="3333" max="3333" width="16.453125" bestFit="1" customWidth="1"/>
    <col min="3334" max="3334" width="11.81640625" bestFit="1" customWidth="1"/>
    <col min="3589" max="3589" width="16.453125" bestFit="1" customWidth="1"/>
    <col min="3590" max="3590" width="11.81640625" bestFit="1" customWidth="1"/>
    <col min="3845" max="3845" width="16.453125" bestFit="1" customWidth="1"/>
    <col min="3846" max="3846" width="11.81640625" bestFit="1" customWidth="1"/>
    <col min="4101" max="4101" width="16.453125" bestFit="1" customWidth="1"/>
    <col min="4102" max="4102" width="11.81640625" bestFit="1" customWidth="1"/>
    <col min="4357" max="4357" width="16.453125" bestFit="1" customWidth="1"/>
    <col min="4358" max="4358" width="11.81640625" bestFit="1" customWidth="1"/>
    <col min="4613" max="4613" width="16.453125" bestFit="1" customWidth="1"/>
    <col min="4614" max="4614" width="11.81640625" bestFit="1" customWidth="1"/>
    <col min="4869" max="4869" width="16.453125" bestFit="1" customWidth="1"/>
    <col min="4870" max="4870" width="11.81640625" bestFit="1" customWidth="1"/>
    <col min="5125" max="5125" width="16.453125" bestFit="1" customWidth="1"/>
    <col min="5126" max="5126" width="11.81640625" bestFit="1" customWidth="1"/>
    <col min="5381" max="5381" width="16.453125" bestFit="1" customWidth="1"/>
    <col min="5382" max="5382" width="11.81640625" bestFit="1" customWidth="1"/>
    <col min="5637" max="5637" width="16.453125" bestFit="1" customWidth="1"/>
    <col min="5638" max="5638" width="11.81640625" bestFit="1" customWidth="1"/>
    <col min="5893" max="5893" width="16.453125" bestFit="1" customWidth="1"/>
    <col min="5894" max="5894" width="11.81640625" bestFit="1" customWidth="1"/>
    <col min="6149" max="6149" width="16.453125" bestFit="1" customWidth="1"/>
    <col min="6150" max="6150" width="11.81640625" bestFit="1" customWidth="1"/>
    <col min="6405" max="6405" width="16.453125" bestFit="1" customWidth="1"/>
    <col min="6406" max="6406" width="11.81640625" bestFit="1" customWidth="1"/>
    <col min="6661" max="6661" width="16.453125" bestFit="1" customWidth="1"/>
    <col min="6662" max="6662" width="11.81640625" bestFit="1" customWidth="1"/>
    <col min="6917" max="6917" width="16.453125" bestFit="1" customWidth="1"/>
    <col min="6918" max="6918" width="11.81640625" bestFit="1" customWidth="1"/>
    <col min="7173" max="7173" width="16.453125" bestFit="1" customWidth="1"/>
    <col min="7174" max="7174" width="11.81640625" bestFit="1" customWidth="1"/>
    <col min="7429" max="7429" width="16.453125" bestFit="1" customWidth="1"/>
    <col min="7430" max="7430" width="11.81640625" bestFit="1" customWidth="1"/>
    <col min="7685" max="7685" width="16.453125" bestFit="1" customWidth="1"/>
    <col min="7686" max="7686" width="11.81640625" bestFit="1" customWidth="1"/>
    <col min="7941" max="7941" width="16.453125" bestFit="1" customWidth="1"/>
    <col min="7942" max="7942" width="11.81640625" bestFit="1" customWidth="1"/>
    <col min="8197" max="8197" width="16.453125" bestFit="1" customWidth="1"/>
    <col min="8198" max="8198" width="11.81640625" bestFit="1" customWidth="1"/>
    <col min="8453" max="8453" width="16.453125" bestFit="1" customWidth="1"/>
    <col min="8454" max="8454" width="11.81640625" bestFit="1" customWidth="1"/>
    <col min="8709" max="8709" width="16.453125" bestFit="1" customWidth="1"/>
    <col min="8710" max="8710" width="11.81640625" bestFit="1" customWidth="1"/>
    <col min="8965" max="8965" width="16.453125" bestFit="1" customWidth="1"/>
    <col min="8966" max="8966" width="11.81640625" bestFit="1" customWidth="1"/>
    <col min="9221" max="9221" width="16.453125" bestFit="1" customWidth="1"/>
    <col min="9222" max="9222" width="11.81640625" bestFit="1" customWidth="1"/>
    <col min="9477" max="9477" width="16.453125" bestFit="1" customWidth="1"/>
    <col min="9478" max="9478" width="11.81640625" bestFit="1" customWidth="1"/>
    <col min="9733" max="9733" width="16.453125" bestFit="1" customWidth="1"/>
    <col min="9734" max="9734" width="11.81640625" bestFit="1" customWidth="1"/>
    <col min="9989" max="9989" width="16.453125" bestFit="1" customWidth="1"/>
    <col min="9990" max="9990" width="11.81640625" bestFit="1" customWidth="1"/>
    <col min="10245" max="10245" width="16.453125" bestFit="1" customWidth="1"/>
    <col min="10246" max="10246" width="11.81640625" bestFit="1" customWidth="1"/>
    <col min="10501" max="10501" width="16.453125" bestFit="1" customWidth="1"/>
    <col min="10502" max="10502" width="11.81640625" bestFit="1" customWidth="1"/>
    <col min="10757" max="10757" width="16.453125" bestFit="1" customWidth="1"/>
    <col min="10758" max="10758" width="11.81640625" bestFit="1" customWidth="1"/>
    <col min="11013" max="11013" width="16.453125" bestFit="1" customWidth="1"/>
    <col min="11014" max="11014" width="11.81640625" bestFit="1" customWidth="1"/>
    <col min="11269" max="11269" width="16.453125" bestFit="1" customWidth="1"/>
    <col min="11270" max="11270" width="11.81640625" bestFit="1" customWidth="1"/>
    <col min="11525" max="11525" width="16.453125" bestFit="1" customWidth="1"/>
    <col min="11526" max="11526" width="11.81640625" bestFit="1" customWidth="1"/>
    <col min="11781" max="11781" width="16.453125" bestFit="1" customWidth="1"/>
    <col min="11782" max="11782" width="11.81640625" bestFit="1" customWidth="1"/>
    <col min="12037" max="12037" width="16.453125" bestFit="1" customWidth="1"/>
    <col min="12038" max="12038" width="11.81640625" bestFit="1" customWidth="1"/>
    <col min="12293" max="12293" width="16.453125" bestFit="1" customWidth="1"/>
    <col min="12294" max="12294" width="11.81640625" bestFit="1" customWidth="1"/>
    <col min="12549" max="12549" width="16.453125" bestFit="1" customWidth="1"/>
    <col min="12550" max="12550" width="11.81640625" bestFit="1" customWidth="1"/>
    <col min="12805" max="12805" width="16.453125" bestFit="1" customWidth="1"/>
    <col min="12806" max="12806" width="11.81640625" bestFit="1" customWidth="1"/>
    <col min="13061" max="13061" width="16.453125" bestFit="1" customWidth="1"/>
    <col min="13062" max="13062" width="11.81640625" bestFit="1" customWidth="1"/>
    <col min="13317" max="13317" width="16.453125" bestFit="1" customWidth="1"/>
    <col min="13318" max="13318" width="11.81640625" bestFit="1" customWidth="1"/>
    <col min="13573" max="13573" width="16.453125" bestFit="1" customWidth="1"/>
    <col min="13574" max="13574" width="11.81640625" bestFit="1" customWidth="1"/>
    <col min="13829" max="13829" width="16.453125" bestFit="1" customWidth="1"/>
    <col min="13830" max="13830" width="11.81640625" bestFit="1" customWidth="1"/>
    <col min="14085" max="14085" width="16.453125" bestFit="1" customWidth="1"/>
    <col min="14086" max="14086" width="11.81640625" bestFit="1" customWidth="1"/>
    <col min="14341" max="14341" width="16.453125" bestFit="1" customWidth="1"/>
    <col min="14342" max="14342" width="11.81640625" bestFit="1" customWidth="1"/>
    <col min="14597" max="14597" width="16.453125" bestFit="1" customWidth="1"/>
    <col min="14598" max="14598" width="11.81640625" bestFit="1" customWidth="1"/>
    <col min="14853" max="14853" width="16.453125" bestFit="1" customWidth="1"/>
    <col min="14854" max="14854" width="11.81640625" bestFit="1" customWidth="1"/>
    <col min="15109" max="15109" width="16.453125" bestFit="1" customWidth="1"/>
    <col min="15110" max="15110" width="11.81640625" bestFit="1" customWidth="1"/>
    <col min="15365" max="15365" width="16.453125" bestFit="1" customWidth="1"/>
    <col min="15366" max="15366" width="11.81640625" bestFit="1" customWidth="1"/>
    <col min="15621" max="15621" width="16.453125" bestFit="1" customWidth="1"/>
    <col min="15622" max="15622" width="11.81640625" bestFit="1" customWidth="1"/>
    <col min="15877" max="15877" width="16.453125" bestFit="1" customWidth="1"/>
    <col min="15878" max="15878" width="11.81640625" bestFit="1" customWidth="1"/>
    <col min="16133" max="16133" width="16.453125" bestFit="1" customWidth="1"/>
    <col min="16134" max="16134" width="11.81640625" bestFit="1" customWidth="1"/>
  </cols>
  <sheetData>
    <row r="4" spans="1:8" x14ac:dyDescent="0.35">
      <c r="A4" s="940" t="s">
        <v>690</v>
      </c>
      <c r="B4" s="940"/>
      <c r="C4" s="940"/>
      <c r="D4" s="940"/>
    </row>
    <row r="5" spans="1:8" ht="15" thickBot="1" x14ac:dyDescent="0.4"/>
    <row r="6" spans="1:8" ht="15" thickBot="1" x14ac:dyDescent="0.4">
      <c r="A6" s="464" t="s">
        <v>180</v>
      </c>
      <c r="B6" s="465" t="s">
        <v>691</v>
      </c>
      <c r="C6" s="465" t="s">
        <v>692</v>
      </c>
      <c r="D6" s="466" t="s">
        <v>693</v>
      </c>
    </row>
    <row r="7" spans="1:8" x14ac:dyDescent="0.35">
      <c r="A7" s="467">
        <v>37623</v>
      </c>
      <c r="B7" s="468">
        <v>0.10800009066593241</v>
      </c>
      <c r="C7" s="468">
        <v>0.15363813781846547</v>
      </c>
      <c r="D7" s="469">
        <v>0.14848770933944766</v>
      </c>
      <c r="G7" s="470"/>
      <c r="H7" s="471"/>
    </row>
    <row r="8" spans="1:8" x14ac:dyDescent="0.35">
      <c r="A8" s="467">
        <v>37624</v>
      </c>
      <c r="B8" s="468">
        <v>0.10499354865109911</v>
      </c>
      <c r="C8" s="468">
        <v>0.15406038074851547</v>
      </c>
      <c r="D8" s="469">
        <v>0.14601284201188713</v>
      </c>
      <c r="G8" s="470"/>
      <c r="H8" s="471"/>
    </row>
    <row r="9" spans="1:8" x14ac:dyDescent="0.35">
      <c r="A9" s="467">
        <v>37628</v>
      </c>
      <c r="B9" s="468">
        <v>0.10642323343376425</v>
      </c>
      <c r="C9" s="468">
        <v>0.15123526874635673</v>
      </c>
      <c r="D9" s="469">
        <v>0.1545051823239274</v>
      </c>
      <c r="G9" s="470"/>
      <c r="H9" s="471"/>
    </row>
    <row r="10" spans="1:8" x14ac:dyDescent="0.35">
      <c r="A10" s="467">
        <v>37629</v>
      </c>
      <c r="B10" s="468">
        <v>0.10265681282780426</v>
      </c>
      <c r="C10" s="468">
        <v>0.1553427376141403</v>
      </c>
      <c r="D10" s="469">
        <v>0.14763036559275688</v>
      </c>
      <c r="G10" s="470"/>
      <c r="H10" s="471"/>
    </row>
    <row r="11" spans="1:8" x14ac:dyDescent="0.35">
      <c r="A11" s="467">
        <v>37630</v>
      </c>
      <c r="B11" s="468">
        <v>0.10278481186468613</v>
      </c>
      <c r="C11" s="468">
        <v>0.15363585364869858</v>
      </c>
      <c r="D11" s="469">
        <v>0.15417635772795579</v>
      </c>
      <c r="G11" s="470"/>
      <c r="H11" s="471"/>
    </row>
    <row r="12" spans="1:8" x14ac:dyDescent="0.35">
      <c r="A12" s="467">
        <v>37631</v>
      </c>
      <c r="B12" s="468">
        <v>0.10045283765207969</v>
      </c>
      <c r="C12" s="468">
        <v>0.15369757906344583</v>
      </c>
      <c r="D12" s="469">
        <v>0.15219628407573826</v>
      </c>
      <c r="G12" s="470"/>
      <c r="H12" s="471"/>
    </row>
    <row r="13" spans="1:8" x14ac:dyDescent="0.35">
      <c r="A13" s="467">
        <v>37634</v>
      </c>
      <c r="B13" s="468">
        <v>9.5678420956028853E-2</v>
      </c>
      <c r="C13" s="468">
        <v>0.15380120470410552</v>
      </c>
      <c r="D13" s="469">
        <v>0.15246741223029958</v>
      </c>
      <c r="G13" s="470"/>
      <c r="H13" s="471"/>
    </row>
    <row r="14" spans="1:8" x14ac:dyDescent="0.35">
      <c r="A14" s="467">
        <v>37635</v>
      </c>
      <c r="B14" s="468">
        <v>9.260078466398336E-2</v>
      </c>
      <c r="C14" s="468">
        <v>0.14843934244527346</v>
      </c>
      <c r="D14" s="469">
        <v>0.15824351493452449</v>
      </c>
      <c r="G14" s="470"/>
      <c r="H14" s="471"/>
    </row>
    <row r="15" spans="1:8" x14ac:dyDescent="0.35">
      <c r="A15" s="467">
        <v>37636</v>
      </c>
      <c r="B15" s="468">
        <v>9.4324629751222799E-2</v>
      </c>
      <c r="C15" s="468">
        <v>0.14952382357587601</v>
      </c>
      <c r="D15" s="469">
        <v>0.1505844165739767</v>
      </c>
      <c r="G15" s="470"/>
      <c r="H15" s="471"/>
    </row>
    <row r="16" spans="1:8" x14ac:dyDescent="0.35">
      <c r="A16" s="467">
        <v>37637</v>
      </c>
      <c r="B16" s="468">
        <v>9.7426852498236016E-2</v>
      </c>
      <c r="C16" s="468">
        <v>0.14882030334258101</v>
      </c>
      <c r="D16" s="469">
        <v>0.15358671056102691</v>
      </c>
      <c r="G16" s="470"/>
      <c r="H16" s="471"/>
    </row>
    <row r="17" spans="1:8" x14ac:dyDescent="0.35">
      <c r="A17" s="467">
        <v>37638</v>
      </c>
      <c r="B17" s="468">
        <v>9.6022203786686466E-2</v>
      </c>
      <c r="C17" s="468">
        <v>0.15178084903492173</v>
      </c>
      <c r="D17" s="469">
        <v>0.1542633869126071</v>
      </c>
      <c r="G17" s="470"/>
      <c r="H17" s="471"/>
    </row>
    <row r="18" spans="1:8" x14ac:dyDescent="0.35">
      <c r="A18" s="467">
        <v>37641</v>
      </c>
      <c r="B18" s="468">
        <v>0.10556615254755486</v>
      </c>
      <c r="C18" s="468">
        <v>0.15047601268029798</v>
      </c>
      <c r="D18" s="469">
        <v>0.16012135731166022</v>
      </c>
      <c r="G18" s="470"/>
      <c r="H18" s="471"/>
    </row>
    <row r="19" spans="1:8" x14ac:dyDescent="0.35">
      <c r="A19" s="467">
        <v>37642</v>
      </c>
      <c r="B19" s="468">
        <v>0.10569623841726106</v>
      </c>
      <c r="C19" s="468">
        <v>0.15587728911916043</v>
      </c>
      <c r="D19" s="469">
        <v>0.15797212508209069</v>
      </c>
      <c r="G19" s="470"/>
      <c r="H19" s="471"/>
    </row>
    <row r="20" spans="1:8" x14ac:dyDescent="0.35">
      <c r="A20" s="467">
        <v>37643</v>
      </c>
      <c r="B20" s="468">
        <v>0.10347186055774893</v>
      </c>
      <c r="C20" s="468">
        <v>0.16120830629124461</v>
      </c>
      <c r="D20" s="469">
        <v>0.15714101806875935</v>
      </c>
      <c r="G20" s="470"/>
      <c r="H20" s="471"/>
    </row>
    <row r="21" spans="1:8" x14ac:dyDescent="0.35">
      <c r="A21" s="467">
        <v>37644</v>
      </c>
      <c r="B21" s="468">
        <v>0.10253010315786115</v>
      </c>
      <c r="C21" s="468">
        <v>0.16033502921478315</v>
      </c>
      <c r="D21" s="469">
        <v>0.15471821334286284</v>
      </c>
      <c r="G21" s="470"/>
      <c r="H21" s="471"/>
    </row>
    <row r="22" spans="1:8" x14ac:dyDescent="0.35">
      <c r="A22" s="467">
        <v>37645</v>
      </c>
      <c r="B22" s="468">
        <v>0.10618840583992784</v>
      </c>
      <c r="C22" s="468">
        <v>0.1584172208213015</v>
      </c>
      <c r="D22" s="469">
        <v>0.16264834224465186</v>
      </c>
      <c r="G22" s="470"/>
      <c r="H22" s="471"/>
    </row>
    <row r="23" spans="1:8" x14ac:dyDescent="0.35">
      <c r="A23" s="467">
        <v>37648</v>
      </c>
      <c r="B23" s="468">
        <v>0.10688795399243389</v>
      </c>
      <c r="C23" s="468">
        <v>0.15883961883292175</v>
      </c>
      <c r="D23" s="469">
        <v>0.14589969810183612</v>
      </c>
      <c r="G23" s="470"/>
      <c r="H23" s="471"/>
    </row>
    <row r="24" spans="1:8" x14ac:dyDescent="0.35">
      <c r="A24" s="467">
        <v>37649</v>
      </c>
      <c r="B24" s="468">
        <v>0.10650848489543696</v>
      </c>
      <c r="C24" s="468">
        <v>0.1564691688013049</v>
      </c>
      <c r="D24" s="469">
        <v>0.16330154232307015</v>
      </c>
      <c r="G24" s="470"/>
      <c r="H24" s="471"/>
    </row>
    <row r="25" spans="1:8" x14ac:dyDescent="0.35">
      <c r="A25" s="467">
        <v>37650</v>
      </c>
      <c r="B25" s="468">
        <v>0.10548446632774788</v>
      </c>
      <c r="C25" s="468">
        <v>0.15805669563665603</v>
      </c>
      <c r="D25" s="469">
        <v>0.15810148104772814</v>
      </c>
      <c r="G25" s="470"/>
      <c r="H25" s="471"/>
    </row>
    <row r="26" spans="1:8" x14ac:dyDescent="0.35">
      <c r="A26" s="467">
        <v>37651</v>
      </c>
      <c r="B26" s="468">
        <v>0.10407826284700383</v>
      </c>
      <c r="C26" s="468">
        <v>0.15679492536670603</v>
      </c>
      <c r="D26" s="469">
        <v>0.14743508672811756</v>
      </c>
      <c r="G26" s="470"/>
      <c r="H26" s="471"/>
    </row>
    <row r="27" spans="1:8" x14ac:dyDescent="0.35">
      <c r="A27" s="467">
        <v>37652</v>
      </c>
      <c r="B27" s="468">
        <v>0.10275413272642986</v>
      </c>
      <c r="C27" s="468">
        <v>0.15409802570602427</v>
      </c>
      <c r="D27" s="469">
        <v>0.15717568070957966</v>
      </c>
      <c r="G27" s="470"/>
      <c r="H27" s="471"/>
    </row>
    <row r="28" spans="1:8" x14ac:dyDescent="0.35">
      <c r="A28" s="467">
        <v>37655</v>
      </c>
      <c r="B28" s="468">
        <v>0.10496149724776926</v>
      </c>
      <c r="C28" s="468">
        <v>0.15715112122859276</v>
      </c>
      <c r="D28" s="469">
        <v>0.15233316877186942</v>
      </c>
      <c r="G28" s="470"/>
      <c r="H28" s="471"/>
    </row>
    <row r="29" spans="1:8" x14ac:dyDescent="0.35">
      <c r="A29" s="467">
        <v>37656</v>
      </c>
      <c r="B29" s="468">
        <v>0.10291287119681525</v>
      </c>
      <c r="C29" s="468">
        <v>0.15478975271089257</v>
      </c>
      <c r="D29" s="469">
        <v>0.16200482418649664</v>
      </c>
      <c r="G29" s="470"/>
      <c r="H29" s="471"/>
    </row>
    <row r="30" spans="1:8" x14ac:dyDescent="0.35">
      <c r="A30" s="467">
        <v>37657</v>
      </c>
      <c r="B30" s="468">
        <v>0.10522202891567778</v>
      </c>
      <c r="C30" s="468">
        <v>0.15544676558393156</v>
      </c>
      <c r="D30" s="469">
        <v>0.15873573726681189</v>
      </c>
      <c r="G30" s="470"/>
      <c r="H30" s="471"/>
    </row>
    <row r="31" spans="1:8" x14ac:dyDescent="0.35">
      <c r="A31" s="467">
        <v>37658</v>
      </c>
      <c r="B31" s="468">
        <v>0.106865681272448</v>
      </c>
      <c r="C31" s="468">
        <v>0.16126252985720968</v>
      </c>
      <c r="D31" s="469">
        <v>0.16139511160971654</v>
      </c>
      <c r="G31" s="470"/>
      <c r="H31" s="471"/>
    </row>
    <row r="32" spans="1:8" x14ac:dyDescent="0.35">
      <c r="A32" s="467">
        <v>37659</v>
      </c>
      <c r="B32" s="468">
        <v>0.10682535837371998</v>
      </c>
      <c r="C32" s="468">
        <v>0.15933278222726055</v>
      </c>
      <c r="D32" s="469">
        <v>0.16059924148915972</v>
      </c>
      <c r="G32" s="470"/>
      <c r="H32" s="471"/>
    </row>
    <row r="33" spans="1:8" x14ac:dyDescent="0.35">
      <c r="A33" s="467">
        <v>37662</v>
      </c>
      <c r="B33" s="468">
        <v>0.10927899214970926</v>
      </c>
      <c r="C33" s="468">
        <v>0.15792285507787418</v>
      </c>
      <c r="D33" s="469">
        <v>0.16636237916369434</v>
      </c>
      <c r="G33" s="470"/>
      <c r="H33" s="471"/>
    </row>
    <row r="34" spans="1:8" x14ac:dyDescent="0.35">
      <c r="A34" s="467">
        <v>37663</v>
      </c>
      <c r="B34" s="468">
        <v>0.11010361270176694</v>
      </c>
      <c r="C34" s="468">
        <v>0.15959165188700952</v>
      </c>
      <c r="D34" s="469">
        <v>0.1632426049919542</v>
      </c>
      <c r="G34" s="470"/>
      <c r="H34" s="471"/>
    </row>
    <row r="35" spans="1:8" x14ac:dyDescent="0.35">
      <c r="A35" s="467">
        <v>37664</v>
      </c>
      <c r="B35" s="468">
        <v>0.10526208348751975</v>
      </c>
      <c r="C35" s="468">
        <v>0.15897611317827209</v>
      </c>
      <c r="D35" s="469">
        <v>0.15906232708984591</v>
      </c>
      <c r="G35" s="470"/>
      <c r="H35" s="471"/>
    </row>
    <row r="36" spans="1:8" x14ac:dyDescent="0.35">
      <c r="A36" s="467">
        <v>37665</v>
      </c>
      <c r="B36" s="468">
        <v>0.10530679768619366</v>
      </c>
      <c r="C36" s="468">
        <v>0.16009157349679759</v>
      </c>
      <c r="D36" s="469">
        <v>0.15677371337773938</v>
      </c>
      <c r="G36" s="470"/>
      <c r="H36" s="471"/>
    </row>
    <row r="37" spans="1:8" x14ac:dyDescent="0.35">
      <c r="A37" s="467">
        <v>37666</v>
      </c>
      <c r="B37" s="468">
        <v>0.1050917112485914</v>
      </c>
      <c r="C37" s="468">
        <v>0.15989785771236953</v>
      </c>
      <c r="D37" s="469">
        <v>0.15537570799935896</v>
      </c>
      <c r="G37" s="470"/>
      <c r="H37" s="471"/>
    </row>
    <row r="38" spans="1:8" x14ac:dyDescent="0.35">
      <c r="A38" s="467">
        <v>37669</v>
      </c>
      <c r="B38" s="468">
        <v>0.10385578864575429</v>
      </c>
      <c r="C38" s="468">
        <v>0.1554724337460911</v>
      </c>
      <c r="D38" s="469">
        <v>0.15960498054621852</v>
      </c>
      <c r="G38" s="470"/>
      <c r="H38" s="471"/>
    </row>
    <row r="39" spans="1:8" x14ac:dyDescent="0.35">
      <c r="A39" s="467">
        <v>37670</v>
      </c>
      <c r="B39" s="468">
        <v>0.10422924382663812</v>
      </c>
      <c r="C39" s="468">
        <v>0.15771317530929974</v>
      </c>
      <c r="D39" s="469">
        <v>0.15149701854456454</v>
      </c>
      <c r="G39" s="470"/>
      <c r="H39" s="471"/>
    </row>
    <row r="40" spans="1:8" x14ac:dyDescent="0.35">
      <c r="A40" s="467">
        <v>37671</v>
      </c>
      <c r="B40" s="468">
        <v>0.1039996631429807</v>
      </c>
      <c r="C40" s="468">
        <v>0.15827634583071726</v>
      </c>
      <c r="D40" s="469">
        <v>0.15646796601448809</v>
      </c>
      <c r="G40" s="470"/>
      <c r="H40" s="471"/>
    </row>
    <row r="41" spans="1:8" x14ac:dyDescent="0.35">
      <c r="A41" s="467">
        <v>37672</v>
      </c>
      <c r="B41" s="468">
        <v>0.10474584412869437</v>
      </c>
      <c r="C41" s="468">
        <v>0.15876130002526589</v>
      </c>
      <c r="D41" s="469">
        <v>0.16082499631988889</v>
      </c>
      <c r="G41" s="470"/>
      <c r="H41" s="471"/>
    </row>
    <row r="42" spans="1:8" x14ac:dyDescent="0.35">
      <c r="A42" s="467">
        <v>37673</v>
      </c>
      <c r="B42" s="468">
        <v>0.10690568091538699</v>
      </c>
      <c r="C42" s="468">
        <v>0.16037411536751245</v>
      </c>
      <c r="D42" s="469">
        <v>0.15586450856424672</v>
      </c>
      <c r="G42" s="470"/>
      <c r="H42" s="471"/>
    </row>
    <row r="43" spans="1:8" x14ac:dyDescent="0.35">
      <c r="A43" s="467">
        <v>37676</v>
      </c>
      <c r="B43" s="468">
        <v>0.10660585123323219</v>
      </c>
      <c r="C43" s="468">
        <v>0.1612922049943788</v>
      </c>
      <c r="D43" s="469">
        <v>0.16190758220656365</v>
      </c>
      <c r="G43" s="470"/>
      <c r="H43" s="471"/>
    </row>
    <row r="44" spans="1:8" x14ac:dyDescent="0.35">
      <c r="A44" s="467">
        <v>37677</v>
      </c>
      <c r="B44" s="468">
        <v>0.10637851264918119</v>
      </c>
      <c r="C44" s="468">
        <v>0.1627595728985316</v>
      </c>
      <c r="D44" s="469">
        <v>0.16219282829960058</v>
      </c>
      <c r="G44" s="470"/>
      <c r="H44" s="471"/>
    </row>
    <row r="45" spans="1:8" x14ac:dyDescent="0.35">
      <c r="A45" s="467">
        <v>37678</v>
      </c>
      <c r="B45" s="468">
        <v>0.10643833420523086</v>
      </c>
      <c r="C45" s="468">
        <v>0.1590890335335049</v>
      </c>
      <c r="D45" s="469">
        <v>0.1609167039387196</v>
      </c>
      <c r="G45" s="470"/>
      <c r="H45" s="471"/>
    </row>
    <row r="46" spans="1:8" x14ac:dyDescent="0.35">
      <c r="A46" s="467">
        <v>37679</v>
      </c>
      <c r="B46" s="468">
        <v>0.1072683748720149</v>
      </c>
      <c r="C46" s="468">
        <v>0.16311187275256889</v>
      </c>
      <c r="D46" s="469">
        <v>0.16057690268131819</v>
      </c>
      <c r="G46" s="470"/>
      <c r="H46" s="471"/>
    </row>
    <row r="47" spans="1:8" x14ac:dyDescent="0.35">
      <c r="A47" s="467">
        <v>37680</v>
      </c>
      <c r="B47" s="468">
        <v>0.10795192581031166</v>
      </c>
      <c r="C47" s="468">
        <v>0.1625747810251903</v>
      </c>
      <c r="D47" s="469">
        <v>0.15917809547026418</v>
      </c>
      <c r="G47" s="470"/>
      <c r="H47" s="471"/>
    </row>
    <row r="48" spans="1:8" x14ac:dyDescent="0.35">
      <c r="A48" s="467">
        <v>37683</v>
      </c>
      <c r="B48" s="468">
        <v>0.10802970115996313</v>
      </c>
      <c r="C48" s="468">
        <v>0.16032451851325602</v>
      </c>
      <c r="D48" s="469">
        <v>0.16655495890975702</v>
      </c>
      <c r="G48" s="470"/>
      <c r="H48" s="471"/>
    </row>
    <row r="49" spans="1:8" x14ac:dyDescent="0.35">
      <c r="A49" s="467">
        <v>37684</v>
      </c>
      <c r="B49" s="468">
        <v>0.1071105991082959</v>
      </c>
      <c r="C49" s="468">
        <v>0.16405986869184019</v>
      </c>
      <c r="D49" s="469">
        <v>0.15988823548991249</v>
      </c>
      <c r="G49" s="470"/>
      <c r="H49" s="471"/>
    </row>
    <row r="50" spans="1:8" x14ac:dyDescent="0.35">
      <c r="A50" s="467">
        <v>37685</v>
      </c>
      <c r="B50" s="468">
        <v>0.10819865067647316</v>
      </c>
      <c r="C50" s="468">
        <v>0.16326796819244915</v>
      </c>
      <c r="D50" s="469">
        <v>0.15221969227610344</v>
      </c>
      <c r="G50" s="470"/>
      <c r="H50" s="471"/>
    </row>
    <row r="51" spans="1:8" x14ac:dyDescent="0.35">
      <c r="A51" s="467">
        <v>37686</v>
      </c>
      <c r="B51" s="468">
        <v>0.10499427460168342</v>
      </c>
      <c r="C51" s="468">
        <v>0.15761307033982641</v>
      </c>
      <c r="D51" s="469">
        <v>0.1666274342942482</v>
      </c>
      <c r="G51" s="470"/>
      <c r="H51" s="471"/>
    </row>
    <row r="52" spans="1:8" x14ac:dyDescent="0.35">
      <c r="A52" s="467">
        <v>37687</v>
      </c>
      <c r="B52" s="468">
        <v>0.1067727148522708</v>
      </c>
      <c r="C52" s="468">
        <v>0.16323718023836875</v>
      </c>
      <c r="D52" s="469">
        <v>0.16088274529068469</v>
      </c>
      <c r="G52" s="470"/>
      <c r="H52" s="471"/>
    </row>
    <row r="53" spans="1:8" x14ac:dyDescent="0.35">
      <c r="A53" s="467">
        <v>37690</v>
      </c>
      <c r="B53" s="468">
        <v>0.10328591108148255</v>
      </c>
      <c r="C53" s="468">
        <v>0.15932835567303427</v>
      </c>
      <c r="D53" s="469">
        <v>0.1648010772936277</v>
      </c>
      <c r="G53" s="470"/>
      <c r="H53" s="471"/>
    </row>
    <row r="54" spans="1:8" x14ac:dyDescent="0.35">
      <c r="A54" s="467">
        <v>37691</v>
      </c>
      <c r="B54" s="468">
        <v>0.10326148720072781</v>
      </c>
      <c r="C54" s="468">
        <v>0.15979468585947898</v>
      </c>
      <c r="D54" s="469">
        <v>0.16721580509655132</v>
      </c>
      <c r="G54" s="470"/>
      <c r="H54" s="471"/>
    </row>
    <row r="55" spans="1:8" x14ac:dyDescent="0.35">
      <c r="A55" s="467">
        <v>37692</v>
      </c>
      <c r="B55" s="468">
        <v>0.1045197801110902</v>
      </c>
      <c r="C55" s="468">
        <v>0.15973019319220083</v>
      </c>
      <c r="D55" s="469">
        <v>0.16205246112156368</v>
      </c>
      <c r="G55" s="470"/>
      <c r="H55" s="471"/>
    </row>
    <row r="56" spans="1:8" x14ac:dyDescent="0.35">
      <c r="A56" s="467">
        <v>37693</v>
      </c>
      <c r="B56" s="468">
        <v>0.10474417309581829</v>
      </c>
      <c r="C56" s="468">
        <v>0.16158137093160274</v>
      </c>
      <c r="D56" s="469">
        <v>0.16526350195379713</v>
      </c>
      <c r="G56" s="470"/>
      <c r="H56" s="471"/>
    </row>
    <row r="57" spans="1:8" x14ac:dyDescent="0.35">
      <c r="A57" s="467">
        <v>37694</v>
      </c>
      <c r="B57" s="468">
        <v>0.10504717601714919</v>
      </c>
      <c r="C57" s="468">
        <v>0.16063870487149967</v>
      </c>
      <c r="D57" s="469">
        <v>0.16084492132436434</v>
      </c>
      <c r="G57" s="470"/>
      <c r="H57" s="471"/>
    </row>
    <row r="58" spans="1:8" x14ac:dyDescent="0.35">
      <c r="A58" s="467">
        <v>37697</v>
      </c>
      <c r="B58" s="468">
        <v>0.10519345121305457</v>
      </c>
      <c r="C58" s="468">
        <v>0.15768275210364213</v>
      </c>
      <c r="D58" s="469">
        <v>0.16248451821692145</v>
      </c>
      <c r="G58" s="470"/>
      <c r="H58" s="471"/>
    </row>
    <row r="59" spans="1:8" x14ac:dyDescent="0.35">
      <c r="A59" s="467">
        <v>37698</v>
      </c>
      <c r="B59" s="468">
        <v>0.10480779849928168</v>
      </c>
      <c r="C59" s="468">
        <v>0.1595003912009807</v>
      </c>
      <c r="D59" s="469">
        <v>0.16347373310029623</v>
      </c>
      <c r="G59" s="470"/>
      <c r="H59" s="471"/>
    </row>
    <row r="60" spans="1:8" x14ac:dyDescent="0.35">
      <c r="A60" s="467">
        <v>37699</v>
      </c>
      <c r="B60" s="468">
        <v>0.10393322124275506</v>
      </c>
      <c r="C60" s="468">
        <v>0.16038919372768268</v>
      </c>
      <c r="D60" s="469">
        <v>0.16729549324158421</v>
      </c>
      <c r="G60" s="470"/>
      <c r="H60" s="471"/>
    </row>
    <row r="61" spans="1:8" x14ac:dyDescent="0.35">
      <c r="A61" s="467">
        <v>37700</v>
      </c>
      <c r="B61" s="468">
        <v>0.10265688031642162</v>
      </c>
      <c r="C61" s="468">
        <v>0.15667773903908788</v>
      </c>
      <c r="D61" s="469">
        <v>0.16600266822502263</v>
      </c>
      <c r="G61" s="470"/>
      <c r="H61" s="471"/>
    </row>
    <row r="62" spans="1:8" x14ac:dyDescent="0.35">
      <c r="A62" s="467">
        <v>37701</v>
      </c>
      <c r="B62" s="468">
        <v>0.10398547290219939</v>
      </c>
      <c r="C62" s="468">
        <v>0.15510111348299138</v>
      </c>
      <c r="D62" s="469">
        <v>0.16694594088324166</v>
      </c>
      <c r="G62" s="470"/>
      <c r="H62" s="471"/>
    </row>
    <row r="63" spans="1:8" x14ac:dyDescent="0.35">
      <c r="A63" s="467">
        <v>37705</v>
      </c>
      <c r="B63" s="468">
        <v>0.10251492439069088</v>
      </c>
      <c r="C63" s="468">
        <v>0.15880745945471619</v>
      </c>
      <c r="D63" s="469">
        <v>0.16587062329316238</v>
      </c>
      <c r="G63" s="470"/>
      <c r="H63" s="471"/>
    </row>
    <row r="64" spans="1:8" x14ac:dyDescent="0.35">
      <c r="A64" s="467">
        <v>37706</v>
      </c>
      <c r="B64" s="468">
        <v>0.10079373261696856</v>
      </c>
      <c r="C64" s="468">
        <v>0.16159967519683782</v>
      </c>
      <c r="D64" s="469">
        <v>0.16204735234841605</v>
      </c>
      <c r="G64" s="470"/>
      <c r="H64" s="471"/>
    </row>
    <row r="65" spans="1:8" x14ac:dyDescent="0.35">
      <c r="A65" s="467">
        <v>37707</v>
      </c>
      <c r="B65" s="468">
        <v>0.1010068226560219</v>
      </c>
      <c r="C65" s="468">
        <v>0.16294672248364339</v>
      </c>
      <c r="D65" s="469">
        <v>0.16058653793243605</v>
      </c>
      <c r="G65" s="470"/>
      <c r="H65" s="471"/>
    </row>
    <row r="66" spans="1:8" x14ac:dyDescent="0.35">
      <c r="A66" s="467">
        <v>37708</v>
      </c>
      <c r="B66" s="468">
        <v>0.10049517229386784</v>
      </c>
      <c r="C66" s="468">
        <v>0.1589658045872564</v>
      </c>
      <c r="D66" s="469">
        <v>0.16658183739571486</v>
      </c>
      <c r="G66" s="470"/>
      <c r="H66" s="471"/>
    </row>
    <row r="67" spans="1:8" x14ac:dyDescent="0.35">
      <c r="A67" s="467">
        <v>37711</v>
      </c>
      <c r="B67" s="468">
        <v>0.10113381202572858</v>
      </c>
      <c r="C67" s="468">
        <v>0.16028884093164297</v>
      </c>
      <c r="D67" s="469">
        <v>0.14604900715035218</v>
      </c>
      <c r="G67" s="470"/>
      <c r="H67" s="471"/>
    </row>
    <row r="68" spans="1:8" x14ac:dyDescent="0.35">
      <c r="A68" s="467">
        <v>37712</v>
      </c>
      <c r="B68" s="468">
        <v>0.10203182154539081</v>
      </c>
      <c r="C68" s="468">
        <v>0.1589285088826069</v>
      </c>
      <c r="D68" s="469">
        <v>0.16608510083742356</v>
      </c>
      <c r="G68" s="470"/>
      <c r="H68" s="471"/>
    </row>
    <row r="69" spans="1:8" x14ac:dyDescent="0.35">
      <c r="A69" s="467">
        <v>37713</v>
      </c>
      <c r="B69" s="468">
        <v>0.103372097244669</v>
      </c>
      <c r="C69" s="468">
        <v>0.16068479537677671</v>
      </c>
      <c r="D69" s="469">
        <v>0.17087543319910203</v>
      </c>
      <c r="G69" s="470"/>
      <c r="H69" s="471"/>
    </row>
    <row r="70" spans="1:8" x14ac:dyDescent="0.35">
      <c r="A70" s="467">
        <v>37714</v>
      </c>
      <c r="B70" s="468">
        <v>0.10460550931617174</v>
      </c>
      <c r="C70" s="468">
        <v>0.16315989184097424</v>
      </c>
      <c r="D70" s="469">
        <v>0.16637163854857273</v>
      </c>
      <c r="G70" s="470"/>
      <c r="H70" s="471"/>
    </row>
    <row r="71" spans="1:8" x14ac:dyDescent="0.35">
      <c r="A71" s="467">
        <v>37715</v>
      </c>
      <c r="B71" s="468">
        <v>0.10575621760657805</v>
      </c>
      <c r="C71" s="468">
        <v>0.16266212963993154</v>
      </c>
      <c r="D71" s="469">
        <v>0.16723176997394074</v>
      </c>
      <c r="G71" s="470"/>
      <c r="H71" s="471"/>
    </row>
    <row r="72" spans="1:8" x14ac:dyDescent="0.35">
      <c r="A72" s="467">
        <v>37718</v>
      </c>
      <c r="B72" s="468">
        <v>0.10583712571958093</v>
      </c>
      <c r="C72" s="468">
        <v>0.16067953226557008</v>
      </c>
      <c r="D72" s="469">
        <v>0.16942580293267695</v>
      </c>
      <c r="G72" s="470"/>
      <c r="H72" s="471"/>
    </row>
    <row r="73" spans="1:8" x14ac:dyDescent="0.35">
      <c r="A73" s="467">
        <v>37719</v>
      </c>
      <c r="B73" s="468">
        <v>0.10550020156002526</v>
      </c>
      <c r="C73" s="468">
        <v>0.16201996000116403</v>
      </c>
      <c r="D73" s="469">
        <v>0.16751481666696955</v>
      </c>
      <c r="G73" s="470"/>
      <c r="H73" s="471"/>
    </row>
    <row r="74" spans="1:8" x14ac:dyDescent="0.35">
      <c r="A74" s="467">
        <v>37720</v>
      </c>
      <c r="B74" s="468">
        <v>0.10271618367696522</v>
      </c>
      <c r="C74" s="468">
        <v>0.16294804401978102</v>
      </c>
      <c r="D74" s="469">
        <v>0.1643921446239478</v>
      </c>
      <c r="G74" s="470"/>
      <c r="H74" s="471"/>
    </row>
    <row r="75" spans="1:8" x14ac:dyDescent="0.35">
      <c r="A75" s="467">
        <v>37721</v>
      </c>
      <c r="B75" s="468">
        <v>0.10279222242489205</v>
      </c>
      <c r="C75" s="468">
        <v>0.15399919760744374</v>
      </c>
      <c r="D75" s="469">
        <v>0.12902216739236572</v>
      </c>
      <c r="G75" s="470"/>
      <c r="H75" s="471"/>
    </row>
    <row r="76" spans="1:8" x14ac:dyDescent="0.35">
      <c r="A76" s="467">
        <v>37722</v>
      </c>
      <c r="B76" s="468">
        <v>0.12089070094500154</v>
      </c>
      <c r="C76" s="468">
        <v>0.15555811783802542</v>
      </c>
      <c r="D76" s="469">
        <v>0.16000871554377416</v>
      </c>
      <c r="G76" s="470"/>
      <c r="H76" s="471"/>
    </row>
    <row r="77" spans="1:8" x14ac:dyDescent="0.35">
      <c r="A77" s="467">
        <v>37725</v>
      </c>
      <c r="B77" s="468">
        <v>0.10145483214787321</v>
      </c>
      <c r="C77" s="468">
        <v>0.16029250478017776</v>
      </c>
      <c r="D77" s="469">
        <v>0.17043530639545135</v>
      </c>
      <c r="G77" s="470"/>
      <c r="H77" s="471"/>
    </row>
    <row r="78" spans="1:8" x14ac:dyDescent="0.35">
      <c r="A78" s="467">
        <v>37726</v>
      </c>
      <c r="B78" s="468">
        <v>0.10346349730681048</v>
      </c>
      <c r="C78" s="468">
        <v>0.15931481839715156</v>
      </c>
      <c r="D78" s="469">
        <v>0.16668866605005594</v>
      </c>
      <c r="G78" s="470"/>
      <c r="H78" s="471"/>
    </row>
    <row r="79" spans="1:8" x14ac:dyDescent="0.35">
      <c r="A79" s="467">
        <v>37727</v>
      </c>
      <c r="B79" s="468">
        <v>0.10154364551356321</v>
      </c>
      <c r="C79" s="468">
        <v>0.16041765125085927</v>
      </c>
      <c r="D79" s="469">
        <v>0.16892009505216876</v>
      </c>
      <c r="G79" s="470"/>
      <c r="H79" s="471"/>
    </row>
    <row r="80" spans="1:8" x14ac:dyDescent="0.35">
      <c r="A80" s="467">
        <v>37732</v>
      </c>
      <c r="B80" s="468">
        <v>0.10817396415956493</v>
      </c>
      <c r="C80" s="468">
        <v>0.15703587625729676</v>
      </c>
      <c r="D80" s="469">
        <v>0.12981695285471639</v>
      </c>
      <c r="G80" s="470"/>
      <c r="H80" s="471"/>
    </row>
    <row r="81" spans="1:8" x14ac:dyDescent="0.35">
      <c r="A81" s="467">
        <v>37733</v>
      </c>
      <c r="B81" s="468">
        <v>0.1062769488296369</v>
      </c>
      <c r="C81" s="468">
        <v>0.15775191111017794</v>
      </c>
      <c r="D81" s="469">
        <v>0.13530560288266047</v>
      </c>
      <c r="G81" s="470"/>
      <c r="H81" s="471"/>
    </row>
    <row r="82" spans="1:8" x14ac:dyDescent="0.35">
      <c r="A82" s="467">
        <v>37734</v>
      </c>
      <c r="B82" s="468">
        <v>0.10550125667295918</v>
      </c>
      <c r="C82" s="468">
        <v>0.16067920112612954</v>
      </c>
      <c r="D82" s="469">
        <v>0.16601327752555295</v>
      </c>
      <c r="G82" s="470"/>
      <c r="H82" s="471"/>
    </row>
    <row r="83" spans="1:8" x14ac:dyDescent="0.35">
      <c r="A83" s="467">
        <v>37735</v>
      </c>
      <c r="B83" s="468">
        <v>0.10443612049984119</v>
      </c>
      <c r="C83" s="468">
        <v>0.15988352173009002</v>
      </c>
      <c r="D83" s="469">
        <v>0.16178186011538731</v>
      </c>
      <c r="G83" s="470"/>
      <c r="H83" s="471"/>
    </row>
    <row r="84" spans="1:8" x14ac:dyDescent="0.35">
      <c r="A84" s="467">
        <v>37736</v>
      </c>
      <c r="B84" s="468">
        <v>0.10595530952621712</v>
      </c>
      <c r="C84" s="468">
        <v>0.16130781648184733</v>
      </c>
      <c r="D84" s="469">
        <v>0.17426673175551977</v>
      </c>
      <c r="G84" s="470"/>
      <c r="H84" s="471"/>
    </row>
    <row r="85" spans="1:8" x14ac:dyDescent="0.35">
      <c r="A85" s="467">
        <v>37739</v>
      </c>
      <c r="B85" s="468">
        <v>0.10408123560313065</v>
      </c>
      <c r="C85" s="468">
        <v>0.15917065907587968</v>
      </c>
      <c r="D85" s="469">
        <v>0.14347574883382941</v>
      </c>
      <c r="G85" s="470"/>
      <c r="H85" s="471"/>
    </row>
    <row r="86" spans="1:8" x14ac:dyDescent="0.35">
      <c r="A86" s="467">
        <v>37740</v>
      </c>
      <c r="B86" s="468">
        <v>0.10519791222195551</v>
      </c>
      <c r="C86" s="468">
        <v>0.15723756737760008</v>
      </c>
      <c r="D86" s="469">
        <v>0.16410395576340808</v>
      </c>
      <c r="G86" s="470"/>
      <c r="H86" s="471"/>
    </row>
    <row r="87" spans="1:8" x14ac:dyDescent="0.35">
      <c r="A87" s="467">
        <v>37741</v>
      </c>
      <c r="B87" s="468">
        <v>0.10239913164911463</v>
      </c>
      <c r="C87" s="468">
        <v>0.15369304705597275</v>
      </c>
      <c r="D87" s="469">
        <v>0.16062534936939343</v>
      </c>
      <c r="G87" s="470"/>
      <c r="H87" s="471"/>
    </row>
    <row r="88" spans="1:8" x14ac:dyDescent="0.35">
      <c r="A88" s="467">
        <v>37743</v>
      </c>
      <c r="B88" s="468">
        <v>0.1032525835724265</v>
      </c>
      <c r="C88" s="468">
        <v>0.15330494498810987</v>
      </c>
      <c r="D88" s="469">
        <v>0.15875364103117295</v>
      </c>
      <c r="G88" s="470"/>
      <c r="H88" s="471"/>
    </row>
    <row r="89" spans="1:8" x14ac:dyDescent="0.35">
      <c r="A89" s="467">
        <v>37746</v>
      </c>
      <c r="B89" s="468">
        <v>0.10104566866040754</v>
      </c>
      <c r="C89" s="468">
        <v>0.15164798051962869</v>
      </c>
      <c r="D89" s="469">
        <v>0.15832977744394361</v>
      </c>
      <c r="G89" s="470"/>
      <c r="H89" s="471"/>
    </row>
    <row r="90" spans="1:8" x14ac:dyDescent="0.35">
      <c r="A90" s="467">
        <v>37747</v>
      </c>
      <c r="B90" s="468">
        <v>0.10085660852027001</v>
      </c>
      <c r="C90" s="468">
        <v>0.14802490061056228</v>
      </c>
      <c r="D90" s="469">
        <v>0.15446260561550651</v>
      </c>
      <c r="G90" s="470"/>
      <c r="H90" s="471"/>
    </row>
    <row r="91" spans="1:8" x14ac:dyDescent="0.35">
      <c r="A91" s="467">
        <v>37748</v>
      </c>
      <c r="B91" s="468">
        <v>0.10047025942815946</v>
      </c>
      <c r="C91" s="468">
        <v>0.14712554803066502</v>
      </c>
      <c r="D91" s="469">
        <v>0.15343896580587946</v>
      </c>
      <c r="G91" s="470"/>
      <c r="H91" s="471"/>
    </row>
    <row r="92" spans="1:8" x14ac:dyDescent="0.35">
      <c r="A92" s="467">
        <v>37749</v>
      </c>
      <c r="B92" s="468">
        <v>9.7241841742051749E-2</v>
      </c>
      <c r="C92" s="468">
        <v>0.14309352633418571</v>
      </c>
      <c r="D92" s="469">
        <v>0.14935153079164154</v>
      </c>
      <c r="G92" s="470"/>
      <c r="H92" s="471"/>
    </row>
    <row r="93" spans="1:8" x14ac:dyDescent="0.35">
      <c r="A93" s="467">
        <v>37750</v>
      </c>
      <c r="B93" s="468">
        <v>0.10047531093189876</v>
      </c>
      <c r="C93" s="468">
        <v>0.14063748567995837</v>
      </c>
      <c r="D93" s="469">
        <v>0.14845505935492076</v>
      </c>
      <c r="G93" s="470"/>
      <c r="H93" s="471"/>
    </row>
    <row r="94" spans="1:8" x14ac:dyDescent="0.35">
      <c r="A94" s="467">
        <v>37753</v>
      </c>
      <c r="B94" s="468">
        <v>9.7281448061319109E-2</v>
      </c>
      <c r="C94" s="468">
        <v>0.13766795835650658</v>
      </c>
      <c r="D94" s="469">
        <v>0.14773668140440788</v>
      </c>
      <c r="G94" s="470"/>
      <c r="H94" s="471"/>
    </row>
    <row r="95" spans="1:8" x14ac:dyDescent="0.35">
      <c r="A95" s="467">
        <v>37754</v>
      </c>
      <c r="B95" s="468">
        <v>9.6754262290144721E-2</v>
      </c>
      <c r="C95" s="468">
        <v>0.14097748036498414</v>
      </c>
      <c r="D95" s="469">
        <v>0.14460184301265566</v>
      </c>
      <c r="G95" s="470"/>
      <c r="H95" s="471"/>
    </row>
    <row r="96" spans="1:8" x14ac:dyDescent="0.35">
      <c r="A96" s="467">
        <v>37755</v>
      </c>
      <c r="B96" s="468">
        <v>9.7696661344109481E-2</v>
      </c>
      <c r="C96" s="468">
        <v>0.14430631813448569</v>
      </c>
      <c r="D96" s="469">
        <v>0.15179164584520599</v>
      </c>
      <c r="G96" s="470"/>
      <c r="H96" s="471"/>
    </row>
    <row r="97" spans="1:8" x14ac:dyDescent="0.35">
      <c r="A97" s="467">
        <v>37756</v>
      </c>
      <c r="B97" s="468">
        <v>9.9921655494837891E-2</v>
      </c>
      <c r="C97" s="468">
        <v>0.15045294968396039</v>
      </c>
      <c r="D97" s="469">
        <v>0.1479520489764361</v>
      </c>
      <c r="G97" s="470"/>
      <c r="H97" s="471"/>
    </row>
    <row r="98" spans="1:8" x14ac:dyDescent="0.35">
      <c r="A98" s="467">
        <v>37757</v>
      </c>
      <c r="B98" s="468">
        <v>9.8093103141667415E-2</v>
      </c>
      <c r="C98" s="468">
        <v>0.14946901417969882</v>
      </c>
      <c r="D98" s="469">
        <v>0.15872654217477766</v>
      </c>
      <c r="G98" s="470"/>
      <c r="H98" s="471"/>
    </row>
    <row r="99" spans="1:8" x14ac:dyDescent="0.35">
      <c r="A99" s="467">
        <v>37760</v>
      </c>
      <c r="B99" s="468">
        <v>0.10424981076012996</v>
      </c>
      <c r="C99" s="468">
        <v>0.1616193820074312</v>
      </c>
      <c r="D99" s="469">
        <v>0.16339763993565648</v>
      </c>
      <c r="G99" s="470"/>
      <c r="H99" s="471"/>
    </row>
    <row r="100" spans="1:8" x14ac:dyDescent="0.35">
      <c r="A100" s="467">
        <v>37761</v>
      </c>
      <c r="B100" s="468">
        <v>0.10435672912915184</v>
      </c>
      <c r="C100" s="468">
        <v>0.16047125410413221</v>
      </c>
      <c r="D100" s="469">
        <v>0.1604777089657301</v>
      </c>
      <c r="G100" s="470"/>
      <c r="H100" s="471"/>
    </row>
    <row r="101" spans="1:8" x14ac:dyDescent="0.35">
      <c r="A101" s="467">
        <v>37762</v>
      </c>
      <c r="B101" s="468">
        <v>0.10510922732987948</v>
      </c>
      <c r="C101" s="468">
        <v>0.14950269245323344</v>
      </c>
      <c r="D101" s="469">
        <v>0.15816611296918781</v>
      </c>
      <c r="G101" s="470"/>
      <c r="H101" s="471"/>
    </row>
    <row r="102" spans="1:8" x14ac:dyDescent="0.35">
      <c r="A102" s="467">
        <v>37763</v>
      </c>
      <c r="B102" s="468">
        <v>0.10272450807835498</v>
      </c>
      <c r="C102" s="468">
        <v>0.15333117781607397</v>
      </c>
      <c r="D102" s="469">
        <v>0.15708451835284154</v>
      </c>
      <c r="G102" s="470"/>
      <c r="H102" s="471"/>
    </row>
    <row r="103" spans="1:8" x14ac:dyDescent="0.35">
      <c r="A103" s="467">
        <v>37764</v>
      </c>
      <c r="B103" s="468">
        <v>0.10140299528597096</v>
      </c>
      <c r="C103" s="468">
        <v>0.14647621922393794</v>
      </c>
      <c r="D103" s="469">
        <v>0.15603071214909359</v>
      </c>
      <c r="G103" s="470"/>
      <c r="H103" s="471"/>
    </row>
    <row r="104" spans="1:8" x14ac:dyDescent="0.35">
      <c r="A104" s="467">
        <v>37767</v>
      </c>
      <c r="B104" s="468">
        <v>0.10219555280952153</v>
      </c>
      <c r="C104" s="468">
        <v>0.14626293350317732</v>
      </c>
      <c r="D104" s="469">
        <v>0.15347825065387433</v>
      </c>
      <c r="G104" s="470"/>
      <c r="H104" s="471"/>
    </row>
    <row r="105" spans="1:8" x14ac:dyDescent="0.35">
      <c r="A105" s="467">
        <v>37768</v>
      </c>
      <c r="B105" s="468">
        <v>0.10147089189100278</v>
      </c>
      <c r="C105" s="468">
        <v>0.14717298631973108</v>
      </c>
      <c r="D105" s="469">
        <v>0.15431169739645711</v>
      </c>
      <c r="G105" s="470"/>
      <c r="H105" s="471"/>
    </row>
    <row r="106" spans="1:8" x14ac:dyDescent="0.35">
      <c r="A106" s="467">
        <v>37769</v>
      </c>
      <c r="B106" s="468">
        <v>0.10216236251801525</v>
      </c>
      <c r="C106" s="468">
        <v>0.14761069775107982</v>
      </c>
      <c r="D106" s="469">
        <v>0.15439692478509648</v>
      </c>
      <c r="G106" s="470"/>
      <c r="H106" s="471"/>
    </row>
    <row r="107" spans="1:8" x14ac:dyDescent="0.35">
      <c r="A107" s="467">
        <v>37770</v>
      </c>
      <c r="B107" s="468">
        <v>0.10346264398301552</v>
      </c>
      <c r="C107" s="468">
        <v>0.14593964733321929</v>
      </c>
      <c r="D107" s="469">
        <v>0.15349775655447262</v>
      </c>
      <c r="G107" s="470"/>
      <c r="H107" s="471"/>
    </row>
    <row r="108" spans="1:8" x14ac:dyDescent="0.35">
      <c r="A108" s="467">
        <v>37771</v>
      </c>
      <c r="B108" s="468">
        <v>0.10140453690799012</v>
      </c>
      <c r="C108" s="468">
        <v>0.14650616086300294</v>
      </c>
      <c r="D108" s="469">
        <v>0.15040492308523956</v>
      </c>
      <c r="G108" s="470"/>
      <c r="H108" s="471"/>
    </row>
    <row r="109" spans="1:8" x14ac:dyDescent="0.35">
      <c r="A109" s="467">
        <v>37775</v>
      </c>
      <c r="B109" s="468">
        <v>0.10142177141331876</v>
      </c>
      <c r="C109" s="468">
        <v>0.1450936241145917</v>
      </c>
      <c r="D109" s="469">
        <v>0.15210602276282659</v>
      </c>
      <c r="G109" s="470"/>
      <c r="H109" s="471"/>
    </row>
    <row r="110" spans="1:8" x14ac:dyDescent="0.35">
      <c r="A110" s="467">
        <v>37776</v>
      </c>
      <c r="B110" s="468">
        <v>0.10219575558530725</v>
      </c>
      <c r="C110" s="468">
        <v>0.14693764598276426</v>
      </c>
      <c r="D110" s="469">
        <v>0.16043717946369584</v>
      </c>
      <c r="G110" s="470"/>
      <c r="H110" s="471"/>
    </row>
    <row r="111" spans="1:8" x14ac:dyDescent="0.35">
      <c r="A111" s="467">
        <v>37777</v>
      </c>
      <c r="B111" s="468">
        <v>0.10296265430904272</v>
      </c>
      <c r="C111" s="468">
        <v>0.14477331692152773</v>
      </c>
      <c r="D111" s="469">
        <v>0.15412338447910012</v>
      </c>
      <c r="G111" s="470"/>
      <c r="H111" s="471"/>
    </row>
    <row r="112" spans="1:8" x14ac:dyDescent="0.35">
      <c r="A112" s="467">
        <v>37778</v>
      </c>
      <c r="B112" s="468">
        <v>0.10401057077866138</v>
      </c>
      <c r="C112" s="468">
        <v>0.14144083475513547</v>
      </c>
      <c r="D112" s="469">
        <v>0.14764376272577517</v>
      </c>
      <c r="G112" s="470"/>
      <c r="H112" s="471"/>
    </row>
    <row r="113" spans="1:8" x14ac:dyDescent="0.35">
      <c r="A113" s="467">
        <v>37781</v>
      </c>
      <c r="B113" s="468">
        <v>0.10419961577396286</v>
      </c>
      <c r="C113" s="468">
        <v>0.14391049834720304</v>
      </c>
      <c r="D113" s="469">
        <v>0.15234309390475342</v>
      </c>
      <c r="G113" s="470"/>
      <c r="H113" s="471"/>
    </row>
    <row r="114" spans="1:8" x14ac:dyDescent="0.35">
      <c r="A114" s="467">
        <v>37782</v>
      </c>
      <c r="B114" s="468">
        <v>0.10391274844978726</v>
      </c>
      <c r="C114" s="468">
        <v>0.14603163926892382</v>
      </c>
      <c r="D114" s="469">
        <v>0.15581645081355644</v>
      </c>
      <c r="G114" s="470"/>
      <c r="H114" s="471"/>
    </row>
    <row r="115" spans="1:8" x14ac:dyDescent="0.35">
      <c r="A115" s="467">
        <v>37783</v>
      </c>
      <c r="B115" s="468">
        <v>0.10214582843418607</v>
      </c>
      <c r="C115" s="468">
        <v>0.14551141723645311</v>
      </c>
      <c r="D115" s="469">
        <v>0.15546010271321853</v>
      </c>
      <c r="G115" s="470"/>
      <c r="H115" s="471"/>
    </row>
    <row r="116" spans="1:8" x14ac:dyDescent="0.35">
      <c r="A116" s="467">
        <v>37784</v>
      </c>
      <c r="B116" s="468">
        <v>0.10136335182707956</v>
      </c>
      <c r="C116" s="468">
        <v>0.14670484052712363</v>
      </c>
      <c r="D116" s="469">
        <v>0.15570097389435067</v>
      </c>
      <c r="G116" s="470"/>
      <c r="H116" s="471"/>
    </row>
    <row r="117" spans="1:8" x14ac:dyDescent="0.35">
      <c r="A117" s="467">
        <v>37785</v>
      </c>
      <c r="B117" s="468">
        <v>0.10137308020824976</v>
      </c>
      <c r="C117" s="468">
        <v>0.14574849917922972</v>
      </c>
      <c r="D117" s="469">
        <v>0.15631249724612339</v>
      </c>
      <c r="G117" s="470"/>
      <c r="H117" s="471"/>
    </row>
    <row r="118" spans="1:8" x14ac:dyDescent="0.35">
      <c r="A118" s="467">
        <v>37788</v>
      </c>
      <c r="B118" s="468">
        <v>0.10143465113075467</v>
      </c>
      <c r="C118" s="468">
        <v>0.14534013057774442</v>
      </c>
      <c r="D118" s="469">
        <v>0.15721714983170298</v>
      </c>
      <c r="G118" s="470"/>
      <c r="H118" s="471"/>
    </row>
    <row r="119" spans="1:8" x14ac:dyDescent="0.35">
      <c r="A119" s="467">
        <v>37789</v>
      </c>
      <c r="B119" s="468">
        <v>9.9287423371502204E-2</v>
      </c>
      <c r="C119" s="468">
        <v>0.14663006855269356</v>
      </c>
      <c r="D119" s="469">
        <v>0.15704022557863673</v>
      </c>
      <c r="G119" s="470"/>
      <c r="H119" s="471"/>
    </row>
    <row r="120" spans="1:8" x14ac:dyDescent="0.35">
      <c r="A120" s="467">
        <v>37790</v>
      </c>
      <c r="B120" s="468">
        <v>9.8423993868555382E-2</v>
      </c>
      <c r="C120" s="468">
        <v>0.14635305820599442</v>
      </c>
      <c r="D120" s="469">
        <v>0.15465690223850359</v>
      </c>
      <c r="G120" s="470"/>
      <c r="H120" s="471"/>
    </row>
    <row r="121" spans="1:8" x14ac:dyDescent="0.35">
      <c r="A121" s="467">
        <v>37791</v>
      </c>
      <c r="B121" s="468">
        <v>9.9397620396258102E-2</v>
      </c>
      <c r="C121" s="468">
        <v>0.1446979782424247</v>
      </c>
      <c r="D121" s="469">
        <v>0.15598315859947132</v>
      </c>
      <c r="G121" s="470"/>
      <c r="H121" s="471"/>
    </row>
    <row r="122" spans="1:8" x14ac:dyDescent="0.35">
      <c r="A122" s="467">
        <v>37792</v>
      </c>
      <c r="B122" s="468">
        <v>0.10577523042904224</v>
      </c>
      <c r="C122" s="468">
        <v>0.14271941475357863</v>
      </c>
      <c r="D122" s="469">
        <v>0.15220966098055877</v>
      </c>
      <c r="G122" s="470"/>
      <c r="H122" s="471"/>
    </row>
    <row r="123" spans="1:8" x14ac:dyDescent="0.35">
      <c r="A123" s="467">
        <v>37796</v>
      </c>
      <c r="B123" s="468">
        <v>9.8810838445813065E-2</v>
      </c>
      <c r="C123" s="468">
        <v>0.14317854600082192</v>
      </c>
      <c r="D123" s="469">
        <v>0.15400702382222375</v>
      </c>
      <c r="G123" s="470"/>
      <c r="H123" s="471"/>
    </row>
    <row r="124" spans="1:8" x14ac:dyDescent="0.35">
      <c r="A124" s="467">
        <v>37797</v>
      </c>
      <c r="B124" s="468">
        <v>9.8680591412676932E-2</v>
      </c>
      <c r="C124" s="468">
        <v>0.14201700412011897</v>
      </c>
      <c r="D124" s="469">
        <v>0.15339068274422152</v>
      </c>
      <c r="G124" s="470"/>
      <c r="H124" s="471"/>
    </row>
    <row r="125" spans="1:8" x14ac:dyDescent="0.35">
      <c r="A125" s="467">
        <v>37798</v>
      </c>
      <c r="B125" s="468">
        <v>9.8269920439634895E-2</v>
      </c>
      <c r="C125" s="468">
        <v>0.14134532506780206</v>
      </c>
      <c r="D125" s="469">
        <v>0.15116270216308547</v>
      </c>
      <c r="G125" s="470"/>
      <c r="H125" s="471"/>
    </row>
    <row r="126" spans="1:8" x14ac:dyDescent="0.35">
      <c r="A126" s="467">
        <v>37799</v>
      </c>
      <c r="B126" s="468">
        <v>9.7357319607174642E-2</v>
      </c>
      <c r="C126" s="468">
        <v>0.1419336247523042</v>
      </c>
      <c r="D126" s="469">
        <v>0.15129653496884621</v>
      </c>
      <c r="G126" s="470"/>
      <c r="H126" s="471"/>
    </row>
    <row r="127" spans="1:8" x14ac:dyDescent="0.35">
      <c r="A127" s="467">
        <v>37803</v>
      </c>
      <c r="B127" s="468">
        <v>9.973952246835549E-2</v>
      </c>
      <c r="C127" s="468">
        <v>0.1407818065567219</v>
      </c>
      <c r="D127" s="469">
        <v>0.14905503885970739</v>
      </c>
      <c r="G127" s="470"/>
      <c r="H127" s="471"/>
    </row>
    <row r="128" spans="1:8" x14ac:dyDescent="0.35">
      <c r="A128" s="467">
        <v>37804</v>
      </c>
      <c r="B128" s="468">
        <v>9.9303413204148816E-2</v>
      </c>
      <c r="C128" s="468">
        <v>0.14012641697931039</v>
      </c>
      <c r="D128" s="469">
        <v>0.14868863867863857</v>
      </c>
      <c r="G128" s="470"/>
      <c r="H128" s="471"/>
    </row>
    <row r="129" spans="1:8" x14ac:dyDescent="0.35">
      <c r="A129" s="467">
        <v>37805</v>
      </c>
      <c r="B129" s="468">
        <v>9.9668677219719282E-2</v>
      </c>
      <c r="C129" s="468">
        <v>0.14042130402302999</v>
      </c>
      <c r="D129" s="469">
        <v>0.14948646540234312</v>
      </c>
      <c r="G129" s="470"/>
      <c r="H129" s="471"/>
    </row>
    <row r="130" spans="1:8" x14ac:dyDescent="0.35">
      <c r="A130" s="467">
        <v>37806</v>
      </c>
      <c r="B130" s="468">
        <v>0.10000429248693177</v>
      </c>
      <c r="C130" s="468">
        <v>0.14003059258921535</v>
      </c>
      <c r="D130" s="469">
        <v>0.14878419796527198</v>
      </c>
      <c r="G130" s="470"/>
      <c r="H130" s="471"/>
    </row>
    <row r="131" spans="1:8" x14ac:dyDescent="0.35">
      <c r="A131" s="467">
        <v>37809</v>
      </c>
      <c r="B131" s="468">
        <v>0.10076598532110181</v>
      </c>
      <c r="C131" s="468">
        <v>0.14117823612106672</v>
      </c>
      <c r="D131" s="469">
        <v>0.14876411869744466</v>
      </c>
      <c r="G131" s="470"/>
      <c r="H131" s="471"/>
    </row>
    <row r="132" spans="1:8" x14ac:dyDescent="0.35">
      <c r="A132" s="467">
        <v>37810</v>
      </c>
      <c r="B132" s="468">
        <v>0.10264690319401359</v>
      </c>
      <c r="C132" s="468">
        <v>0.14241085246177265</v>
      </c>
      <c r="D132" s="469">
        <v>0.15359875994354599</v>
      </c>
      <c r="G132" s="470"/>
      <c r="H132" s="471"/>
    </row>
    <row r="133" spans="1:8" x14ac:dyDescent="0.35">
      <c r="A133" s="467">
        <v>37811</v>
      </c>
      <c r="B133" s="468">
        <v>0.10245890409632397</v>
      </c>
      <c r="C133" s="468">
        <v>0.14233484492157711</v>
      </c>
      <c r="D133" s="469">
        <v>0.15337801352887204</v>
      </c>
      <c r="G133" s="470"/>
      <c r="H133" s="471"/>
    </row>
    <row r="134" spans="1:8" x14ac:dyDescent="0.35">
      <c r="A134" s="467">
        <v>37812</v>
      </c>
      <c r="B134" s="468">
        <v>0.10165264635625859</v>
      </c>
      <c r="C134" s="468">
        <v>0.1420960953029291</v>
      </c>
      <c r="D134" s="469">
        <v>0.15335878256182833</v>
      </c>
      <c r="G134" s="470"/>
      <c r="H134" s="471"/>
    </row>
    <row r="135" spans="1:8" x14ac:dyDescent="0.35">
      <c r="A135" s="467">
        <v>37813</v>
      </c>
      <c r="B135" s="468">
        <v>0.10111706255888242</v>
      </c>
      <c r="C135" s="468">
        <v>0.14171114688445252</v>
      </c>
      <c r="D135" s="469">
        <v>0.15389255655077783</v>
      </c>
      <c r="G135" s="470"/>
      <c r="H135" s="471"/>
    </row>
    <row r="136" spans="1:8" x14ac:dyDescent="0.35">
      <c r="A136" s="467">
        <v>37816</v>
      </c>
      <c r="B136" s="468">
        <v>0.10168814018953753</v>
      </c>
      <c r="C136" s="468">
        <v>0.14294850192527053</v>
      </c>
      <c r="D136" s="469">
        <v>0.15544681541156957</v>
      </c>
      <c r="G136" s="470"/>
      <c r="H136" s="471"/>
    </row>
    <row r="137" spans="1:8" x14ac:dyDescent="0.35">
      <c r="A137" s="467">
        <v>37817</v>
      </c>
      <c r="B137" s="468">
        <v>0.10224447565530403</v>
      </c>
      <c r="C137" s="468">
        <v>0.14401772007916014</v>
      </c>
      <c r="D137" s="469">
        <v>0.1558172566115088</v>
      </c>
      <c r="G137" s="470"/>
      <c r="H137" s="471"/>
    </row>
    <row r="138" spans="1:8" x14ac:dyDescent="0.35">
      <c r="A138" s="467">
        <v>37818</v>
      </c>
      <c r="B138" s="468">
        <v>0.10257490547383097</v>
      </c>
      <c r="C138" s="468">
        <v>0.14383375471620652</v>
      </c>
      <c r="D138" s="469">
        <v>0.15587077451457043</v>
      </c>
      <c r="G138" s="470"/>
      <c r="H138" s="471"/>
    </row>
    <row r="139" spans="1:8" x14ac:dyDescent="0.35">
      <c r="A139" s="467">
        <v>37819</v>
      </c>
      <c r="B139" s="468">
        <v>0.1017144435750359</v>
      </c>
      <c r="C139" s="468">
        <v>0.14578987495586482</v>
      </c>
      <c r="D139" s="469">
        <v>0.15506860791623356</v>
      </c>
      <c r="G139" s="470"/>
      <c r="H139" s="471"/>
    </row>
    <row r="140" spans="1:8" x14ac:dyDescent="0.35">
      <c r="A140" s="467">
        <v>37820</v>
      </c>
      <c r="B140" s="468">
        <v>0.10018411946465045</v>
      </c>
      <c r="C140" s="468">
        <v>0.14416254114307181</v>
      </c>
      <c r="D140" s="469">
        <v>0.15520838339803067</v>
      </c>
      <c r="G140" s="470"/>
      <c r="H140" s="471"/>
    </row>
    <row r="141" spans="1:8" x14ac:dyDescent="0.35">
      <c r="A141" s="467">
        <v>37823</v>
      </c>
      <c r="B141" s="468">
        <v>0.10138911039365306</v>
      </c>
      <c r="C141" s="468">
        <v>0.14435579087790074</v>
      </c>
      <c r="D141" s="469">
        <v>0.15409795486823952</v>
      </c>
      <c r="G141" s="470"/>
      <c r="H141" s="471"/>
    </row>
    <row r="142" spans="1:8" x14ac:dyDescent="0.35">
      <c r="A142" s="467">
        <v>37824</v>
      </c>
      <c r="B142" s="468">
        <v>0.10159907237413668</v>
      </c>
      <c r="C142" s="468">
        <v>0.14537175533461966</v>
      </c>
      <c r="D142" s="469">
        <v>0.15494710634347864</v>
      </c>
      <c r="G142" s="470"/>
      <c r="H142" s="471"/>
    </row>
    <row r="143" spans="1:8" x14ac:dyDescent="0.35">
      <c r="A143" s="467">
        <v>37825</v>
      </c>
      <c r="B143" s="468">
        <v>0.10127972139513441</v>
      </c>
      <c r="C143" s="468">
        <v>0.14565990465888645</v>
      </c>
      <c r="D143" s="469">
        <v>0.15581463370950344</v>
      </c>
      <c r="G143" s="470"/>
      <c r="H143" s="471"/>
    </row>
    <row r="144" spans="1:8" x14ac:dyDescent="0.35">
      <c r="A144" s="467">
        <v>37826</v>
      </c>
      <c r="B144" s="468">
        <v>0.10065778962351812</v>
      </c>
      <c r="C144" s="468">
        <v>0.14834836287099828</v>
      </c>
      <c r="D144" s="469">
        <v>0.14992833738060996</v>
      </c>
      <c r="G144" s="470"/>
      <c r="H144" s="471"/>
    </row>
    <row r="145" spans="1:8" x14ac:dyDescent="0.35">
      <c r="A145" s="467">
        <v>37827</v>
      </c>
      <c r="B145" s="468">
        <v>9.9923708276353551E-2</v>
      </c>
      <c r="C145" s="468">
        <v>0.14903909033667806</v>
      </c>
      <c r="D145" s="469">
        <v>0.1525414036182049</v>
      </c>
      <c r="G145" s="470"/>
      <c r="H145" s="471"/>
    </row>
    <row r="146" spans="1:8" x14ac:dyDescent="0.35">
      <c r="A146" s="467">
        <v>37830</v>
      </c>
      <c r="B146" s="468">
        <v>0.10091610199361112</v>
      </c>
      <c r="C146" s="468">
        <v>0.14588563216870942</v>
      </c>
      <c r="D146" s="469">
        <v>0.15593988789366908</v>
      </c>
      <c r="G146" s="470"/>
      <c r="H146" s="471"/>
    </row>
    <row r="147" spans="1:8" x14ac:dyDescent="0.35">
      <c r="A147" s="467">
        <v>37831</v>
      </c>
      <c r="B147" s="468">
        <v>0.10087580514210415</v>
      </c>
      <c r="C147" s="468">
        <v>0.14627947369784899</v>
      </c>
      <c r="D147" s="469">
        <v>0.15504624085403385</v>
      </c>
      <c r="G147" s="470"/>
      <c r="H147" s="471"/>
    </row>
    <row r="148" spans="1:8" x14ac:dyDescent="0.35">
      <c r="A148" s="467">
        <v>37832</v>
      </c>
      <c r="B148" s="468">
        <v>0.10043717153275544</v>
      </c>
      <c r="C148" s="468">
        <v>0.14666000112353816</v>
      </c>
      <c r="D148" s="469">
        <v>0.15295504775169788</v>
      </c>
      <c r="G148" s="470"/>
      <c r="H148" s="471"/>
    </row>
    <row r="149" spans="1:8" x14ac:dyDescent="0.35">
      <c r="A149" s="467">
        <v>37833</v>
      </c>
      <c r="B149" s="468">
        <v>0.10024558262542405</v>
      </c>
      <c r="C149" s="468">
        <v>0.14663390168379875</v>
      </c>
      <c r="D149" s="469">
        <v>0.15156114425514566</v>
      </c>
      <c r="G149" s="470"/>
      <c r="H149" s="471"/>
    </row>
    <row r="150" spans="1:8" x14ac:dyDescent="0.35">
      <c r="A150" s="467">
        <v>37834</v>
      </c>
      <c r="B150" s="468">
        <v>9.9155802834768547E-2</v>
      </c>
      <c r="C150" s="468">
        <v>0.14705716113554268</v>
      </c>
      <c r="D150" s="469">
        <v>0.15225301348554354</v>
      </c>
      <c r="G150" s="470"/>
      <c r="H150" s="471"/>
    </row>
    <row r="151" spans="1:8" x14ac:dyDescent="0.35">
      <c r="A151" s="467">
        <v>37837</v>
      </c>
      <c r="B151" s="468">
        <v>9.9828626160739509E-2</v>
      </c>
      <c r="C151" s="468">
        <v>0.14712849047023258</v>
      </c>
      <c r="D151" s="469">
        <v>0.15956212080340815</v>
      </c>
      <c r="G151" s="470"/>
      <c r="H151" s="471"/>
    </row>
    <row r="152" spans="1:8" x14ac:dyDescent="0.35">
      <c r="A152" s="467">
        <v>37838</v>
      </c>
      <c r="B152" s="468">
        <v>0.10169037540525583</v>
      </c>
      <c r="C152" s="468">
        <v>0.14739600831522348</v>
      </c>
      <c r="D152" s="469">
        <v>0.15686330738225807</v>
      </c>
      <c r="G152" s="470"/>
      <c r="H152" s="471"/>
    </row>
    <row r="153" spans="1:8" x14ac:dyDescent="0.35">
      <c r="A153" s="467">
        <v>37839</v>
      </c>
      <c r="B153" s="468">
        <v>9.9501641501328786E-2</v>
      </c>
      <c r="C153" s="468">
        <v>0.14730321344113517</v>
      </c>
      <c r="D153" s="469">
        <v>0.15399573367666197</v>
      </c>
      <c r="G153" s="470"/>
      <c r="H153" s="471"/>
    </row>
    <row r="154" spans="1:8" x14ac:dyDescent="0.35">
      <c r="A154" s="467">
        <v>37841</v>
      </c>
      <c r="B154" s="468">
        <v>9.9626764609258789E-2</v>
      </c>
      <c r="C154" s="468">
        <v>0.147165936928908</v>
      </c>
      <c r="D154" s="469">
        <v>0.15374576345520086</v>
      </c>
      <c r="G154" s="470"/>
      <c r="H154" s="471"/>
    </row>
    <row r="155" spans="1:8" x14ac:dyDescent="0.35">
      <c r="A155" s="467">
        <v>37844</v>
      </c>
      <c r="B155" s="468">
        <v>9.9158405831551999E-2</v>
      </c>
      <c r="C155" s="468">
        <v>0.14632459980572987</v>
      </c>
      <c r="D155" s="469">
        <v>0.15126378877513669</v>
      </c>
      <c r="G155" s="470"/>
      <c r="H155" s="471"/>
    </row>
    <row r="156" spans="1:8" x14ac:dyDescent="0.35">
      <c r="A156" s="467">
        <v>37845</v>
      </c>
      <c r="B156" s="468">
        <v>9.8524973332377863E-2</v>
      </c>
      <c r="C156" s="468">
        <v>0.14590154149811307</v>
      </c>
      <c r="D156" s="469">
        <v>0.15259104300269732</v>
      </c>
      <c r="G156" s="470"/>
      <c r="H156" s="471"/>
    </row>
    <row r="157" spans="1:8" x14ac:dyDescent="0.35">
      <c r="A157" s="467">
        <v>37846</v>
      </c>
      <c r="B157" s="468">
        <v>9.6265714078251019E-2</v>
      </c>
      <c r="C157" s="468">
        <v>0.14488330791769144</v>
      </c>
      <c r="D157" s="469">
        <v>0.1563023739220637</v>
      </c>
      <c r="G157" s="470"/>
      <c r="H157" s="471"/>
    </row>
    <row r="158" spans="1:8" x14ac:dyDescent="0.35">
      <c r="A158" s="467">
        <v>37847</v>
      </c>
      <c r="B158" s="468">
        <v>9.6001886935106251E-2</v>
      </c>
      <c r="C158" s="468">
        <v>0.14420609024342257</v>
      </c>
      <c r="D158" s="469">
        <v>0.15559125264861451</v>
      </c>
      <c r="G158" s="470"/>
      <c r="H158" s="471"/>
    </row>
    <row r="159" spans="1:8" x14ac:dyDescent="0.35">
      <c r="A159" s="467">
        <v>37848</v>
      </c>
      <c r="B159" s="468">
        <v>9.7701664346777406E-2</v>
      </c>
      <c r="C159" s="468">
        <v>0.1448575131346459</v>
      </c>
      <c r="D159" s="469">
        <v>0.15292064842775988</v>
      </c>
      <c r="G159" s="470"/>
      <c r="H159" s="471"/>
    </row>
    <row r="160" spans="1:8" x14ac:dyDescent="0.35">
      <c r="A160" s="467">
        <v>37852</v>
      </c>
      <c r="B160" s="468">
        <v>9.8149154803881533E-2</v>
      </c>
      <c r="C160" s="468">
        <v>0.14501495381542662</v>
      </c>
      <c r="D160" s="469">
        <v>0.15136509468484527</v>
      </c>
      <c r="G160" s="470"/>
      <c r="H160" s="471"/>
    </row>
    <row r="161" spans="1:8" x14ac:dyDescent="0.35">
      <c r="A161" s="467">
        <v>37853</v>
      </c>
      <c r="B161" s="468">
        <v>9.6275829034577987E-2</v>
      </c>
      <c r="C161" s="468">
        <v>0.14361484076058417</v>
      </c>
      <c r="D161" s="469">
        <v>0.15516441211712428</v>
      </c>
      <c r="G161" s="470"/>
      <c r="H161" s="471"/>
    </row>
    <row r="162" spans="1:8" x14ac:dyDescent="0.35">
      <c r="A162" s="467">
        <v>37854</v>
      </c>
      <c r="B162" s="468">
        <v>9.9055808651140387E-2</v>
      </c>
      <c r="C162" s="468">
        <v>0.1437564176995656</v>
      </c>
      <c r="D162" s="469">
        <v>0.15011816597654493</v>
      </c>
      <c r="G162" s="470"/>
      <c r="H162" s="471"/>
    </row>
    <row r="163" spans="1:8" x14ac:dyDescent="0.35">
      <c r="A163" s="467">
        <v>37855</v>
      </c>
      <c r="B163" s="468">
        <v>9.7645126661868531E-2</v>
      </c>
      <c r="C163" s="468">
        <v>0.14357182803940161</v>
      </c>
      <c r="D163" s="469">
        <v>0.15096582963343819</v>
      </c>
      <c r="G163" s="470"/>
      <c r="H163" s="471"/>
    </row>
    <row r="164" spans="1:8" x14ac:dyDescent="0.35">
      <c r="A164" s="467">
        <v>37858</v>
      </c>
      <c r="B164" s="468">
        <v>9.705982013792136E-2</v>
      </c>
      <c r="C164" s="468">
        <v>0.14394910510407355</v>
      </c>
      <c r="D164" s="469">
        <v>0.15502385545283515</v>
      </c>
      <c r="G164" s="470"/>
      <c r="H164" s="471"/>
    </row>
    <row r="165" spans="1:8" x14ac:dyDescent="0.35">
      <c r="A165" s="467">
        <v>37859</v>
      </c>
      <c r="B165" s="468">
        <v>9.8323846150167427E-2</v>
      </c>
      <c r="C165" s="468">
        <v>0.14493309630131845</v>
      </c>
      <c r="D165" s="469">
        <v>0.15353997809575715</v>
      </c>
      <c r="G165" s="470"/>
      <c r="H165" s="471"/>
    </row>
    <row r="166" spans="1:8" x14ac:dyDescent="0.35">
      <c r="A166" s="467">
        <v>37860</v>
      </c>
      <c r="B166" s="468">
        <v>9.8278003392081592E-2</v>
      </c>
      <c r="C166" s="468">
        <v>0.14437468573531165</v>
      </c>
      <c r="D166" s="469">
        <v>0.15176751394457821</v>
      </c>
      <c r="G166" s="470"/>
      <c r="H166" s="471"/>
    </row>
    <row r="167" spans="1:8" x14ac:dyDescent="0.35">
      <c r="A167" s="467">
        <v>37861</v>
      </c>
      <c r="B167" s="468">
        <v>9.6799849964331441E-2</v>
      </c>
      <c r="C167" s="468">
        <v>0.14345932695463492</v>
      </c>
      <c r="D167" s="469">
        <v>0.15589938446146778</v>
      </c>
      <c r="G167" s="470"/>
      <c r="H167" s="471"/>
    </row>
    <row r="168" spans="1:8" x14ac:dyDescent="0.35">
      <c r="A168" s="467">
        <v>37862</v>
      </c>
      <c r="B168" s="468">
        <v>9.7424690797794256E-2</v>
      </c>
      <c r="C168" s="468">
        <v>0.14195425449156684</v>
      </c>
      <c r="D168" s="469">
        <v>0.15256614210382335</v>
      </c>
      <c r="G168" s="470"/>
      <c r="H168" s="471"/>
    </row>
    <row r="169" spans="1:8" x14ac:dyDescent="0.35">
      <c r="A169" s="467">
        <v>37865</v>
      </c>
      <c r="B169" s="468">
        <v>9.7776303485141769E-2</v>
      </c>
      <c r="C169" s="468">
        <v>0.14196659594933814</v>
      </c>
      <c r="D169" s="469">
        <v>0.14989893176166946</v>
      </c>
      <c r="G169" s="470"/>
      <c r="H169" s="471"/>
    </row>
    <row r="170" spans="1:8" x14ac:dyDescent="0.35">
      <c r="A170" s="467">
        <v>37866</v>
      </c>
      <c r="B170" s="468">
        <v>9.8379906605442491E-2</v>
      </c>
      <c r="C170" s="468">
        <v>0.14268736102977941</v>
      </c>
      <c r="D170" s="469">
        <v>0.15248497416883433</v>
      </c>
      <c r="G170" s="470"/>
      <c r="H170" s="471"/>
    </row>
    <row r="171" spans="1:8" x14ac:dyDescent="0.35">
      <c r="A171" s="467">
        <v>37867</v>
      </c>
      <c r="B171" s="468">
        <v>9.7424108285916633E-2</v>
      </c>
      <c r="C171" s="468">
        <v>0.14120221259320354</v>
      </c>
      <c r="D171" s="469">
        <v>0.15072526248514895</v>
      </c>
      <c r="G171" s="470"/>
      <c r="H171" s="471"/>
    </row>
    <row r="172" spans="1:8" x14ac:dyDescent="0.35">
      <c r="A172" s="467">
        <v>37868</v>
      </c>
      <c r="B172" s="468">
        <v>9.6830320743824139E-2</v>
      </c>
      <c r="C172" s="468">
        <v>0.13974246449956329</v>
      </c>
      <c r="D172" s="469">
        <v>0.15127670363339818</v>
      </c>
      <c r="G172" s="470"/>
      <c r="H172" s="471"/>
    </row>
    <row r="173" spans="1:8" x14ac:dyDescent="0.35">
      <c r="A173" s="467">
        <v>37869</v>
      </c>
      <c r="B173" s="468">
        <v>9.7102915698555226E-2</v>
      </c>
      <c r="C173" s="468">
        <v>0.14071177709225302</v>
      </c>
      <c r="D173" s="469">
        <v>0.15077230229793903</v>
      </c>
      <c r="G173" s="470"/>
      <c r="H173" s="471"/>
    </row>
    <row r="174" spans="1:8" x14ac:dyDescent="0.35">
      <c r="A174" s="467">
        <v>37872</v>
      </c>
      <c r="B174" s="468">
        <v>9.6698705382113781E-2</v>
      </c>
      <c r="C174" s="468">
        <v>0.14084910432256015</v>
      </c>
      <c r="D174" s="469">
        <v>0.1553470377994306</v>
      </c>
      <c r="G174" s="470"/>
      <c r="H174" s="471"/>
    </row>
    <row r="175" spans="1:8" x14ac:dyDescent="0.35">
      <c r="A175" s="467">
        <v>37873</v>
      </c>
      <c r="B175" s="468">
        <v>9.7036152213340943E-2</v>
      </c>
      <c r="C175" s="468">
        <v>0.13976643319704984</v>
      </c>
      <c r="D175" s="469">
        <v>0.15235396112204369</v>
      </c>
      <c r="G175" s="470"/>
      <c r="H175" s="471"/>
    </row>
    <row r="176" spans="1:8" x14ac:dyDescent="0.35">
      <c r="A176" s="467">
        <v>37874</v>
      </c>
      <c r="B176" s="468">
        <v>9.7154371072245782E-2</v>
      </c>
      <c r="C176" s="468">
        <v>0.1399796036041745</v>
      </c>
      <c r="D176" s="469">
        <v>0.15396602588931474</v>
      </c>
      <c r="G176" s="470"/>
      <c r="H176" s="471"/>
    </row>
    <row r="177" spans="1:8" x14ac:dyDescent="0.35">
      <c r="A177" s="467">
        <v>37875</v>
      </c>
      <c r="B177" s="468">
        <v>9.7665553054777421E-2</v>
      </c>
      <c r="C177" s="468">
        <v>0.14004859362437738</v>
      </c>
      <c r="D177" s="469">
        <v>0.15024020386604753</v>
      </c>
      <c r="G177" s="470"/>
      <c r="H177" s="471"/>
    </row>
    <row r="178" spans="1:8" x14ac:dyDescent="0.35">
      <c r="A178" s="467">
        <v>37876</v>
      </c>
      <c r="B178" s="468">
        <v>9.845311379995425E-2</v>
      </c>
      <c r="C178" s="468">
        <v>0.13923207882320865</v>
      </c>
      <c r="D178" s="469">
        <v>0.15174516344269273</v>
      </c>
      <c r="G178" s="470"/>
      <c r="H178" s="471"/>
    </row>
    <row r="179" spans="1:8" x14ac:dyDescent="0.35">
      <c r="A179" s="467">
        <v>37879</v>
      </c>
      <c r="B179" s="468">
        <v>9.6761252054422098E-2</v>
      </c>
      <c r="C179" s="468">
        <v>0.14021767773188909</v>
      </c>
      <c r="D179" s="469">
        <v>0.14934390307834122</v>
      </c>
      <c r="G179" s="470"/>
      <c r="H179" s="471"/>
    </row>
    <row r="180" spans="1:8" x14ac:dyDescent="0.35">
      <c r="A180" s="467">
        <v>37880</v>
      </c>
      <c r="B180" s="468">
        <v>9.3590648446714608E-2</v>
      </c>
      <c r="C180" s="468">
        <v>0.14018853370642193</v>
      </c>
      <c r="D180" s="469">
        <v>0.15397375046753115</v>
      </c>
      <c r="G180" s="470"/>
      <c r="H180" s="471"/>
    </row>
    <row r="181" spans="1:8" x14ac:dyDescent="0.35">
      <c r="A181" s="467">
        <v>37881</v>
      </c>
      <c r="B181" s="468">
        <v>9.3901042477468888E-2</v>
      </c>
      <c r="C181" s="468">
        <v>0.1394958042036798</v>
      </c>
      <c r="D181" s="469">
        <v>0.15431181296909813</v>
      </c>
      <c r="G181" s="470"/>
      <c r="H181" s="471"/>
    </row>
    <row r="182" spans="1:8" x14ac:dyDescent="0.35">
      <c r="A182" s="467">
        <v>37882</v>
      </c>
      <c r="B182" s="468">
        <v>9.9711287106781121E-2</v>
      </c>
      <c r="C182" s="468">
        <v>0.14055845651474441</v>
      </c>
      <c r="D182" s="469">
        <v>0.15230710585311291</v>
      </c>
      <c r="G182" s="470"/>
      <c r="H182" s="471"/>
    </row>
    <row r="183" spans="1:8" x14ac:dyDescent="0.35">
      <c r="A183" s="467">
        <v>37883</v>
      </c>
      <c r="B183" s="468">
        <v>9.6039244785151245E-2</v>
      </c>
      <c r="C183" s="468">
        <v>0.14126577831647813</v>
      </c>
      <c r="D183" s="469">
        <v>0.15492194015669081</v>
      </c>
      <c r="G183" s="470"/>
      <c r="H183" s="471"/>
    </row>
    <row r="184" spans="1:8" x14ac:dyDescent="0.35">
      <c r="A184" s="467">
        <v>37886</v>
      </c>
      <c r="B184" s="468">
        <v>9.5456101735905907E-2</v>
      </c>
      <c r="C184" s="468">
        <v>0.14393799542412355</v>
      </c>
      <c r="D184" s="469">
        <v>0.1537484334081658</v>
      </c>
      <c r="G184" s="470"/>
      <c r="H184" s="471"/>
    </row>
    <row r="185" spans="1:8" x14ac:dyDescent="0.35">
      <c r="A185" s="467">
        <v>37887</v>
      </c>
      <c r="B185" s="468">
        <v>9.843439997975767E-2</v>
      </c>
      <c r="C185" s="468">
        <v>0.14471186067506348</v>
      </c>
      <c r="D185" s="469">
        <v>0.15598531530832149</v>
      </c>
      <c r="G185" s="470"/>
      <c r="H185" s="471"/>
    </row>
    <row r="186" spans="1:8" x14ac:dyDescent="0.35">
      <c r="A186" s="467">
        <v>37888</v>
      </c>
      <c r="B186" s="468">
        <v>9.8470051129876168E-2</v>
      </c>
      <c r="C186" s="468">
        <v>0.14366204915709169</v>
      </c>
      <c r="D186" s="469">
        <v>0.15771766358243089</v>
      </c>
      <c r="G186" s="470"/>
      <c r="H186" s="471"/>
    </row>
    <row r="187" spans="1:8" x14ac:dyDescent="0.35">
      <c r="A187" s="467">
        <v>37889</v>
      </c>
      <c r="B187" s="468">
        <v>9.7960597823472328E-2</v>
      </c>
      <c r="C187" s="468">
        <v>0.14440761900024235</v>
      </c>
      <c r="D187" s="469">
        <v>0.15188008780122297</v>
      </c>
      <c r="G187" s="470"/>
      <c r="H187" s="471"/>
    </row>
    <row r="188" spans="1:8" x14ac:dyDescent="0.35">
      <c r="A188" s="467">
        <v>37890</v>
      </c>
      <c r="B188" s="468">
        <v>9.9018974375906454E-2</v>
      </c>
      <c r="C188" s="468">
        <v>0.14498388237885518</v>
      </c>
      <c r="D188" s="469">
        <v>0.15258523825186865</v>
      </c>
      <c r="G188" s="470"/>
      <c r="H188" s="471"/>
    </row>
    <row r="189" spans="1:8" x14ac:dyDescent="0.35">
      <c r="A189" s="467">
        <v>37893</v>
      </c>
      <c r="B189" s="468">
        <v>0.10051321777766331</v>
      </c>
      <c r="C189" s="468">
        <v>0.1469154922540572</v>
      </c>
      <c r="D189" s="469">
        <v>0.15648883325874952</v>
      </c>
      <c r="G189" s="470"/>
      <c r="H189" s="471"/>
    </row>
    <row r="190" spans="1:8" x14ac:dyDescent="0.35">
      <c r="A190" s="467">
        <v>37894</v>
      </c>
      <c r="B190" s="468">
        <v>9.9941902618065903E-2</v>
      </c>
      <c r="C190" s="468">
        <v>0.1474471314217296</v>
      </c>
      <c r="D190" s="469">
        <v>0.15528182016436021</v>
      </c>
      <c r="G190" s="470"/>
      <c r="H190" s="471"/>
    </row>
    <row r="191" spans="1:8" x14ac:dyDescent="0.35">
      <c r="A191" s="467">
        <v>37895</v>
      </c>
      <c r="B191" s="468">
        <v>0.10134103252135285</v>
      </c>
      <c r="C191" s="468">
        <v>0.14822107232994641</v>
      </c>
      <c r="D191" s="469">
        <v>0.15502648545822462</v>
      </c>
      <c r="G191" s="470"/>
      <c r="H191" s="471"/>
    </row>
    <row r="192" spans="1:8" x14ac:dyDescent="0.35">
      <c r="A192" s="467">
        <v>37896</v>
      </c>
      <c r="B192" s="468">
        <v>0.10040685475356392</v>
      </c>
      <c r="C192" s="468">
        <v>0.14734310905588144</v>
      </c>
      <c r="D192" s="469">
        <v>0.15148279888137717</v>
      </c>
      <c r="G192" s="470"/>
      <c r="H192" s="471"/>
    </row>
    <row r="193" spans="1:8" x14ac:dyDescent="0.35">
      <c r="A193" s="467">
        <v>37897</v>
      </c>
      <c r="B193" s="468">
        <v>0.10114839510070217</v>
      </c>
      <c r="C193" s="468">
        <v>0.14423960609092923</v>
      </c>
      <c r="D193" s="469">
        <v>0.15488430484676119</v>
      </c>
      <c r="G193" s="470"/>
      <c r="H193" s="471"/>
    </row>
    <row r="194" spans="1:8" x14ac:dyDescent="0.35">
      <c r="A194" s="467">
        <v>37900</v>
      </c>
      <c r="B194" s="468">
        <v>0.1005413222117697</v>
      </c>
      <c r="C194" s="468">
        <v>0.14558389112372905</v>
      </c>
      <c r="D194" s="469">
        <v>0.15668821567201441</v>
      </c>
      <c r="G194" s="470"/>
      <c r="H194" s="471"/>
    </row>
    <row r="195" spans="1:8" x14ac:dyDescent="0.35">
      <c r="A195" s="467">
        <v>37901</v>
      </c>
      <c r="B195" s="468">
        <v>0.10000237451824168</v>
      </c>
      <c r="C195" s="468">
        <v>0.14638117530849515</v>
      </c>
      <c r="D195" s="469">
        <v>0.15779003032798533</v>
      </c>
      <c r="G195" s="470"/>
      <c r="H195" s="471"/>
    </row>
    <row r="196" spans="1:8" x14ac:dyDescent="0.35">
      <c r="A196" s="467">
        <v>37902</v>
      </c>
      <c r="B196" s="468">
        <v>0.10178553874337548</v>
      </c>
      <c r="C196" s="468">
        <v>0.14789494519765367</v>
      </c>
      <c r="D196" s="469">
        <v>0.14528003852235116</v>
      </c>
      <c r="G196" s="470"/>
      <c r="H196" s="471"/>
    </row>
    <row r="197" spans="1:8" x14ac:dyDescent="0.35">
      <c r="A197" s="467">
        <v>37903</v>
      </c>
      <c r="B197" s="468">
        <v>0.10171640446734953</v>
      </c>
      <c r="C197" s="468">
        <v>0.14975565798966617</v>
      </c>
      <c r="D197" s="469">
        <v>0.15060053182484845</v>
      </c>
      <c r="G197" s="470"/>
      <c r="H197" s="471"/>
    </row>
    <row r="198" spans="1:8" x14ac:dyDescent="0.35">
      <c r="A198" s="467">
        <v>37904</v>
      </c>
      <c r="B198" s="468">
        <v>0.10365853416195314</v>
      </c>
      <c r="C198" s="468">
        <v>0.14400145473983561</v>
      </c>
      <c r="D198" s="469">
        <v>0.15218104802204468</v>
      </c>
      <c r="G198" s="470"/>
      <c r="H198" s="471"/>
    </row>
    <row r="199" spans="1:8" x14ac:dyDescent="0.35">
      <c r="A199" s="467">
        <v>37908</v>
      </c>
      <c r="B199" s="468">
        <v>0.1014473619833649</v>
      </c>
      <c r="C199" s="468">
        <v>0.14607429074702649</v>
      </c>
      <c r="D199" s="469">
        <v>0.15413599645075271</v>
      </c>
      <c r="G199" s="470"/>
      <c r="H199" s="471"/>
    </row>
    <row r="200" spans="1:8" x14ac:dyDescent="0.35">
      <c r="A200" s="467">
        <v>37909</v>
      </c>
      <c r="B200" s="468">
        <v>0.10245485108695029</v>
      </c>
      <c r="C200" s="468">
        <v>0.14631231066524464</v>
      </c>
      <c r="D200" s="469">
        <v>0.15553286861185933</v>
      </c>
      <c r="G200" s="470"/>
      <c r="H200" s="471"/>
    </row>
    <row r="201" spans="1:8" x14ac:dyDescent="0.35">
      <c r="A201" s="467">
        <v>37910</v>
      </c>
      <c r="B201" s="468">
        <v>0.10112625518887874</v>
      </c>
      <c r="C201" s="468">
        <v>0.14585329632312272</v>
      </c>
      <c r="D201" s="469">
        <v>0.15662285338555382</v>
      </c>
      <c r="G201" s="470"/>
      <c r="H201" s="471"/>
    </row>
    <row r="202" spans="1:8" x14ac:dyDescent="0.35">
      <c r="A202" s="467">
        <v>37911</v>
      </c>
      <c r="B202" s="468">
        <v>0.10117684912075942</v>
      </c>
      <c r="C202" s="468">
        <v>0.14611965812186001</v>
      </c>
      <c r="D202" s="469">
        <v>0.15658628319586043</v>
      </c>
      <c r="G202" s="470"/>
      <c r="H202" s="471"/>
    </row>
    <row r="203" spans="1:8" x14ac:dyDescent="0.35">
      <c r="A203" s="467">
        <v>37914</v>
      </c>
      <c r="B203" s="468">
        <v>0.10128291727309202</v>
      </c>
      <c r="C203" s="468">
        <v>0.14587491781594331</v>
      </c>
      <c r="D203" s="469">
        <v>0.15425890028868672</v>
      </c>
      <c r="G203" s="470"/>
      <c r="H203" s="471"/>
    </row>
    <row r="204" spans="1:8" x14ac:dyDescent="0.35">
      <c r="A204" s="467">
        <v>37915</v>
      </c>
      <c r="B204" s="468">
        <v>0.1004854041582055</v>
      </c>
      <c r="C204" s="468">
        <v>0.14533534839644813</v>
      </c>
      <c r="D204" s="469">
        <v>0.15388001494792758</v>
      </c>
      <c r="G204" s="470"/>
      <c r="H204" s="471"/>
    </row>
    <row r="205" spans="1:8" x14ac:dyDescent="0.35">
      <c r="A205" s="467">
        <v>37916</v>
      </c>
      <c r="B205" s="468">
        <v>0.10209835622450436</v>
      </c>
      <c r="C205" s="468">
        <v>0.14513076759425503</v>
      </c>
      <c r="D205" s="469">
        <v>0.15266375922228659</v>
      </c>
      <c r="G205" s="470"/>
      <c r="H205" s="471"/>
    </row>
    <row r="206" spans="1:8" x14ac:dyDescent="0.35">
      <c r="A206" s="467">
        <v>37917</v>
      </c>
      <c r="B206" s="468">
        <v>0.10070721401564731</v>
      </c>
      <c r="C206" s="468">
        <v>0.14319131934889939</v>
      </c>
      <c r="D206" s="469">
        <v>0.15373161638050159</v>
      </c>
      <c r="G206" s="470"/>
      <c r="H206" s="471"/>
    </row>
    <row r="207" spans="1:8" x14ac:dyDescent="0.35">
      <c r="A207" s="467">
        <v>37918</v>
      </c>
      <c r="B207" s="468">
        <v>9.9216622849990443E-2</v>
      </c>
      <c r="C207" s="468">
        <v>0.14313206697596659</v>
      </c>
      <c r="D207" s="469">
        <v>0.150111376795665</v>
      </c>
      <c r="G207" s="470"/>
      <c r="H207" s="471"/>
    </row>
    <row r="208" spans="1:8" x14ac:dyDescent="0.35">
      <c r="A208" s="467">
        <v>37921</v>
      </c>
      <c r="B208" s="468">
        <v>0.10034057991149181</v>
      </c>
      <c r="C208" s="468">
        <v>0.14499220655940026</v>
      </c>
      <c r="D208" s="469">
        <v>0.1542697045029009</v>
      </c>
      <c r="G208" s="470"/>
      <c r="H208" s="471"/>
    </row>
    <row r="209" spans="1:8" x14ac:dyDescent="0.35">
      <c r="A209" s="467">
        <v>37922</v>
      </c>
      <c r="B209" s="468">
        <v>0.10001561043260221</v>
      </c>
      <c r="C209" s="468">
        <v>0.14536407162375409</v>
      </c>
      <c r="D209" s="469">
        <v>0.1523924379252084</v>
      </c>
      <c r="G209" s="470"/>
      <c r="H209" s="471"/>
    </row>
    <row r="210" spans="1:8" x14ac:dyDescent="0.35">
      <c r="A210" s="467">
        <v>37923</v>
      </c>
      <c r="B210" s="468">
        <v>9.9274052020076997E-2</v>
      </c>
      <c r="C210" s="468">
        <v>0.14360787072501102</v>
      </c>
      <c r="D210" s="469">
        <v>0.14912154587766824</v>
      </c>
      <c r="G210" s="470"/>
      <c r="H210" s="471"/>
    </row>
    <row r="211" spans="1:8" x14ac:dyDescent="0.35">
      <c r="A211" s="467">
        <v>37924</v>
      </c>
      <c r="B211" s="468">
        <v>0.10040795992654505</v>
      </c>
      <c r="C211" s="468">
        <v>0.14460129512175612</v>
      </c>
      <c r="D211" s="469">
        <v>0.15265286745714768</v>
      </c>
      <c r="G211" s="470"/>
      <c r="H211" s="471"/>
    </row>
    <row r="212" spans="1:8" x14ac:dyDescent="0.35">
      <c r="A212" s="467">
        <v>37925</v>
      </c>
      <c r="B212" s="468">
        <v>9.9979270966891853E-2</v>
      </c>
      <c r="C212" s="468">
        <v>0.14621487212265105</v>
      </c>
      <c r="D212" s="469">
        <v>0.14587875987884669</v>
      </c>
      <c r="G212" s="470"/>
      <c r="H212" s="471"/>
    </row>
    <row r="213" spans="1:8" x14ac:dyDescent="0.35">
      <c r="A213" s="467">
        <v>37929</v>
      </c>
      <c r="B213" s="468">
        <v>9.9825187834891471E-2</v>
      </c>
      <c r="C213" s="468">
        <v>0.14235038186468407</v>
      </c>
      <c r="D213" s="469">
        <v>0.15136698002455651</v>
      </c>
      <c r="G213" s="470"/>
      <c r="H213" s="471"/>
    </row>
    <row r="214" spans="1:8" x14ac:dyDescent="0.35">
      <c r="A214" s="467">
        <v>37930</v>
      </c>
      <c r="B214" s="468">
        <v>9.6251357038966923E-2</v>
      </c>
      <c r="C214" s="468">
        <v>0.14119674849738684</v>
      </c>
      <c r="D214" s="469">
        <v>0.15224713460268124</v>
      </c>
      <c r="G214" s="470"/>
      <c r="H214" s="471"/>
    </row>
    <row r="215" spans="1:8" x14ac:dyDescent="0.35">
      <c r="A215" s="467">
        <v>37931</v>
      </c>
      <c r="B215" s="468">
        <v>9.933171456491019E-2</v>
      </c>
      <c r="C215" s="468">
        <v>0.14075707348822708</v>
      </c>
      <c r="D215" s="469">
        <v>0.15170207896300925</v>
      </c>
      <c r="G215" s="470"/>
      <c r="H215" s="471"/>
    </row>
    <row r="216" spans="1:8" x14ac:dyDescent="0.35">
      <c r="A216" s="467">
        <v>37932</v>
      </c>
      <c r="B216" s="468">
        <v>9.9123249129639435E-2</v>
      </c>
      <c r="C216" s="468">
        <v>0.14018672713980496</v>
      </c>
      <c r="D216" s="469">
        <v>0.15154642249155126</v>
      </c>
      <c r="G216" s="470"/>
      <c r="H216" s="471"/>
    </row>
    <row r="217" spans="1:8" x14ac:dyDescent="0.35">
      <c r="A217" s="467">
        <v>37935</v>
      </c>
      <c r="B217" s="468">
        <v>9.9086423134365775E-2</v>
      </c>
      <c r="C217" s="468">
        <v>0.1403663362535319</v>
      </c>
      <c r="D217" s="469">
        <v>0.15096718492633232</v>
      </c>
      <c r="G217" s="470"/>
      <c r="H217" s="471"/>
    </row>
    <row r="218" spans="1:8" x14ac:dyDescent="0.35">
      <c r="A218" s="467">
        <v>37936</v>
      </c>
      <c r="B218" s="468">
        <v>9.8859013612028868E-2</v>
      </c>
      <c r="C218" s="468">
        <v>0.14015875432365243</v>
      </c>
      <c r="D218" s="469">
        <v>0.15020616558473465</v>
      </c>
      <c r="G218" s="470"/>
      <c r="H218" s="471"/>
    </row>
    <row r="219" spans="1:8" x14ac:dyDescent="0.35">
      <c r="A219" s="467">
        <v>37937</v>
      </c>
      <c r="B219" s="468">
        <v>9.9089717141296774E-2</v>
      </c>
      <c r="C219" s="468">
        <v>0.13931425239021467</v>
      </c>
      <c r="D219" s="469">
        <v>0.15002011805007442</v>
      </c>
      <c r="G219" s="470"/>
      <c r="H219" s="471"/>
    </row>
    <row r="220" spans="1:8" x14ac:dyDescent="0.35">
      <c r="A220" s="467">
        <v>37938</v>
      </c>
      <c r="B220" s="468">
        <v>9.8917727859847426E-2</v>
      </c>
      <c r="C220" s="468">
        <v>0.13959022558339651</v>
      </c>
      <c r="D220" s="469">
        <v>0.14934971040555567</v>
      </c>
      <c r="G220" s="470"/>
      <c r="H220" s="471"/>
    </row>
    <row r="221" spans="1:8" x14ac:dyDescent="0.35">
      <c r="A221" s="467">
        <v>37939</v>
      </c>
      <c r="B221" s="468">
        <v>9.8846280064132319E-2</v>
      </c>
      <c r="C221" s="468">
        <v>0.13939119385132437</v>
      </c>
      <c r="D221" s="469">
        <v>0.14933182022584113</v>
      </c>
      <c r="G221" s="470"/>
      <c r="H221" s="471"/>
    </row>
    <row r="222" spans="1:8" x14ac:dyDescent="0.35">
      <c r="A222" s="467">
        <v>37943</v>
      </c>
      <c r="B222" s="468">
        <v>9.7836724060060165E-2</v>
      </c>
      <c r="C222" s="468">
        <v>0.13938001439385772</v>
      </c>
      <c r="D222" s="469">
        <v>0.1471308365008932</v>
      </c>
      <c r="G222" s="470"/>
      <c r="H222" s="471"/>
    </row>
    <row r="223" spans="1:8" x14ac:dyDescent="0.35">
      <c r="A223" s="467">
        <v>37944</v>
      </c>
      <c r="B223" s="468">
        <v>9.7916697120755902E-2</v>
      </c>
      <c r="C223" s="468">
        <v>0.13983379238274773</v>
      </c>
      <c r="D223" s="469">
        <v>0.14719175892284064</v>
      </c>
      <c r="G223" s="470"/>
      <c r="H223" s="471"/>
    </row>
    <row r="224" spans="1:8" x14ac:dyDescent="0.35">
      <c r="A224" s="467">
        <v>37945</v>
      </c>
      <c r="B224" s="468">
        <v>9.8911169134316079E-2</v>
      </c>
      <c r="C224" s="468">
        <v>0.14085327933301284</v>
      </c>
      <c r="D224" s="469">
        <v>0.14843862702547206</v>
      </c>
      <c r="G224" s="470"/>
      <c r="H224" s="471"/>
    </row>
    <row r="225" spans="1:8" x14ac:dyDescent="0.35">
      <c r="A225" s="467">
        <v>37946</v>
      </c>
      <c r="B225" s="468">
        <v>9.826877555800051E-2</v>
      </c>
      <c r="C225" s="468">
        <v>0.14035662761361056</v>
      </c>
      <c r="D225" s="469">
        <v>0.14912994632352938</v>
      </c>
      <c r="G225" s="470"/>
      <c r="H225" s="471"/>
    </row>
    <row r="226" spans="1:8" x14ac:dyDescent="0.35">
      <c r="A226" s="467">
        <v>37949</v>
      </c>
      <c r="B226" s="468">
        <v>9.8336058754698419E-2</v>
      </c>
      <c r="C226" s="468">
        <v>0.13959621839360747</v>
      </c>
      <c r="D226" s="469">
        <v>0.14785255486167648</v>
      </c>
      <c r="G226" s="470"/>
      <c r="H226" s="471"/>
    </row>
    <row r="227" spans="1:8" x14ac:dyDescent="0.35">
      <c r="A227" s="467">
        <v>37950</v>
      </c>
      <c r="B227" s="468">
        <v>9.7409956078859716E-2</v>
      </c>
      <c r="C227" s="468">
        <v>0.13912681473751087</v>
      </c>
      <c r="D227" s="469">
        <v>0.14713638299670961</v>
      </c>
      <c r="G227" s="470"/>
      <c r="H227" s="471"/>
    </row>
    <row r="228" spans="1:8" x14ac:dyDescent="0.35">
      <c r="A228" s="467">
        <v>37951</v>
      </c>
      <c r="B228" s="468">
        <v>9.7208246766877782E-2</v>
      </c>
      <c r="C228" s="468">
        <v>0.13875715831287327</v>
      </c>
      <c r="D228" s="469">
        <v>0.14751661429987051</v>
      </c>
      <c r="G228" s="470"/>
      <c r="H228" s="471"/>
    </row>
    <row r="229" spans="1:8" x14ac:dyDescent="0.35">
      <c r="A229" s="467">
        <v>37952</v>
      </c>
      <c r="B229" s="468">
        <v>9.7477357661930997E-2</v>
      </c>
      <c r="C229" s="468">
        <v>0.13814972804487002</v>
      </c>
      <c r="D229" s="469">
        <v>0.14863404066543362</v>
      </c>
      <c r="G229" s="470"/>
      <c r="H229" s="471"/>
    </row>
    <row r="230" spans="1:8" x14ac:dyDescent="0.35">
      <c r="A230" s="467">
        <v>37953</v>
      </c>
      <c r="B230" s="468">
        <v>9.8386605717209807E-2</v>
      </c>
      <c r="C230" s="468">
        <v>0.13874396736569583</v>
      </c>
      <c r="D230" s="469">
        <v>0.14855691959271455</v>
      </c>
      <c r="G230" s="470"/>
      <c r="H230" s="471"/>
    </row>
    <row r="231" spans="1:8" x14ac:dyDescent="0.35">
      <c r="A231" s="467">
        <v>37956</v>
      </c>
      <c r="B231" s="468">
        <v>9.8624541346050476E-2</v>
      </c>
      <c r="C231" s="468">
        <v>0.13849613515983039</v>
      </c>
      <c r="D231" s="469">
        <v>0.14922741223875269</v>
      </c>
      <c r="G231" s="470"/>
      <c r="H231" s="471"/>
    </row>
    <row r="232" spans="1:8" x14ac:dyDescent="0.35">
      <c r="A232" s="467">
        <v>37957</v>
      </c>
      <c r="B232" s="468">
        <v>9.8637835919165306E-2</v>
      </c>
      <c r="C232" s="468">
        <v>0.13923747891153382</v>
      </c>
      <c r="D232" s="469">
        <v>0.14905101017250244</v>
      </c>
      <c r="G232" s="470"/>
      <c r="H232" s="471"/>
    </row>
    <row r="233" spans="1:8" x14ac:dyDescent="0.35">
      <c r="A233" s="467">
        <v>37958</v>
      </c>
      <c r="B233" s="468">
        <v>9.9063410283666276E-2</v>
      </c>
      <c r="C233" s="468">
        <v>0.13931065020553302</v>
      </c>
      <c r="D233" s="469">
        <v>0.15003232818568701</v>
      </c>
      <c r="G233" s="470"/>
      <c r="H233" s="471"/>
    </row>
    <row r="234" spans="1:8" x14ac:dyDescent="0.35">
      <c r="A234" s="467">
        <v>37959</v>
      </c>
      <c r="B234" s="468">
        <v>9.8357482381403516E-2</v>
      </c>
      <c r="C234" s="468">
        <v>0.13976797921516182</v>
      </c>
      <c r="D234" s="469">
        <v>0.14842960748301404</v>
      </c>
      <c r="G234" s="470"/>
      <c r="H234" s="471"/>
    </row>
    <row r="235" spans="1:8" x14ac:dyDescent="0.35">
      <c r="A235" s="467">
        <v>37960</v>
      </c>
      <c r="B235" s="468">
        <v>9.9032018851876735E-2</v>
      </c>
      <c r="C235" s="468">
        <v>0.13923307395478424</v>
      </c>
      <c r="D235" s="469">
        <v>0.14932974857247738</v>
      </c>
      <c r="G235" s="470"/>
      <c r="H235" s="471"/>
    </row>
    <row r="236" spans="1:8" x14ac:dyDescent="0.35">
      <c r="A236" s="467">
        <v>37964</v>
      </c>
      <c r="B236" s="468">
        <v>9.8996865802409184E-2</v>
      </c>
      <c r="C236" s="468">
        <v>0.13870843440404945</v>
      </c>
      <c r="D236" s="469">
        <v>0.15236766464952867</v>
      </c>
      <c r="G236" s="470"/>
      <c r="H236" s="471"/>
    </row>
    <row r="237" spans="1:8" x14ac:dyDescent="0.35">
      <c r="A237" s="467">
        <v>37965</v>
      </c>
      <c r="B237" s="468">
        <v>9.8407562483424194E-2</v>
      </c>
      <c r="C237" s="468">
        <v>0.13860853820264407</v>
      </c>
      <c r="D237" s="469">
        <v>0.14828962501786136</v>
      </c>
      <c r="G237" s="470"/>
      <c r="H237" s="471"/>
    </row>
    <row r="238" spans="1:8" x14ac:dyDescent="0.35">
      <c r="A238" s="467">
        <v>37966</v>
      </c>
      <c r="B238" s="468">
        <v>9.9354219880004147E-2</v>
      </c>
      <c r="C238" s="468">
        <v>0.13865209922913779</v>
      </c>
      <c r="D238" s="469">
        <v>0.14845511932236999</v>
      </c>
      <c r="G238" s="470"/>
      <c r="H238" s="471"/>
    </row>
    <row r="239" spans="1:8" x14ac:dyDescent="0.35">
      <c r="A239" s="467">
        <v>37967</v>
      </c>
      <c r="B239" s="468">
        <v>9.9716896455547488E-2</v>
      </c>
      <c r="C239" s="468">
        <v>0.13901731117730787</v>
      </c>
      <c r="D239" s="469">
        <v>0.14876511080180244</v>
      </c>
      <c r="G239" s="470"/>
      <c r="H239" s="471"/>
    </row>
    <row r="240" spans="1:8" x14ac:dyDescent="0.35">
      <c r="A240" s="467">
        <v>37970</v>
      </c>
      <c r="B240" s="468">
        <v>0.10000949049099117</v>
      </c>
      <c r="C240" s="468">
        <v>0.13903372870661057</v>
      </c>
      <c r="D240" s="469">
        <v>0.15347323835636595</v>
      </c>
      <c r="G240" s="470"/>
      <c r="H240" s="471"/>
    </row>
    <row r="241" spans="1:8" x14ac:dyDescent="0.35">
      <c r="A241" s="467">
        <v>37971</v>
      </c>
      <c r="B241" s="468">
        <v>0.10043348858822121</v>
      </c>
      <c r="C241" s="468">
        <v>0.13915755828995424</v>
      </c>
      <c r="D241" s="469">
        <v>0.15108978879939272</v>
      </c>
      <c r="G241" s="470"/>
      <c r="H241" s="471"/>
    </row>
    <row r="242" spans="1:8" x14ac:dyDescent="0.35">
      <c r="A242" s="467">
        <v>37972</v>
      </c>
      <c r="B242" s="468">
        <v>0.10102452193194633</v>
      </c>
      <c r="C242" s="468">
        <v>0.13859635262912162</v>
      </c>
      <c r="D242" s="469">
        <v>0.14922840128753267</v>
      </c>
      <c r="G242" s="470"/>
      <c r="H242" s="471"/>
    </row>
    <row r="243" spans="1:8" x14ac:dyDescent="0.35">
      <c r="A243" s="467">
        <v>37973</v>
      </c>
      <c r="B243" s="468">
        <v>0.10077561161508375</v>
      </c>
      <c r="C243" s="468">
        <v>0.13822502412259841</v>
      </c>
      <c r="D243" s="469">
        <v>0.15089206045518022</v>
      </c>
      <c r="G243" s="470"/>
      <c r="H243" s="471"/>
    </row>
    <row r="244" spans="1:8" x14ac:dyDescent="0.35">
      <c r="A244" s="467">
        <v>37974</v>
      </c>
      <c r="B244" s="468">
        <v>0.10072106852600737</v>
      </c>
      <c r="C244" s="468">
        <v>0.13801217547290712</v>
      </c>
      <c r="D244" s="469">
        <v>0.15054445910802317</v>
      </c>
      <c r="G244" s="470"/>
      <c r="H244" s="471"/>
    </row>
    <row r="245" spans="1:8" x14ac:dyDescent="0.35">
      <c r="A245" s="467">
        <v>37977</v>
      </c>
      <c r="B245" s="468">
        <v>0.10176487938419765</v>
      </c>
      <c r="C245" s="468">
        <v>0.13738635797575638</v>
      </c>
      <c r="D245" s="469">
        <v>0.14989722792848448</v>
      </c>
      <c r="G245" s="470"/>
      <c r="H245" s="471"/>
    </row>
    <row r="246" spans="1:8" x14ac:dyDescent="0.35">
      <c r="A246" s="467">
        <v>37978</v>
      </c>
      <c r="B246" s="468">
        <v>9.9089124587102617E-2</v>
      </c>
      <c r="C246" s="468">
        <v>0.14390691858757743</v>
      </c>
      <c r="D246" s="469">
        <v>0.16189313088817125</v>
      </c>
      <c r="G246" s="470"/>
      <c r="H246" s="471"/>
    </row>
    <row r="247" spans="1:8" x14ac:dyDescent="0.35">
      <c r="A247" s="467">
        <v>37979</v>
      </c>
      <c r="B247" s="468">
        <v>0.10360244266305885</v>
      </c>
      <c r="C247" s="468">
        <v>0.13924361100073113</v>
      </c>
      <c r="D247" s="469">
        <v>0.14660912494894984</v>
      </c>
      <c r="G247" s="470"/>
      <c r="H247" s="471"/>
    </row>
    <row r="248" spans="1:8" x14ac:dyDescent="0.35">
      <c r="A248" s="467">
        <v>37981</v>
      </c>
      <c r="B248" s="468">
        <v>0.10242557598401936</v>
      </c>
      <c r="C248" s="468">
        <v>0.13843912648063661</v>
      </c>
      <c r="D248" s="469">
        <v>0.14898772122772352</v>
      </c>
      <c r="G248" s="470"/>
      <c r="H248" s="471"/>
    </row>
    <row r="249" spans="1:8" x14ac:dyDescent="0.35">
      <c r="A249" s="467">
        <v>37984</v>
      </c>
      <c r="B249" s="468">
        <v>0.10065133944843896</v>
      </c>
      <c r="C249" s="468">
        <v>0.13768383377085058</v>
      </c>
      <c r="D249" s="469">
        <v>0.14919930073035204</v>
      </c>
      <c r="G249" s="470"/>
      <c r="H249" s="471"/>
    </row>
    <row r="250" spans="1:8" x14ac:dyDescent="0.35">
      <c r="A250" s="467">
        <v>37985</v>
      </c>
      <c r="B250" s="468">
        <v>0.10317576817195362</v>
      </c>
      <c r="C250" s="468">
        <v>0.13853635144717114</v>
      </c>
      <c r="D250" s="469">
        <v>0.1494053799180699</v>
      </c>
      <c r="G250" s="470"/>
      <c r="H250" s="471"/>
    </row>
    <row r="251" spans="1:8" x14ac:dyDescent="0.35">
      <c r="A251" s="467">
        <v>37988</v>
      </c>
      <c r="B251" s="468">
        <v>9.9032356882777339E-2</v>
      </c>
      <c r="C251" s="468">
        <v>0.13669903535390215</v>
      </c>
      <c r="D251" s="469">
        <v>0.1479783561522523</v>
      </c>
      <c r="G251" s="470"/>
      <c r="H251" s="471"/>
    </row>
    <row r="252" spans="1:8" x14ac:dyDescent="0.35">
      <c r="A252" s="467">
        <v>37991</v>
      </c>
      <c r="B252" s="468">
        <v>9.9943263964183071E-2</v>
      </c>
      <c r="C252" s="468">
        <v>0.13517949569307053</v>
      </c>
      <c r="D252" s="469">
        <v>0.141623371010833</v>
      </c>
      <c r="G252" s="470"/>
      <c r="H252" s="471"/>
    </row>
    <row r="253" spans="1:8" x14ac:dyDescent="0.35">
      <c r="A253" s="467">
        <v>37992</v>
      </c>
      <c r="B253" s="468">
        <v>9.8645474279195344E-2</v>
      </c>
      <c r="C253" s="468">
        <v>0.13530552468853108</v>
      </c>
      <c r="D253" s="469">
        <v>0.14627504078146281</v>
      </c>
      <c r="G253" s="470"/>
      <c r="H253" s="471"/>
    </row>
    <row r="254" spans="1:8" x14ac:dyDescent="0.35">
      <c r="A254" s="467">
        <v>37993</v>
      </c>
      <c r="B254" s="468">
        <v>9.7516226936531503E-2</v>
      </c>
      <c r="C254" s="468">
        <v>0.13399242065794925</v>
      </c>
      <c r="D254" s="469">
        <v>0.14653082304884224</v>
      </c>
      <c r="G254" s="470"/>
      <c r="H254" s="471"/>
    </row>
    <row r="255" spans="1:8" x14ac:dyDescent="0.35">
      <c r="A255" s="467">
        <v>37994</v>
      </c>
      <c r="B255" s="468">
        <v>9.7730591835923031E-2</v>
      </c>
      <c r="C255" s="468">
        <v>0.13346140387244043</v>
      </c>
      <c r="D255" s="469">
        <v>0.14632053395438294</v>
      </c>
      <c r="G255" s="470"/>
      <c r="H255" s="471"/>
    </row>
    <row r="256" spans="1:8" x14ac:dyDescent="0.35">
      <c r="A256" s="467">
        <v>37995</v>
      </c>
      <c r="B256" s="468">
        <v>9.7888076687349113E-2</v>
      </c>
      <c r="C256" s="468">
        <v>0.13472282713214234</v>
      </c>
      <c r="D256" s="469">
        <v>0.14648872406359481</v>
      </c>
      <c r="G256" s="470"/>
      <c r="H256" s="471"/>
    </row>
    <row r="257" spans="1:8" x14ac:dyDescent="0.35">
      <c r="A257" s="467">
        <v>37999</v>
      </c>
      <c r="B257" s="468">
        <v>9.7460905821990851E-2</v>
      </c>
      <c r="C257" s="468">
        <v>0.13434189467712088</v>
      </c>
      <c r="D257" s="469">
        <v>0.14627752847791609</v>
      </c>
      <c r="G257" s="470"/>
      <c r="H257" s="471"/>
    </row>
    <row r="258" spans="1:8" x14ac:dyDescent="0.35">
      <c r="A258" s="467">
        <v>38000</v>
      </c>
      <c r="B258" s="468">
        <v>9.5783488392768845E-2</v>
      </c>
      <c r="C258" s="468">
        <v>0.13325910658003481</v>
      </c>
      <c r="D258" s="469">
        <v>0.14646691552167335</v>
      </c>
      <c r="G258" s="470"/>
      <c r="H258" s="471"/>
    </row>
    <row r="259" spans="1:8" x14ac:dyDescent="0.35">
      <c r="A259" s="467">
        <v>38001</v>
      </c>
      <c r="B259" s="468">
        <v>9.5833354619393463E-2</v>
      </c>
      <c r="C259" s="468">
        <v>0.13240739568734172</v>
      </c>
      <c r="D259" s="469">
        <v>0.14637280762429361</v>
      </c>
      <c r="G259" s="470"/>
      <c r="H259" s="471"/>
    </row>
    <row r="260" spans="1:8" x14ac:dyDescent="0.35">
      <c r="A260" s="467">
        <v>38002</v>
      </c>
      <c r="B260" s="468">
        <v>9.6825564793323604E-2</v>
      </c>
      <c r="C260" s="468">
        <v>0.13401485777403344</v>
      </c>
      <c r="D260" s="469">
        <v>0.14825147277082951</v>
      </c>
      <c r="G260" s="470"/>
      <c r="H260" s="471"/>
    </row>
    <row r="261" spans="1:8" x14ac:dyDescent="0.35">
      <c r="A261" s="467">
        <v>38005</v>
      </c>
      <c r="B261" s="468">
        <v>9.7559338969189113E-2</v>
      </c>
      <c r="C261" s="468">
        <v>0.13601434438463067</v>
      </c>
      <c r="D261" s="469">
        <v>0.14927245533482747</v>
      </c>
      <c r="G261" s="470"/>
      <c r="H261" s="471"/>
    </row>
    <row r="262" spans="1:8" x14ac:dyDescent="0.35">
      <c r="A262" s="467">
        <v>38006</v>
      </c>
      <c r="B262" s="468">
        <v>9.7129202068637399E-2</v>
      </c>
      <c r="C262" s="468">
        <v>0.13487068308615746</v>
      </c>
      <c r="D262" s="469">
        <v>0.14953835634478141</v>
      </c>
      <c r="G262" s="470"/>
      <c r="H262" s="471"/>
    </row>
    <row r="263" spans="1:8" x14ac:dyDescent="0.35">
      <c r="A263" s="467">
        <v>38007</v>
      </c>
      <c r="B263" s="468">
        <v>9.6825036180105739E-2</v>
      </c>
      <c r="C263" s="468">
        <v>0.13571707012452117</v>
      </c>
      <c r="D263" s="469">
        <v>0.14783599434394556</v>
      </c>
      <c r="G263" s="470"/>
      <c r="H263" s="471"/>
    </row>
    <row r="264" spans="1:8" x14ac:dyDescent="0.35">
      <c r="A264" s="467">
        <v>38008</v>
      </c>
      <c r="B264" s="468">
        <v>9.6382208379403034E-2</v>
      </c>
      <c r="C264" s="468">
        <v>0.13657935856299819</v>
      </c>
      <c r="D264" s="469">
        <v>0.15232322405708132</v>
      </c>
      <c r="G264" s="470"/>
      <c r="H264" s="471"/>
    </row>
    <row r="265" spans="1:8" x14ac:dyDescent="0.35">
      <c r="A265" s="467">
        <v>38009</v>
      </c>
      <c r="B265" s="468">
        <v>9.6954900652465703E-2</v>
      </c>
      <c r="C265" s="468">
        <v>0.13719439068713157</v>
      </c>
      <c r="D265" s="469">
        <v>0.14809071043005262</v>
      </c>
      <c r="G265" s="470"/>
      <c r="H265" s="471"/>
    </row>
    <row r="266" spans="1:8" x14ac:dyDescent="0.35">
      <c r="A266" s="467">
        <v>38012</v>
      </c>
      <c r="B266" s="468">
        <v>9.7513503822034275E-2</v>
      </c>
      <c r="C266" s="468">
        <v>0.13682099494132594</v>
      </c>
      <c r="D266" s="469">
        <v>0.15038539224488723</v>
      </c>
      <c r="G266" s="470"/>
      <c r="H266" s="471"/>
    </row>
    <row r="267" spans="1:8" x14ac:dyDescent="0.35">
      <c r="A267" s="467">
        <v>38013</v>
      </c>
      <c r="B267" s="468">
        <v>9.632478154076507E-2</v>
      </c>
      <c r="C267" s="468">
        <v>0.13486865888184929</v>
      </c>
      <c r="D267" s="469">
        <v>0.14810212927610955</v>
      </c>
      <c r="G267" s="470"/>
      <c r="H267" s="471"/>
    </row>
    <row r="268" spans="1:8" x14ac:dyDescent="0.35">
      <c r="A268" s="467">
        <v>38014</v>
      </c>
      <c r="B268" s="468">
        <v>9.6204440066664842E-2</v>
      </c>
      <c r="C268" s="468">
        <v>0.1341673876577274</v>
      </c>
      <c r="D268" s="469">
        <v>0.14715854754821778</v>
      </c>
      <c r="G268" s="470"/>
      <c r="H268" s="471"/>
    </row>
    <row r="269" spans="1:8" x14ac:dyDescent="0.35">
      <c r="A269" s="467">
        <v>38015</v>
      </c>
      <c r="B269" s="468">
        <v>9.6529604290717774E-2</v>
      </c>
      <c r="C269" s="468">
        <v>0.13552754001813616</v>
      </c>
      <c r="D269" s="469">
        <v>0.14954607953084786</v>
      </c>
      <c r="G269" s="470"/>
      <c r="H269" s="471"/>
    </row>
    <row r="270" spans="1:8" x14ac:dyDescent="0.35">
      <c r="A270" s="467">
        <v>38016</v>
      </c>
      <c r="B270" s="468">
        <v>0.1015380377896089</v>
      </c>
      <c r="C270" s="468">
        <v>0.134683039657298</v>
      </c>
      <c r="D270" s="469">
        <v>0.14385426838142856</v>
      </c>
      <c r="G270" s="470"/>
      <c r="H270" s="471"/>
    </row>
    <row r="271" spans="1:8" x14ac:dyDescent="0.35">
      <c r="A271" s="467">
        <v>38019</v>
      </c>
      <c r="B271" s="468">
        <v>0.11571679330339624</v>
      </c>
      <c r="C271" s="468">
        <v>0.12996340194787925</v>
      </c>
      <c r="D271" s="469">
        <v>0.13172814780697073</v>
      </c>
      <c r="G271" s="470"/>
      <c r="H271" s="471"/>
    </row>
    <row r="272" spans="1:8" x14ac:dyDescent="0.35">
      <c r="A272" s="467">
        <v>38020</v>
      </c>
      <c r="B272" s="468">
        <v>9.5842633400671007E-2</v>
      </c>
      <c r="C272" s="468">
        <v>0.13595138030101839</v>
      </c>
      <c r="D272" s="469">
        <v>0.1474146775195655</v>
      </c>
      <c r="G272" s="470"/>
      <c r="H272" s="471"/>
    </row>
    <row r="273" spans="1:8" x14ac:dyDescent="0.35">
      <c r="A273" s="467">
        <v>38021</v>
      </c>
      <c r="B273" s="468">
        <v>9.5743297819164574E-2</v>
      </c>
      <c r="C273" s="468">
        <v>0.13461243145321333</v>
      </c>
      <c r="D273" s="469">
        <v>0.14819377625690389</v>
      </c>
      <c r="G273" s="470"/>
      <c r="H273" s="471"/>
    </row>
    <row r="274" spans="1:8" x14ac:dyDescent="0.35">
      <c r="A274" s="467">
        <v>38022</v>
      </c>
      <c r="B274" s="468">
        <v>9.4407809753351613E-2</v>
      </c>
      <c r="C274" s="468">
        <v>0.13450544423195288</v>
      </c>
      <c r="D274" s="469">
        <v>0.14887418253627427</v>
      </c>
      <c r="G274" s="470"/>
      <c r="H274" s="471"/>
    </row>
    <row r="275" spans="1:8" x14ac:dyDescent="0.35">
      <c r="A275" s="467">
        <v>38023</v>
      </c>
      <c r="B275" s="468">
        <v>9.4490600218889664E-2</v>
      </c>
      <c r="C275" s="468">
        <v>0.13522575081931953</v>
      </c>
      <c r="D275" s="469">
        <v>0.14689328695076065</v>
      </c>
      <c r="G275" s="470"/>
      <c r="H275" s="471"/>
    </row>
    <row r="276" spans="1:8" x14ac:dyDescent="0.35">
      <c r="A276" s="467">
        <v>38026</v>
      </c>
      <c r="B276" s="468">
        <v>9.3942121870791651E-2</v>
      </c>
      <c r="C276" s="468">
        <v>0.13437170029172507</v>
      </c>
      <c r="D276" s="469">
        <v>0.14647835562926703</v>
      </c>
      <c r="G276" s="470"/>
      <c r="H276" s="471"/>
    </row>
    <row r="277" spans="1:8" x14ac:dyDescent="0.35">
      <c r="A277" s="467">
        <v>38027</v>
      </c>
      <c r="B277" s="468">
        <v>9.4162340091399122E-2</v>
      </c>
      <c r="C277" s="468">
        <v>0.13416619420672138</v>
      </c>
      <c r="D277" s="469">
        <v>0.14809544671612573</v>
      </c>
      <c r="G277" s="470"/>
      <c r="H277" s="471"/>
    </row>
    <row r="278" spans="1:8" x14ac:dyDescent="0.35">
      <c r="A278" s="467">
        <v>38028</v>
      </c>
      <c r="B278" s="468">
        <v>9.3294330277313264E-2</v>
      </c>
      <c r="C278" s="468">
        <v>0.13398643266179233</v>
      </c>
      <c r="D278" s="469">
        <v>0.14913372358286314</v>
      </c>
      <c r="G278" s="470"/>
      <c r="H278" s="471"/>
    </row>
    <row r="279" spans="1:8" x14ac:dyDescent="0.35">
      <c r="A279" s="467">
        <v>38029</v>
      </c>
      <c r="B279" s="468">
        <v>9.2700295701888535E-2</v>
      </c>
      <c r="C279" s="468">
        <v>0.1331652354630819</v>
      </c>
      <c r="D279" s="469">
        <v>0.14904393971830499</v>
      </c>
      <c r="G279" s="470"/>
      <c r="H279" s="471"/>
    </row>
    <row r="280" spans="1:8" x14ac:dyDescent="0.35">
      <c r="A280" s="467">
        <v>38030</v>
      </c>
      <c r="B280" s="468">
        <v>9.1878537529880289E-2</v>
      </c>
      <c r="C280" s="468">
        <v>0.13319028456320936</v>
      </c>
      <c r="D280" s="469">
        <v>0.14817009043584894</v>
      </c>
      <c r="G280" s="470"/>
      <c r="H280" s="471"/>
    </row>
    <row r="281" spans="1:8" x14ac:dyDescent="0.35">
      <c r="A281" s="467">
        <v>38033</v>
      </c>
      <c r="B281" s="468">
        <v>9.3353183650601634E-2</v>
      </c>
      <c r="C281" s="468">
        <v>0.13220775377355243</v>
      </c>
      <c r="D281" s="469">
        <v>0.14776553415819649</v>
      </c>
      <c r="G281" s="470"/>
      <c r="H281" s="471"/>
    </row>
    <row r="282" spans="1:8" x14ac:dyDescent="0.35">
      <c r="A282" s="467">
        <v>38034</v>
      </c>
      <c r="B282" s="468">
        <v>9.3380502004369204E-2</v>
      </c>
      <c r="C282" s="468">
        <v>0.13194920050923686</v>
      </c>
      <c r="D282" s="469">
        <v>0.14648487391455323</v>
      </c>
      <c r="G282" s="470"/>
      <c r="H282" s="471"/>
    </row>
    <row r="283" spans="1:8" x14ac:dyDescent="0.35">
      <c r="A283" s="467">
        <v>38035</v>
      </c>
      <c r="B283" s="468">
        <v>9.2474291574473622E-2</v>
      </c>
      <c r="C283" s="468">
        <v>0.13121980314667137</v>
      </c>
      <c r="D283" s="469">
        <v>0.1468651187079939</v>
      </c>
      <c r="G283" s="470"/>
      <c r="H283" s="471"/>
    </row>
    <row r="284" spans="1:8" x14ac:dyDescent="0.35">
      <c r="A284" s="467">
        <v>38036</v>
      </c>
      <c r="B284" s="468">
        <v>9.2027971134029052E-2</v>
      </c>
      <c r="C284" s="468">
        <v>0.13009066036037997</v>
      </c>
      <c r="D284" s="469">
        <v>0.14663601044453745</v>
      </c>
      <c r="G284" s="470"/>
      <c r="H284" s="471"/>
    </row>
    <row r="285" spans="1:8" x14ac:dyDescent="0.35">
      <c r="A285" s="467">
        <v>38037</v>
      </c>
      <c r="B285" s="468">
        <v>9.0823774275534674E-2</v>
      </c>
      <c r="C285" s="468">
        <v>0.13011967179726303</v>
      </c>
      <c r="D285" s="469">
        <v>0.14575533877309588</v>
      </c>
      <c r="G285" s="470"/>
      <c r="H285" s="471"/>
    </row>
    <row r="286" spans="1:8" x14ac:dyDescent="0.35">
      <c r="A286" s="467">
        <v>38040</v>
      </c>
      <c r="B286" s="468">
        <v>9.0525334734870233E-2</v>
      </c>
      <c r="C286" s="468">
        <v>0.12721564574102007</v>
      </c>
      <c r="D286" s="469">
        <v>0.14552147225742051</v>
      </c>
      <c r="G286" s="470"/>
      <c r="H286" s="471"/>
    </row>
    <row r="287" spans="1:8" x14ac:dyDescent="0.35">
      <c r="A287" s="467">
        <v>38041</v>
      </c>
      <c r="B287" s="468">
        <v>8.9929382534323254E-2</v>
      </c>
      <c r="C287" s="468">
        <v>0.12678153938160164</v>
      </c>
      <c r="D287" s="469">
        <v>0.14378256808114598</v>
      </c>
      <c r="G287" s="470"/>
      <c r="H287" s="471"/>
    </row>
    <row r="288" spans="1:8" x14ac:dyDescent="0.35">
      <c r="A288" s="467">
        <v>38042</v>
      </c>
      <c r="B288" s="468">
        <v>8.9722437769947705E-2</v>
      </c>
      <c r="C288" s="468">
        <v>0.12753086305351014</v>
      </c>
      <c r="D288" s="469">
        <v>0.14582233406307199</v>
      </c>
      <c r="G288" s="470"/>
      <c r="H288" s="471"/>
    </row>
    <row r="289" spans="1:8" x14ac:dyDescent="0.35">
      <c r="A289" s="467">
        <v>38043</v>
      </c>
      <c r="B289" s="468">
        <v>9.0750635559353698E-2</v>
      </c>
      <c r="C289" s="468">
        <v>0.12576382200292668</v>
      </c>
      <c r="D289" s="469">
        <v>0.14402124669246064</v>
      </c>
      <c r="G289" s="470"/>
      <c r="H289" s="471"/>
    </row>
    <row r="290" spans="1:8" x14ac:dyDescent="0.35">
      <c r="A290" s="467">
        <v>38044</v>
      </c>
      <c r="B290" s="468">
        <v>8.9580207716738913E-2</v>
      </c>
      <c r="C290" s="468">
        <v>0.12484743894470851</v>
      </c>
      <c r="D290" s="469">
        <v>0.1440191871394938</v>
      </c>
      <c r="G290" s="470"/>
      <c r="H290" s="471"/>
    </row>
    <row r="291" spans="1:8" x14ac:dyDescent="0.35">
      <c r="A291" s="467">
        <v>38047</v>
      </c>
      <c r="B291" s="468">
        <v>9.0361654532216118E-2</v>
      </c>
      <c r="C291" s="468">
        <v>0.12623132110617807</v>
      </c>
      <c r="D291" s="469">
        <v>0.14327400516819044</v>
      </c>
      <c r="G291" s="470"/>
      <c r="H291" s="471"/>
    </row>
    <row r="292" spans="1:8" x14ac:dyDescent="0.35">
      <c r="A292" s="467">
        <v>38048</v>
      </c>
      <c r="B292" s="468">
        <v>9.0106716834350564E-2</v>
      </c>
      <c r="C292" s="468">
        <v>0.12626017908461451</v>
      </c>
      <c r="D292" s="469">
        <v>0.14296100725092686</v>
      </c>
      <c r="G292" s="470"/>
      <c r="H292" s="471"/>
    </row>
    <row r="293" spans="1:8" x14ac:dyDescent="0.35">
      <c r="A293" s="467">
        <v>38049</v>
      </c>
      <c r="B293" s="468">
        <v>8.9764146445395987E-2</v>
      </c>
      <c r="C293" s="468">
        <v>0.12472286996829096</v>
      </c>
      <c r="D293" s="469">
        <v>0.14197828465811013</v>
      </c>
      <c r="G293" s="470"/>
      <c r="H293" s="471"/>
    </row>
    <row r="294" spans="1:8" x14ac:dyDescent="0.35">
      <c r="A294" s="467">
        <v>38050</v>
      </c>
      <c r="B294" s="468">
        <v>8.9214043756201455E-2</v>
      </c>
      <c r="C294" s="468">
        <v>0.12454703587124816</v>
      </c>
      <c r="D294" s="469">
        <v>0.14179212811223718</v>
      </c>
      <c r="G294" s="470"/>
      <c r="H294" s="471"/>
    </row>
    <row r="295" spans="1:8" x14ac:dyDescent="0.35">
      <c r="A295" s="467">
        <v>38051</v>
      </c>
      <c r="B295" s="468">
        <v>8.8507555843541974E-2</v>
      </c>
      <c r="C295" s="468">
        <v>0.12279754082631089</v>
      </c>
      <c r="D295" s="469">
        <v>0.13984838960306378</v>
      </c>
      <c r="G295" s="470"/>
      <c r="H295" s="471"/>
    </row>
    <row r="296" spans="1:8" x14ac:dyDescent="0.35">
      <c r="A296" s="467">
        <v>38054</v>
      </c>
      <c r="B296" s="468">
        <v>8.9023713709593277E-2</v>
      </c>
      <c r="C296" s="468">
        <v>0.12157699727132543</v>
      </c>
      <c r="D296" s="469">
        <v>0.14063109001493213</v>
      </c>
      <c r="G296" s="470"/>
      <c r="H296" s="471"/>
    </row>
    <row r="297" spans="1:8" x14ac:dyDescent="0.35">
      <c r="A297" s="467">
        <v>38055</v>
      </c>
      <c r="B297" s="468">
        <v>9.0548123880848097E-2</v>
      </c>
      <c r="C297" s="468">
        <v>0.12063192736969408</v>
      </c>
      <c r="D297" s="469">
        <v>0.13989878653360321</v>
      </c>
      <c r="G297" s="470"/>
      <c r="H297" s="471"/>
    </row>
    <row r="298" spans="1:8" x14ac:dyDescent="0.35">
      <c r="A298" s="467">
        <v>38056</v>
      </c>
      <c r="B298" s="468">
        <v>9.2806164521424872E-2</v>
      </c>
      <c r="C298" s="468">
        <v>0.12197808973588353</v>
      </c>
      <c r="D298" s="469">
        <v>0.1429797655127345</v>
      </c>
      <c r="G298" s="470"/>
      <c r="H298" s="471"/>
    </row>
    <row r="299" spans="1:8" x14ac:dyDescent="0.35">
      <c r="A299" s="467">
        <v>38057</v>
      </c>
      <c r="B299" s="468">
        <v>8.8591922992346639E-2</v>
      </c>
      <c r="C299" s="468">
        <v>0.12257534769042233</v>
      </c>
      <c r="D299" s="469">
        <v>0.14084141911595993</v>
      </c>
      <c r="G299" s="470"/>
      <c r="H299" s="471"/>
    </row>
    <row r="300" spans="1:8" x14ac:dyDescent="0.35">
      <c r="A300" s="467">
        <v>38058</v>
      </c>
      <c r="B300" s="468">
        <v>8.8753398611335355E-2</v>
      </c>
      <c r="C300" s="468">
        <v>0.12220173136070356</v>
      </c>
      <c r="D300" s="469">
        <v>0.141106381522071</v>
      </c>
      <c r="G300" s="470"/>
      <c r="H300" s="471"/>
    </row>
    <row r="301" spans="1:8" x14ac:dyDescent="0.35">
      <c r="A301" s="467">
        <v>38061</v>
      </c>
      <c r="B301" s="468">
        <v>8.84688266850433E-2</v>
      </c>
      <c r="C301" s="468">
        <v>0.12107007655190394</v>
      </c>
      <c r="D301" s="469">
        <v>0.14000895425177839</v>
      </c>
      <c r="G301" s="470"/>
      <c r="H301" s="471"/>
    </row>
    <row r="302" spans="1:8" x14ac:dyDescent="0.35">
      <c r="A302" s="467">
        <v>38062</v>
      </c>
      <c r="B302" s="468">
        <v>8.8535889284516278E-2</v>
      </c>
      <c r="C302" s="468">
        <v>0.12074006205541377</v>
      </c>
      <c r="D302" s="469">
        <v>0.13855676286950436</v>
      </c>
      <c r="G302" s="470"/>
      <c r="H302" s="471"/>
    </row>
    <row r="303" spans="1:8" x14ac:dyDescent="0.35">
      <c r="A303" s="467">
        <v>38063</v>
      </c>
      <c r="B303" s="468">
        <v>8.888231762689025E-2</v>
      </c>
      <c r="C303" s="468">
        <v>0.11946054512642701</v>
      </c>
      <c r="D303" s="469">
        <v>0.13645901028979934</v>
      </c>
      <c r="G303" s="470"/>
      <c r="H303" s="471"/>
    </row>
    <row r="304" spans="1:8" x14ac:dyDescent="0.35">
      <c r="A304" s="467">
        <v>38064</v>
      </c>
      <c r="B304" s="468">
        <v>8.8812280648395303E-2</v>
      </c>
      <c r="C304" s="468">
        <v>0.11954288876951691</v>
      </c>
      <c r="D304" s="469">
        <v>0.13610152041667334</v>
      </c>
      <c r="G304" s="470"/>
      <c r="H304" s="471"/>
    </row>
    <row r="305" spans="1:8" x14ac:dyDescent="0.35">
      <c r="A305" s="467">
        <v>38065</v>
      </c>
      <c r="B305" s="468">
        <v>8.9141863568957147E-2</v>
      </c>
      <c r="C305" s="468">
        <v>0.11873632450820493</v>
      </c>
      <c r="D305" s="469">
        <v>0.13515609752425384</v>
      </c>
      <c r="G305" s="470"/>
      <c r="H305" s="471"/>
    </row>
    <row r="306" spans="1:8" x14ac:dyDescent="0.35">
      <c r="A306" s="467">
        <v>38069</v>
      </c>
      <c r="B306" s="468">
        <v>8.8944061218825254E-2</v>
      </c>
      <c r="C306" s="468">
        <v>0.11960221484482259</v>
      </c>
      <c r="D306" s="469">
        <v>0.13650333636734913</v>
      </c>
      <c r="G306" s="470"/>
      <c r="H306" s="471"/>
    </row>
    <row r="307" spans="1:8" x14ac:dyDescent="0.35">
      <c r="A307" s="467">
        <v>38070</v>
      </c>
      <c r="B307" s="468">
        <v>8.8835300844831266E-2</v>
      </c>
      <c r="C307" s="468">
        <v>0.11817966913651179</v>
      </c>
      <c r="D307" s="469">
        <v>0.13472772100061636</v>
      </c>
      <c r="G307" s="470"/>
      <c r="H307" s="471"/>
    </row>
    <row r="308" spans="1:8" x14ac:dyDescent="0.35">
      <c r="A308" s="467">
        <v>38071</v>
      </c>
      <c r="B308" s="468">
        <v>8.9194932194497589E-2</v>
      </c>
      <c r="C308" s="468">
        <v>0.1178813452416172</v>
      </c>
      <c r="D308" s="469">
        <v>0.13430640715041564</v>
      </c>
      <c r="G308" s="470"/>
      <c r="H308" s="471"/>
    </row>
    <row r="309" spans="1:8" x14ac:dyDescent="0.35">
      <c r="A309" s="467">
        <v>38072</v>
      </c>
      <c r="B309" s="468">
        <v>8.8864633794903725E-2</v>
      </c>
      <c r="C309" s="468">
        <v>0.11728040635574688</v>
      </c>
      <c r="D309" s="469">
        <v>0.13314683222978729</v>
      </c>
      <c r="G309" s="470"/>
      <c r="H309" s="471"/>
    </row>
    <row r="310" spans="1:8" x14ac:dyDescent="0.35">
      <c r="A310" s="467">
        <v>38075</v>
      </c>
      <c r="B310" s="468">
        <v>8.924014546293435E-2</v>
      </c>
      <c r="C310" s="468">
        <v>0.11760769590507758</v>
      </c>
      <c r="D310" s="469">
        <v>0.13446782986112948</v>
      </c>
      <c r="G310" s="470"/>
      <c r="H310" s="471"/>
    </row>
    <row r="311" spans="1:8" x14ac:dyDescent="0.35">
      <c r="A311" s="467">
        <v>38076</v>
      </c>
      <c r="B311" s="468">
        <v>8.9236421889100637E-2</v>
      </c>
      <c r="C311" s="468">
        <v>0.11819584260373195</v>
      </c>
      <c r="D311" s="469">
        <v>0.13398276999164871</v>
      </c>
      <c r="G311" s="470"/>
      <c r="H311" s="471"/>
    </row>
    <row r="312" spans="1:8" x14ac:dyDescent="0.35">
      <c r="A312" s="467">
        <v>38077</v>
      </c>
      <c r="B312" s="468">
        <v>8.9162180132993596E-2</v>
      </c>
      <c r="C312" s="468">
        <v>0.11778845913036773</v>
      </c>
      <c r="D312" s="469">
        <v>0.13298538398286786</v>
      </c>
      <c r="G312" s="470"/>
      <c r="H312" s="471"/>
    </row>
    <row r="313" spans="1:8" x14ac:dyDescent="0.35">
      <c r="A313" s="467">
        <v>38078</v>
      </c>
      <c r="B313" s="468">
        <v>8.8984117541530017E-2</v>
      </c>
      <c r="C313" s="468">
        <v>0.11664622533454105</v>
      </c>
      <c r="D313" s="469">
        <v>0.13195977890789079</v>
      </c>
      <c r="G313" s="470"/>
      <c r="H313" s="471"/>
    </row>
    <row r="314" spans="1:8" x14ac:dyDescent="0.35">
      <c r="A314" s="467">
        <v>38079</v>
      </c>
      <c r="B314" s="468">
        <v>8.9423800392913089E-2</v>
      </c>
      <c r="C314" s="468">
        <v>0.11521317132524245</v>
      </c>
      <c r="D314" s="469">
        <v>0.13402431189718111</v>
      </c>
      <c r="G314" s="470"/>
      <c r="H314" s="471"/>
    </row>
    <row r="315" spans="1:8" x14ac:dyDescent="0.35">
      <c r="A315" s="467">
        <v>38082</v>
      </c>
      <c r="B315" s="468">
        <v>8.8988377126966611E-2</v>
      </c>
      <c r="C315" s="468">
        <v>0.11578317226309753</v>
      </c>
      <c r="D315" s="469">
        <v>0.13533316087012115</v>
      </c>
      <c r="G315" s="470"/>
      <c r="H315" s="471"/>
    </row>
    <row r="316" spans="1:8" x14ac:dyDescent="0.35">
      <c r="A316" s="467">
        <v>38083</v>
      </c>
      <c r="B316" s="468">
        <v>8.8463342620394902E-2</v>
      </c>
      <c r="C316" s="468">
        <v>0.11400743393939416</v>
      </c>
      <c r="D316" s="469">
        <v>0.13772202823584379</v>
      </c>
      <c r="G316" s="470"/>
      <c r="H316" s="471"/>
    </row>
    <row r="317" spans="1:8" x14ac:dyDescent="0.35">
      <c r="A317" s="467">
        <v>38084</v>
      </c>
      <c r="B317" s="468">
        <v>8.7227481847413468E-2</v>
      </c>
      <c r="C317" s="468">
        <v>0.11304133630036572</v>
      </c>
      <c r="D317" s="469">
        <v>0.13729819216952421</v>
      </c>
      <c r="G317" s="470"/>
      <c r="H317" s="471"/>
    </row>
    <row r="318" spans="1:8" x14ac:dyDescent="0.35">
      <c r="A318" s="467">
        <v>38089</v>
      </c>
      <c r="B318" s="468">
        <v>8.740681024813135E-2</v>
      </c>
      <c r="C318" s="468">
        <v>0.11272582960280308</v>
      </c>
      <c r="D318" s="469">
        <v>0.13611592459522259</v>
      </c>
      <c r="G318" s="470"/>
      <c r="H318" s="471"/>
    </row>
    <row r="319" spans="1:8" x14ac:dyDescent="0.35">
      <c r="A319" s="467">
        <v>38090</v>
      </c>
      <c r="B319" s="468">
        <v>8.7414252621613064E-2</v>
      </c>
      <c r="C319" s="468">
        <v>0.11207265127551835</v>
      </c>
      <c r="D319" s="469">
        <v>0.13726427084023429</v>
      </c>
      <c r="G319" s="470"/>
      <c r="H319" s="471"/>
    </row>
    <row r="320" spans="1:8" x14ac:dyDescent="0.35">
      <c r="A320" s="467">
        <v>38091</v>
      </c>
      <c r="B320" s="468">
        <v>8.7833744222411081E-2</v>
      </c>
      <c r="C320" s="468">
        <v>0.11246913639650069</v>
      </c>
      <c r="D320" s="469">
        <v>0.13783000170591042</v>
      </c>
      <c r="G320" s="470"/>
      <c r="H320" s="471"/>
    </row>
    <row r="321" spans="1:8" x14ac:dyDescent="0.35">
      <c r="A321" s="467">
        <v>38092</v>
      </c>
      <c r="B321" s="468">
        <v>8.8439910829542168E-2</v>
      </c>
      <c r="C321" s="468">
        <v>0.1140056180430995</v>
      </c>
      <c r="D321" s="469">
        <v>0.14070163326578111</v>
      </c>
      <c r="G321" s="470"/>
      <c r="H321" s="471"/>
    </row>
    <row r="322" spans="1:8" x14ac:dyDescent="0.35">
      <c r="A322" s="467">
        <v>38093</v>
      </c>
      <c r="B322" s="468">
        <v>8.8707085403372909E-2</v>
      </c>
      <c r="C322" s="468">
        <v>0.11683876812716876</v>
      </c>
      <c r="D322" s="469">
        <v>0.14492263496145497</v>
      </c>
      <c r="G322" s="470"/>
      <c r="H322" s="471"/>
    </row>
    <row r="323" spans="1:8" x14ac:dyDescent="0.35">
      <c r="A323" s="467">
        <v>38096</v>
      </c>
      <c r="B323" s="468">
        <v>8.8269791890194238E-2</v>
      </c>
      <c r="C323" s="468">
        <v>0.11701547389304912</v>
      </c>
      <c r="D323" s="469">
        <v>0.14202769923150571</v>
      </c>
      <c r="G323" s="470"/>
      <c r="H323" s="471"/>
    </row>
    <row r="324" spans="1:8" x14ac:dyDescent="0.35">
      <c r="A324" s="467">
        <v>38097</v>
      </c>
      <c r="B324" s="468">
        <v>9.112393750519221E-2</v>
      </c>
      <c r="C324" s="468">
        <v>0.12301046318122655</v>
      </c>
      <c r="D324" s="469">
        <v>0.14489656963621789</v>
      </c>
      <c r="G324" s="470"/>
      <c r="H324" s="471"/>
    </row>
    <row r="325" spans="1:8" x14ac:dyDescent="0.35">
      <c r="A325" s="467">
        <v>38098</v>
      </c>
      <c r="B325" s="468">
        <v>9.1259494666744434E-2</v>
      </c>
      <c r="C325" s="468">
        <v>0.12507966808111481</v>
      </c>
      <c r="D325" s="469">
        <v>0.14000413895178787</v>
      </c>
      <c r="G325" s="470"/>
      <c r="H325" s="471"/>
    </row>
    <row r="326" spans="1:8" x14ac:dyDescent="0.35">
      <c r="A326" s="467">
        <v>38099</v>
      </c>
      <c r="B326" s="468">
        <v>8.8961622048090883E-2</v>
      </c>
      <c r="C326" s="468">
        <v>0.12327196131652873</v>
      </c>
      <c r="D326" s="469">
        <v>0.13875737879598016</v>
      </c>
      <c r="G326" s="470"/>
      <c r="H326" s="471"/>
    </row>
    <row r="327" spans="1:8" x14ac:dyDescent="0.35">
      <c r="A327" s="467">
        <v>38100</v>
      </c>
      <c r="B327" s="468">
        <v>8.9993695100776039E-2</v>
      </c>
      <c r="C327" s="468">
        <v>0.12284978086131915</v>
      </c>
      <c r="D327" s="469">
        <v>0.14156781452099754</v>
      </c>
      <c r="G327" s="470"/>
      <c r="H327" s="471"/>
    </row>
    <row r="328" spans="1:8" x14ac:dyDescent="0.35">
      <c r="A328" s="467">
        <v>38103</v>
      </c>
      <c r="B328" s="468">
        <v>8.9246067593928169E-2</v>
      </c>
      <c r="C328" s="468">
        <v>0.11907664254093464</v>
      </c>
      <c r="D328" s="469">
        <v>0.14132779618514779</v>
      </c>
      <c r="G328" s="470"/>
      <c r="H328" s="471"/>
    </row>
    <row r="329" spans="1:8" x14ac:dyDescent="0.35">
      <c r="A329" s="467">
        <v>38104</v>
      </c>
      <c r="B329" s="468">
        <v>8.9796199444609481E-2</v>
      </c>
      <c r="C329" s="468">
        <v>0.12002225201282113</v>
      </c>
      <c r="D329" s="469">
        <v>0.14004884665772099</v>
      </c>
      <c r="G329" s="470"/>
      <c r="H329" s="471"/>
    </row>
    <row r="330" spans="1:8" x14ac:dyDescent="0.35">
      <c r="A330" s="467">
        <v>38105</v>
      </c>
      <c r="B330" s="468">
        <v>9.2153680874527577E-2</v>
      </c>
      <c r="C330" s="468">
        <v>0.12360046832496185</v>
      </c>
      <c r="D330" s="469">
        <v>0.13943516770622244</v>
      </c>
      <c r="G330" s="470"/>
      <c r="H330" s="471"/>
    </row>
    <row r="331" spans="1:8" x14ac:dyDescent="0.35">
      <c r="A331" s="467">
        <v>38106</v>
      </c>
      <c r="B331" s="468">
        <v>9.3736429871584592E-2</v>
      </c>
      <c r="C331" s="468">
        <v>0.12727877169854707</v>
      </c>
      <c r="D331" s="469">
        <v>0.14288395528596154</v>
      </c>
      <c r="G331" s="470"/>
      <c r="H331" s="471"/>
    </row>
    <row r="332" spans="1:8" x14ac:dyDescent="0.35">
      <c r="A332" s="467">
        <v>38107</v>
      </c>
      <c r="B332" s="468">
        <v>0.1076772260886234</v>
      </c>
      <c r="C332" s="468">
        <v>0.12996141001799999</v>
      </c>
      <c r="D332" s="469">
        <v>0.12577955011608344</v>
      </c>
      <c r="G332" s="470"/>
      <c r="H332" s="471"/>
    </row>
    <row r="333" spans="1:8" x14ac:dyDescent="0.35">
      <c r="A333" s="467">
        <v>38110</v>
      </c>
      <c r="B333" s="468">
        <v>9.4527272029642617E-2</v>
      </c>
      <c r="C333" s="468">
        <v>0.13170534537875955</v>
      </c>
      <c r="D333" s="469">
        <v>0.14486096060437648</v>
      </c>
      <c r="G333" s="470"/>
      <c r="H333" s="471"/>
    </row>
    <row r="334" spans="1:8" x14ac:dyDescent="0.35">
      <c r="A334" s="467">
        <v>38111</v>
      </c>
      <c r="B334" s="468">
        <v>9.4858774662415213E-2</v>
      </c>
      <c r="C334" s="468">
        <v>0.1321047364584329</v>
      </c>
      <c r="D334" s="469">
        <v>0.14706670333690863</v>
      </c>
      <c r="G334" s="470"/>
      <c r="H334" s="471"/>
    </row>
    <row r="335" spans="1:8" x14ac:dyDescent="0.35">
      <c r="A335" s="467">
        <v>38112</v>
      </c>
      <c r="B335" s="468">
        <v>9.461433918298412E-2</v>
      </c>
      <c r="C335" s="468">
        <v>0.13275867846117606</v>
      </c>
      <c r="D335" s="469">
        <v>0.14905358742840957</v>
      </c>
      <c r="G335" s="470"/>
      <c r="H335" s="471"/>
    </row>
    <row r="336" spans="1:8" x14ac:dyDescent="0.35">
      <c r="A336" s="467">
        <v>38113</v>
      </c>
      <c r="B336" s="468">
        <v>9.9695973074930055E-2</v>
      </c>
      <c r="C336" s="468">
        <v>0.14040233218962594</v>
      </c>
      <c r="D336" s="469">
        <v>0.15401531803564961</v>
      </c>
      <c r="G336" s="470"/>
      <c r="H336" s="471"/>
    </row>
    <row r="337" spans="1:8" x14ac:dyDescent="0.35">
      <c r="A337" s="467">
        <v>38114</v>
      </c>
      <c r="B337" s="468">
        <v>0.10210733008694683</v>
      </c>
      <c r="C337" s="468">
        <v>0.14318793006621267</v>
      </c>
      <c r="D337" s="469">
        <v>0.15712117690417182</v>
      </c>
      <c r="G337" s="470"/>
      <c r="H337" s="471"/>
    </row>
    <row r="338" spans="1:8" x14ac:dyDescent="0.35">
      <c r="A338" s="467">
        <v>38117</v>
      </c>
      <c r="B338" s="468">
        <v>0.10582738751574849</v>
      </c>
      <c r="C338" s="468">
        <v>0.14460067003934762</v>
      </c>
      <c r="D338" s="469">
        <v>0.15533748956017335</v>
      </c>
      <c r="G338" s="470"/>
      <c r="H338" s="471"/>
    </row>
    <row r="339" spans="1:8" x14ac:dyDescent="0.35">
      <c r="A339" s="467">
        <v>38118</v>
      </c>
      <c r="B339" s="468">
        <v>0.10229617813671732</v>
      </c>
      <c r="C339" s="468">
        <v>0.14373283986481189</v>
      </c>
      <c r="D339" s="469">
        <v>0.15390205804114254</v>
      </c>
      <c r="G339" s="470"/>
      <c r="H339" s="471"/>
    </row>
    <row r="340" spans="1:8" x14ac:dyDescent="0.35">
      <c r="A340" s="467">
        <v>38119</v>
      </c>
      <c r="B340" s="468">
        <v>0.10347848452821395</v>
      </c>
      <c r="C340" s="468">
        <v>0.14127386851827772</v>
      </c>
      <c r="D340" s="469">
        <v>0.1506650628277737</v>
      </c>
      <c r="G340" s="470"/>
      <c r="H340" s="471"/>
    </row>
    <row r="341" spans="1:8" x14ac:dyDescent="0.35">
      <c r="A341" s="467">
        <v>38120</v>
      </c>
      <c r="B341" s="468">
        <v>0.10279964257746377</v>
      </c>
      <c r="C341" s="468">
        <v>0.14422072596207358</v>
      </c>
      <c r="D341" s="469">
        <v>0.15757133343619389</v>
      </c>
      <c r="G341" s="470"/>
      <c r="H341" s="471"/>
    </row>
    <row r="342" spans="1:8" x14ac:dyDescent="0.35">
      <c r="A342" s="467">
        <v>38121</v>
      </c>
      <c r="B342" s="468">
        <v>0.10031679248171343</v>
      </c>
      <c r="C342" s="468">
        <v>0.13887064075623945</v>
      </c>
      <c r="D342" s="469">
        <v>0.15250808838949559</v>
      </c>
      <c r="G342" s="470"/>
      <c r="H342" s="471"/>
    </row>
    <row r="343" spans="1:8" x14ac:dyDescent="0.35">
      <c r="A343" s="467">
        <v>38124</v>
      </c>
      <c r="B343" s="468">
        <v>9.7989329478710863E-2</v>
      </c>
      <c r="C343" s="468">
        <v>0.1375012368774251</v>
      </c>
      <c r="D343" s="469">
        <v>0.1500900338726523</v>
      </c>
      <c r="G343" s="470"/>
      <c r="H343" s="471"/>
    </row>
    <row r="344" spans="1:8" x14ac:dyDescent="0.35">
      <c r="A344" s="467">
        <v>38125</v>
      </c>
      <c r="B344" s="468">
        <v>9.6725893405159358E-2</v>
      </c>
      <c r="C344" s="468">
        <v>0.13773929854478228</v>
      </c>
      <c r="D344" s="469">
        <v>0.15148162456246816</v>
      </c>
      <c r="G344" s="470"/>
      <c r="H344" s="471"/>
    </row>
    <row r="345" spans="1:8" x14ac:dyDescent="0.35">
      <c r="A345" s="467">
        <v>38126</v>
      </c>
      <c r="B345" s="468">
        <v>9.5980020601919014E-2</v>
      </c>
      <c r="C345" s="468">
        <v>0.14032009822052727</v>
      </c>
      <c r="D345" s="469">
        <v>0.15006723543087652</v>
      </c>
      <c r="G345" s="470"/>
      <c r="H345" s="471"/>
    </row>
    <row r="346" spans="1:8" x14ac:dyDescent="0.35">
      <c r="A346" s="467">
        <v>38127</v>
      </c>
      <c r="B346" s="468">
        <v>0.10205115830061806</v>
      </c>
      <c r="C346" s="468">
        <v>0.14058202283670673</v>
      </c>
      <c r="D346" s="469">
        <v>0.15306137716489587</v>
      </c>
      <c r="G346" s="470"/>
      <c r="H346" s="471"/>
    </row>
    <row r="347" spans="1:8" x14ac:dyDescent="0.35">
      <c r="A347" s="467">
        <v>38128</v>
      </c>
      <c r="B347" s="468">
        <v>9.8254470716388376E-2</v>
      </c>
      <c r="C347" s="468">
        <v>0.14311184705847468</v>
      </c>
      <c r="D347" s="469">
        <v>0.15114214192896425</v>
      </c>
      <c r="G347" s="470"/>
      <c r="H347" s="471"/>
    </row>
    <row r="348" spans="1:8" x14ac:dyDescent="0.35">
      <c r="A348" s="467">
        <v>38132</v>
      </c>
      <c r="B348" s="468">
        <v>9.8095157432610103E-2</v>
      </c>
      <c r="C348" s="468">
        <v>0.14039665228369436</v>
      </c>
      <c r="D348" s="469">
        <v>0.1544189988103768</v>
      </c>
      <c r="G348" s="470"/>
      <c r="H348" s="471"/>
    </row>
    <row r="349" spans="1:8" x14ac:dyDescent="0.35">
      <c r="A349" s="467">
        <v>38133</v>
      </c>
      <c r="B349" s="468">
        <v>9.4236915566238366E-2</v>
      </c>
      <c r="C349" s="468">
        <v>0.14208597315258809</v>
      </c>
      <c r="D349" s="469">
        <v>0.14905458863133836</v>
      </c>
      <c r="G349" s="470"/>
      <c r="H349" s="471"/>
    </row>
    <row r="350" spans="1:8" x14ac:dyDescent="0.35">
      <c r="A350" s="467">
        <v>38134</v>
      </c>
      <c r="B350" s="468">
        <v>9.4462968988195506E-2</v>
      </c>
      <c r="C350" s="468">
        <v>0.13846072113777241</v>
      </c>
      <c r="D350" s="469">
        <v>0.15243834222708963</v>
      </c>
      <c r="G350" s="470"/>
      <c r="H350" s="471"/>
    </row>
    <row r="351" spans="1:8" x14ac:dyDescent="0.35">
      <c r="A351" s="467">
        <v>38135</v>
      </c>
      <c r="B351" s="468">
        <v>9.4250007963978089E-2</v>
      </c>
      <c r="C351" s="468">
        <v>0.13849039201329871</v>
      </c>
      <c r="D351" s="469">
        <v>0.14817456992574662</v>
      </c>
      <c r="G351" s="470"/>
      <c r="H351" s="471"/>
    </row>
    <row r="352" spans="1:8" x14ac:dyDescent="0.35">
      <c r="A352" s="467">
        <v>38138</v>
      </c>
      <c r="B352" s="468">
        <v>9.3539663027889741E-2</v>
      </c>
      <c r="C352" s="468">
        <v>0.13816082943242236</v>
      </c>
      <c r="D352" s="469">
        <v>0.14687768112945587</v>
      </c>
      <c r="G352" s="470"/>
      <c r="H352" s="471"/>
    </row>
    <row r="353" spans="1:8" x14ac:dyDescent="0.35">
      <c r="A353" s="467">
        <v>38139</v>
      </c>
      <c r="B353" s="468">
        <v>9.5194274630676201E-2</v>
      </c>
      <c r="C353" s="468">
        <v>0.13997980576114877</v>
      </c>
      <c r="D353" s="469">
        <v>0.14695623510935252</v>
      </c>
      <c r="G353" s="470"/>
      <c r="H353" s="471"/>
    </row>
    <row r="354" spans="1:8" x14ac:dyDescent="0.35">
      <c r="A354" s="467">
        <v>38140</v>
      </c>
      <c r="B354" s="468">
        <v>9.4674080230977342E-2</v>
      </c>
      <c r="C354" s="468">
        <v>0.13937693863913569</v>
      </c>
      <c r="D354" s="469">
        <v>0.14703690418314297</v>
      </c>
      <c r="G354" s="470"/>
      <c r="H354" s="471"/>
    </row>
    <row r="355" spans="1:8" x14ac:dyDescent="0.35">
      <c r="A355" s="467">
        <v>38141</v>
      </c>
      <c r="B355" s="468">
        <v>9.3675007236333485E-2</v>
      </c>
      <c r="C355" s="468">
        <v>0.13854299521542535</v>
      </c>
      <c r="D355" s="469">
        <v>0.14772135784199425</v>
      </c>
      <c r="G355" s="470"/>
      <c r="H355" s="471"/>
    </row>
    <row r="356" spans="1:8" x14ac:dyDescent="0.35">
      <c r="A356" s="467">
        <v>38142</v>
      </c>
      <c r="B356" s="468">
        <v>9.3618706043136823E-2</v>
      </c>
      <c r="C356" s="468">
        <v>0.13692388535874533</v>
      </c>
      <c r="D356" s="469">
        <v>0.14624364812827495</v>
      </c>
      <c r="G356" s="470"/>
      <c r="H356" s="471"/>
    </row>
    <row r="357" spans="1:8" x14ac:dyDescent="0.35">
      <c r="A357" s="467">
        <v>38145</v>
      </c>
      <c r="B357" s="468">
        <v>9.3641207137501015E-2</v>
      </c>
      <c r="C357" s="468">
        <v>0.13598014127467239</v>
      </c>
      <c r="D357" s="469">
        <v>0.14436047402564611</v>
      </c>
      <c r="G357" s="470"/>
      <c r="H357" s="471"/>
    </row>
    <row r="358" spans="1:8" x14ac:dyDescent="0.35">
      <c r="A358" s="467">
        <v>38146</v>
      </c>
      <c r="B358" s="468">
        <v>9.4053663192561698E-2</v>
      </c>
      <c r="C358" s="468">
        <v>0.13704274265671845</v>
      </c>
      <c r="D358" s="469">
        <v>0.14713847617867426</v>
      </c>
      <c r="G358" s="470"/>
      <c r="H358" s="471"/>
    </row>
    <row r="359" spans="1:8" x14ac:dyDescent="0.35">
      <c r="A359" s="467">
        <v>38147</v>
      </c>
      <c r="B359" s="468">
        <v>9.4689918184710953E-2</v>
      </c>
      <c r="C359" s="468">
        <v>0.14053770954981726</v>
      </c>
      <c r="D359" s="469">
        <v>0.14759644427447594</v>
      </c>
      <c r="G359" s="470"/>
      <c r="H359" s="471"/>
    </row>
    <row r="360" spans="1:8" x14ac:dyDescent="0.35">
      <c r="A360" s="467">
        <v>38148</v>
      </c>
      <c r="B360" s="468">
        <v>9.5601345256298709E-2</v>
      </c>
      <c r="C360" s="468">
        <v>0.14220795213427539</v>
      </c>
      <c r="D360" s="469">
        <v>0.15084411663665964</v>
      </c>
      <c r="G360" s="470"/>
      <c r="H360" s="471"/>
    </row>
    <row r="361" spans="1:8" x14ac:dyDescent="0.35">
      <c r="A361" s="467">
        <v>38149</v>
      </c>
      <c r="B361" s="468">
        <v>9.3736142171296777E-2</v>
      </c>
      <c r="C361" s="468">
        <v>0.14319410146209854</v>
      </c>
      <c r="D361" s="469">
        <v>0.14893934548820176</v>
      </c>
      <c r="G361" s="470"/>
      <c r="H361" s="471"/>
    </row>
    <row r="362" spans="1:8" x14ac:dyDescent="0.35">
      <c r="A362" s="467">
        <v>38153</v>
      </c>
      <c r="B362" s="468">
        <v>9.4247909521725681E-2</v>
      </c>
      <c r="C362" s="468">
        <v>0.14267551663936207</v>
      </c>
      <c r="D362" s="469">
        <v>0.15025081194174983</v>
      </c>
      <c r="G362" s="470"/>
      <c r="H362" s="471"/>
    </row>
    <row r="363" spans="1:8" x14ac:dyDescent="0.35">
      <c r="A363" s="467">
        <v>38154</v>
      </c>
      <c r="B363" s="468">
        <v>9.5261620410356462E-2</v>
      </c>
      <c r="C363" s="468">
        <v>0.14064316986888437</v>
      </c>
      <c r="D363" s="469">
        <v>0.14975689143724691</v>
      </c>
      <c r="G363" s="470"/>
      <c r="H363" s="471"/>
    </row>
    <row r="364" spans="1:8" x14ac:dyDescent="0.35">
      <c r="A364" s="467">
        <v>38155</v>
      </c>
      <c r="B364" s="468">
        <v>9.4307143755696599E-2</v>
      </c>
      <c r="C364" s="468">
        <v>0.14069380394380482</v>
      </c>
      <c r="D364" s="469">
        <v>0.14899062076838354</v>
      </c>
      <c r="G364" s="470"/>
      <c r="H364" s="471"/>
    </row>
    <row r="365" spans="1:8" x14ac:dyDescent="0.35">
      <c r="A365" s="467">
        <v>38156</v>
      </c>
      <c r="B365" s="468">
        <v>9.4552684401545628E-2</v>
      </c>
      <c r="C365" s="468">
        <v>0.14049752011588823</v>
      </c>
      <c r="D365" s="469">
        <v>0.1492809782477289</v>
      </c>
      <c r="G365" s="470"/>
      <c r="H365" s="471"/>
    </row>
    <row r="366" spans="1:8" x14ac:dyDescent="0.35">
      <c r="A366" s="467">
        <v>38160</v>
      </c>
      <c r="B366" s="468">
        <v>9.2209142556164636E-2</v>
      </c>
      <c r="C366" s="468">
        <v>0.14147843884169986</v>
      </c>
      <c r="D366" s="469">
        <v>0.15451588175935904</v>
      </c>
      <c r="G366" s="470"/>
      <c r="H366" s="471"/>
    </row>
    <row r="367" spans="1:8" x14ac:dyDescent="0.35">
      <c r="A367" s="467">
        <v>38161</v>
      </c>
      <c r="B367" s="468">
        <v>9.2291513751548093E-2</v>
      </c>
      <c r="C367" s="468">
        <v>0.14140590176020185</v>
      </c>
      <c r="D367" s="469">
        <v>0.15470364772884349</v>
      </c>
      <c r="G367" s="470"/>
      <c r="H367" s="471"/>
    </row>
    <row r="368" spans="1:8" x14ac:dyDescent="0.35">
      <c r="A368" s="467">
        <v>38162</v>
      </c>
      <c r="B368" s="468">
        <v>9.1922558548588551E-2</v>
      </c>
      <c r="C368" s="468">
        <v>0.14069007516388599</v>
      </c>
      <c r="D368" s="469">
        <v>0.1539566504079446</v>
      </c>
      <c r="G368" s="470"/>
      <c r="H368" s="471"/>
    </row>
    <row r="369" spans="1:8" x14ac:dyDescent="0.35">
      <c r="A369" s="467">
        <v>38163</v>
      </c>
      <c r="B369" s="468">
        <v>9.2222688683846865E-2</v>
      </c>
      <c r="C369" s="468">
        <v>0.1411214390009512</v>
      </c>
      <c r="D369" s="469">
        <v>0.15380589827930957</v>
      </c>
      <c r="G369" s="470"/>
      <c r="H369" s="471"/>
    </row>
    <row r="370" spans="1:8" x14ac:dyDescent="0.35">
      <c r="A370" s="467">
        <v>38166</v>
      </c>
      <c r="B370" s="468">
        <v>9.416077310607851E-2</v>
      </c>
      <c r="C370" s="468">
        <v>0.1416869356289665</v>
      </c>
      <c r="D370" s="469">
        <v>0.14876511447783836</v>
      </c>
      <c r="G370" s="470"/>
      <c r="H370" s="471"/>
    </row>
    <row r="371" spans="1:8" x14ac:dyDescent="0.35">
      <c r="A371" s="467">
        <v>38167</v>
      </c>
      <c r="B371" s="468">
        <v>9.2177117226199368E-2</v>
      </c>
      <c r="C371" s="468">
        <v>0.14176344959950815</v>
      </c>
      <c r="D371" s="469">
        <v>0.15527517740813601</v>
      </c>
      <c r="G371" s="470"/>
      <c r="H371" s="471"/>
    </row>
    <row r="372" spans="1:8" x14ac:dyDescent="0.35">
      <c r="A372" s="467">
        <v>38168</v>
      </c>
      <c r="B372" s="468">
        <v>9.1456282858379589E-2</v>
      </c>
      <c r="C372" s="468">
        <v>0.13969208237853392</v>
      </c>
      <c r="D372" s="469">
        <v>0.15241634034502427</v>
      </c>
      <c r="G372" s="470"/>
      <c r="H372" s="471"/>
    </row>
    <row r="373" spans="1:8" x14ac:dyDescent="0.35">
      <c r="A373" s="467">
        <v>38169</v>
      </c>
      <c r="B373" s="468">
        <v>9.3562269423578259E-2</v>
      </c>
      <c r="C373" s="468">
        <v>0.13959677872932308</v>
      </c>
      <c r="D373" s="469">
        <v>0.14555164793928621</v>
      </c>
      <c r="G373" s="470"/>
      <c r="H373" s="471"/>
    </row>
    <row r="374" spans="1:8" x14ac:dyDescent="0.35">
      <c r="A374" s="467">
        <v>38170</v>
      </c>
      <c r="B374" s="468">
        <v>9.3561634315951991E-2</v>
      </c>
      <c r="C374" s="468">
        <v>0.13904472209580798</v>
      </c>
      <c r="D374" s="469">
        <v>0.14524545142478074</v>
      </c>
      <c r="G374" s="470"/>
      <c r="H374" s="471"/>
    </row>
    <row r="375" spans="1:8" x14ac:dyDescent="0.35">
      <c r="A375" s="467">
        <v>38174</v>
      </c>
      <c r="B375" s="468">
        <v>9.3990998034661155E-2</v>
      </c>
      <c r="C375" s="468">
        <v>0.13999203641560465</v>
      </c>
      <c r="D375" s="469">
        <v>0.14631315210829432</v>
      </c>
      <c r="G375" s="470"/>
      <c r="H375" s="471"/>
    </row>
    <row r="376" spans="1:8" x14ac:dyDescent="0.35">
      <c r="A376" s="467">
        <v>38175</v>
      </c>
      <c r="B376" s="468">
        <v>9.2290973486285122E-2</v>
      </c>
      <c r="C376" s="468">
        <v>0.14101494765635714</v>
      </c>
      <c r="D376" s="469">
        <v>0.1539284564027561</v>
      </c>
      <c r="G376" s="470"/>
      <c r="H376" s="471"/>
    </row>
    <row r="377" spans="1:8" x14ac:dyDescent="0.35">
      <c r="A377" s="467">
        <v>38176</v>
      </c>
      <c r="B377" s="468">
        <v>9.2104546929677733E-2</v>
      </c>
      <c r="C377" s="468">
        <v>0.1407194408427197</v>
      </c>
      <c r="D377" s="469">
        <v>0.15348769051519695</v>
      </c>
      <c r="G377" s="470"/>
      <c r="H377" s="471"/>
    </row>
    <row r="378" spans="1:8" x14ac:dyDescent="0.35">
      <c r="A378" s="467">
        <v>38177</v>
      </c>
      <c r="B378" s="468">
        <v>9.1936757326216645E-2</v>
      </c>
      <c r="C378" s="468">
        <v>0.14016785980932478</v>
      </c>
      <c r="D378" s="469">
        <v>0.15298242916639215</v>
      </c>
      <c r="G378" s="470"/>
      <c r="H378" s="471"/>
    </row>
    <row r="379" spans="1:8" x14ac:dyDescent="0.35">
      <c r="A379" s="467">
        <v>38180</v>
      </c>
      <c r="B379" s="468">
        <v>9.1274254033764768E-2</v>
      </c>
      <c r="C379" s="468">
        <v>0.14086041825319029</v>
      </c>
      <c r="D379" s="469">
        <v>0.15367425693174996</v>
      </c>
      <c r="G379" s="470"/>
      <c r="H379" s="471"/>
    </row>
    <row r="380" spans="1:8" x14ac:dyDescent="0.35">
      <c r="A380" s="467">
        <v>38181</v>
      </c>
      <c r="B380" s="468">
        <v>9.4653036892277997E-2</v>
      </c>
      <c r="C380" s="468">
        <v>0.14049220891075698</v>
      </c>
      <c r="D380" s="469">
        <v>0.15119370438034085</v>
      </c>
      <c r="G380" s="470"/>
      <c r="H380" s="471"/>
    </row>
    <row r="381" spans="1:8" x14ac:dyDescent="0.35">
      <c r="A381" s="467">
        <v>38182</v>
      </c>
      <c r="B381" s="468">
        <v>9.2301023443106534E-2</v>
      </c>
      <c r="C381" s="468">
        <v>0.14078275606020707</v>
      </c>
      <c r="D381" s="469">
        <v>0.15334819957457335</v>
      </c>
      <c r="G381" s="470"/>
      <c r="H381" s="471"/>
    </row>
    <row r="382" spans="1:8" x14ac:dyDescent="0.35">
      <c r="A382" s="467">
        <v>38183</v>
      </c>
      <c r="B382" s="468">
        <v>9.107389132329935E-2</v>
      </c>
      <c r="C382" s="468">
        <v>0.13930537539383314</v>
      </c>
      <c r="D382" s="469">
        <v>0.15165408058800067</v>
      </c>
      <c r="G382" s="470"/>
      <c r="H382" s="471"/>
    </row>
    <row r="383" spans="1:8" x14ac:dyDescent="0.35">
      <c r="A383" s="467">
        <v>38184</v>
      </c>
      <c r="B383" s="468">
        <v>9.4275337375394175E-2</v>
      </c>
      <c r="C383" s="468">
        <v>0.13862157099961037</v>
      </c>
      <c r="D383" s="469">
        <v>0.14836522230184923</v>
      </c>
      <c r="G383" s="470"/>
      <c r="H383" s="471"/>
    </row>
    <row r="384" spans="1:8" x14ac:dyDescent="0.35">
      <c r="A384" s="467">
        <v>38187</v>
      </c>
      <c r="B384" s="468">
        <v>9.7736575041936335E-2</v>
      </c>
      <c r="C384" s="468">
        <v>0.13944694158007964</v>
      </c>
      <c r="D384" s="469">
        <v>0.14799001176384952</v>
      </c>
      <c r="G384" s="470"/>
      <c r="H384" s="471"/>
    </row>
    <row r="385" spans="1:8" x14ac:dyDescent="0.35">
      <c r="A385" s="467">
        <v>38189</v>
      </c>
      <c r="B385" s="468">
        <v>9.5797547800124505E-2</v>
      </c>
      <c r="C385" s="468">
        <v>0.13986152972185173</v>
      </c>
      <c r="D385" s="469">
        <v>0.1514661464575473</v>
      </c>
      <c r="G385" s="470"/>
      <c r="H385" s="471"/>
    </row>
    <row r="386" spans="1:8" x14ac:dyDescent="0.35">
      <c r="A386" s="467">
        <v>38190</v>
      </c>
      <c r="B386" s="468">
        <v>9.7486550274663797E-2</v>
      </c>
      <c r="C386" s="468">
        <v>0.14036150763673083</v>
      </c>
      <c r="D386" s="469">
        <v>0.15247000167614688</v>
      </c>
      <c r="G386" s="470"/>
      <c r="H386" s="471"/>
    </row>
    <row r="387" spans="1:8" x14ac:dyDescent="0.35">
      <c r="A387" s="467">
        <v>38191</v>
      </c>
      <c r="B387" s="468">
        <v>9.7120140890321949E-2</v>
      </c>
      <c r="C387" s="468">
        <v>0.14143313671404645</v>
      </c>
      <c r="D387" s="469">
        <v>0.14887103864768392</v>
      </c>
      <c r="G387" s="470"/>
      <c r="H387" s="471"/>
    </row>
    <row r="388" spans="1:8" x14ac:dyDescent="0.35">
      <c r="A388" s="467">
        <v>38194</v>
      </c>
      <c r="B388" s="468">
        <v>9.2326117632859139E-2</v>
      </c>
      <c r="C388" s="468">
        <v>0.14174581339277181</v>
      </c>
      <c r="D388" s="469">
        <v>0.15450505115649582</v>
      </c>
      <c r="G388" s="470"/>
      <c r="H388" s="471"/>
    </row>
    <row r="389" spans="1:8" x14ac:dyDescent="0.35">
      <c r="A389" s="467">
        <v>38195</v>
      </c>
      <c r="B389" s="468">
        <v>9.5867854610258485E-2</v>
      </c>
      <c r="C389" s="468">
        <v>0.14271855291805013</v>
      </c>
      <c r="D389" s="469">
        <v>0.15411664453553664</v>
      </c>
      <c r="G389" s="470"/>
      <c r="H389" s="471"/>
    </row>
    <row r="390" spans="1:8" x14ac:dyDescent="0.35">
      <c r="A390" s="467">
        <v>38196</v>
      </c>
      <c r="B390" s="468">
        <v>9.171951578351889E-2</v>
      </c>
      <c r="C390" s="468">
        <v>0.14213543023878983</v>
      </c>
      <c r="D390" s="469">
        <v>0.15449323811653537</v>
      </c>
      <c r="G390" s="470"/>
      <c r="H390" s="471"/>
    </row>
    <row r="391" spans="1:8" x14ac:dyDescent="0.35">
      <c r="A391" s="467">
        <v>38197</v>
      </c>
      <c r="B391" s="468">
        <v>9.2466305163791063E-2</v>
      </c>
      <c r="C391" s="468">
        <v>0.14161766449380297</v>
      </c>
      <c r="D391" s="469">
        <v>0.15404885483310982</v>
      </c>
      <c r="G391" s="470"/>
      <c r="H391" s="471"/>
    </row>
    <row r="392" spans="1:8" x14ac:dyDescent="0.35">
      <c r="A392" s="467">
        <v>38198</v>
      </c>
      <c r="B392" s="468">
        <v>9.2330045337677413E-2</v>
      </c>
      <c r="C392" s="468">
        <v>0.14177320922619541</v>
      </c>
      <c r="D392" s="469">
        <v>0.15444560731036061</v>
      </c>
      <c r="G392" s="470"/>
      <c r="H392" s="471"/>
    </row>
    <row r="393" spans="1:8" x14ac:dyDescent="0.35">
      <c r="A393" s="467">
        <v>38201</v>
      </c>
      <c r="B393" s="468">
        <v>9.1894114144358552E-2</v>
      </c>
      <c r="C393" s="468">
        <v>0.14193379829468111</v>
      </c>
      <c r="D393" s="469">
        <v>0.1550224039440431</v>
      </c>
      <c r="G393" s="470"/>
      <c r="H393" s="471"/>
    </row>
    <row r="394" spans="1:8" x14ac:dyDescent="0.35">
      <c r="A394" s="467">
        <v>38202</v>
      </c>
      <c r="B394" s="468">
        <v>9.0948986989859204E-2</v>
      </c>
      <c r="C394" s="468">
        <v>0.14246690966204656</v>
      </c>
      <c r="D394" s="469">
        <v>0.15698208337197861</v>
      </c>
      <c r="G394" s="470"/>
      <c r="H394" s="471"/>
    </row>
    <row r="395" spans="1:8" x14ac:dyDescent="0.35">
      <c r="A395" s="467">
        <v>38203</v>
      </c>
      <c r="B395" s="468">
        <v>9.0778013770588251E-2</v>
      </c>
      <c r="C395" s="468">
        <v>0.14240481377421288</v>
      </c>
      <c r="D395" s="469">
        <v>0.15675098945230159</v>
      </c>
      <c r="G395" s="470"/>
      <c r="H395" s="471"/>
    </row>
    <row r="396" spans="1:8" x14ac:dyDescent="0.35">
      <c r="A396" s="467">
        <v>38204</v>
      </c>
      <c r="B396" s="468">
        <v>9.0732481989034053E-2</v>
      </c>
      <c r="C396" s="468">
        <v>0.14201830132560644</v>
      </c>
      <c r="D396" s="469">
        <v>0.15617408592772009</v>
      </c>
      <c r="G396" s="470"/>
      <c r="H396" s="471"/>
    </row>
    <row r="397" spans="1:8" x14ac:dyDescent="0.35">
      <c r="A397" s="467">
        <v>38205</v>
      </c>
      <c r="B397" s="468">
        <v>8.9684849908145736E-2</v>
      </c>
      <c r="C397" s="468">
        <v>0.14207893643120739</v>
      </c>
      <c r="D397" s="469">
        <v>0.15576830571707623</v>
      </c>
      <c r="G397" s="470"/>
      <c r="H397" s="471"/>
    </row>
    <row r="398" spans="1:8" x14ac:dyDescent="0.35">
      <c r="A398" s="467">
        <v>38208</v>
      </c>
      <c r="B398" s="468">
        <v>9.4076545758530639E-2</v>
      </c>
      <c r="C398" s="468">
        <v>0.14117712702989715</v>
      </c>
      <c r="D398" s="469">
        <v>0.1526892983531245</v>
      </c>
      <c r="G398" s="470"/>
      <c r="H398" s="471"/>
    </row>
    <row r="399" spans="1:8" x14ac:dyDescent="0.35">
      <c r="A399" s="467">
        <v>38209</v>
      </c>
      <c r="B399" s="468">
        <v>9.2911691054085699E-2</v>
      </c>
      <c r="C399" s="468">
        <v>0.14084281690154654</v>
      </c>
      <c r="D399" s="469">
        <v>0.1517215568098067</v>
      </c>
      <c r="G399" s="470"/>
      <c r="H399" s="471"/>
    </row>
    <row r="400" spans="1:8" x14ac:dyDescent="0.35">
      <c r="A400" s="467">
        <v>38210</v>
      </c>
      <c r="B400" s="468">
        <v>9.0847353732255387E-2</v>
      </c>
      <c r="C400" s="468">
        <v>0.14098674786789989</v>
      </c>
      <c r="D400" s="469">
        <v>0.15461744777490716</v>
      </c>
      <c r="G400" s="470"/>
      <c r="H400" s="471"/>
    </row>
    <row r="401" spans="1:8" x14ac:dyDescent="0.35">
      <c r="A401" s="467">
        <v>38211</v>
      </c>
      <c r="B401" s="468">
        <v>9.0845911471762131E-2</v>
      </c>
      <c r="C401" s="468">
        <v>0.14139487573271237</v>
      </c>
      <c r="D401" s="469">
        <v>0.15636585146356219</v>
      </c>
      <c r="G401" s="470"/>
      <c r="H401" s="471"/>
    </row>
    <row r="402" spans="1:8" x14ac:dyDescent="0.35">
      <c r="A402" s="467">
        <v>38212</v>
      </c>
      <c r="B402" s="468">
        <v>8.902530614462667E-2</v>
      </c>
      <c r="C402" s="468">
        <v>0.14116777219213539</v>
      </c>
      <c r="D402" s="469">
        <v>0.15624196984892413</v>
      </c>
      <c r="G402" s="470"/>
      <c r="H402" s="471"/>
    </row>
    <row r="403" spans="1:8" x14ac:dyDescent="0.35">
      <c r="A403" s="467">
        <v>38216</v>
      </c>
      <c r="B403" s="468">
        <v>8.9026280765676979E-2</v>
      </c>
      <c r="C403" s="468">
        <v>0.14018890537007755</v>
      </c>
      <c r="D403" s="469">
        <v>0.15605840113439262</v>
      </c>
      <c r="G403" s="470"/>
      <c r="H403" s="471"/>
    </row>
    <row r="404" spans="1:8" x14ac:dyDescent="0.35">
      <c r="A404" s="467">
        <v>38217</v>
      </c>
      <c r="B404" s="468">
        <v>8.9667901880041034E-2</v>
      </c>
      <c r="C404" s="468">
        <v>0.13970965128490143</v>
      </c>
      <c r="D404" s="469">
        <v>0.15485317184255676</v>
      </c>
      <c r="G404" s="470"/>
      <c r="H404" s="471"/>
    </row>
    <row r="405" spans="1:8" x14ac:dyDescent="0.35">
      <c r="A405" s="467">
        <v>38218</v>
      </c>
      <c r="B405" s="468">
        <v>8.9209375579949457E-2</v>
      </c>
      <c r="C405" s="468">
        <v>0.13945252132831154</v>
      </c>
      <c r="D405" s="469">
        <v>0.15372630941102505</v>
      </c>
      <c r="G405" s="470"/>
      <c r="H405" s="471"/>
    </row>
    <row r="406" spans="1:8" x14ac:dyDescent="0.35">
      <c r="A406" s="467">
        <v>38219</v>
      </c>
      <c r="B406" s="468">
        <v>8.8911091314286317E-2</v>
      </c>
      <c r="C406" s="468">
        <v>0.1392657456633084</v>
      </c>
      <c r="D406" s="469">
        <v>0.15416042795798646</v>
      </c>
      <c r="G406" s="470"/>
      <c r="H406" s="471"/>
    </row>
    <row r="407" spans="1:8" x14ac:dyDescent="0.35">
      <c r="A407" s="467">
        <v>38222</v>
      </c>
      <c r="B407" s="468">
        <v>8.954421314991623E-2</v>
      </c>
      <c r="C407" s="468">
        <v>0.13734019018598542</v>
      </c>
      <c r="D407" s="469">
        <v>0.15291533910400945</v>
      </c>
      <c r="G407" s="470"/>
      <c r="H407" s="471"/>
    </row>
    <row r="408" spans="1:8" x14ac:dyDescent="0.35">
      <c r="A408" s="467">
        <v>38223</v>
      </c>
      <c r="B408" s="468">
        <v>8.8531225605855912E-2</v>
      </c>
      <c r="C408" s="468">
        <v>0.13571639997307172</v>
      </c>
      <c r="D408" s="469">
        <v>0.15289912292196073</v>
      </c>
      <c r="G408" s="470"/>
      <c r="H408" s="471"/>
    </row>
    <row r="409" spans="1:8" x14ac:dyDescent="0.35">
      <c r="A409" s="467">
        <v>38224</v>
      </c>
      <c r="B409" s="468">
        <v>8.9901600738544252E-2</v>
      </c>
      <c r="C409" s="468">
        <v>0.13435901905765779</v>
      </c>
      <c r="D409" s="469">
        <v>0.15191302733036194</v>
      </c>
      <c r="G409" s="470"/>
      <c r="H409" s="471"/>
    </row>
    <row r="410" spans="1:8" x14ac:dyDescent="0.35">
      <c r="A410" s="467">
        <v>38225</v>
      </c>
      <c r="B410" s="468">
        <v>8.9004066343049137E-2</v>
      </c>
      <c r="C410" s="468">
        <v>0.13430224568302407</v>
      </c>
      <c r="D410" s="469">
        <v>0.14940620743091326</v>
      </c>
      <c r="G410" s="470"/>
      <c r="H410" s="471"/>
    </row>
    <row r="411" spans="1:8" x14ac:dyDescent="0.35">
      <c r="A411" s="467">
        <v>38226</v>
      </c>
      <c r="B411" s="468">
        <v>8.9300351958119695E-2</v>
      </c>
      <c r="C411" s="468">
        <v>0.13546056755148017</v>
      </c>
      <c r="D411" s="469">
        <v>0.15182878068861472</v>
      </c>
      <c r="G411" s="470"/>
      <c r="H411" s="471"/>
    </row>
    <row r="412" spans="1:8" x14ac:dyDescent="0.35">
      <c r="A412" s="467">
        <v>38229</v>
      </c>
      <c r="B412" s="468">
        <v>8.9807791256803826E-2</v>
      </c>
      <c r="C412" s="468">
        <v>0.13406682039322493</v>
      </c>
      <c r="D412" s="469">
        <v>0.1516170031994446</v>
      </c>
      <c r="G412" s="470"/>
      <c r="H412" s="471"/>
    </row>
    <row r="413" spans="1:8" x14ac:dyDescent="0.35">
      <c r="A413" s="467">
        <v>38230</v>
      </c>
      <c r="B413" s="468">
        <v>8.8565782830918316E-2</v>
      </c>
      <c r="C413" s="468">
        <v>0.13387411590701603</v>
      </c>
      <c r="D413" s="469">
        <v>0.15132059093766537</v>
      </c>
      <c r="G413" s="470"/>
      <c r="H413" s="471"/>
    </row>
    <row r="414" spans="1:8" x14ac:dyDescent="0.35">
      <c r="A414" s="467">
        <v>38231</v>
      </c>
      <c r="B414" s="468">
        <v>8.9371567470332813E-2</v>
      </c>
      <c r="C414" s="468">
        <v>0.13361766523309693</v>
      </c>
      <c r="D414" s="469">
        <v>0.1508082568000686</v>
      </c>
      <c r="G414" s="470"/>
      <c r="H414" s="471"/>
    </row>
    <row r="415" spans="1:8" x14ac:dyDescent="0.35">
      <c r="A415" s="467">
        <v>38232</v>
      </c>
      <c r="B415" s="468">
        <v>9.0048882240906014E-2</v>
      </c>
      <c r="C415" s="468">
        <v>0.13510307076039108</v>
      </c>
      <c r="D415" s="469">
        <v>0.15261388797567643</v>
      </c>
      <c r="G415" s="470"/>
      <c r="H415" s="471"/>
    </row>
    <row r="416" spans="1:8" x14ac:dyDescent="0.35">
      <c r="A416" s="467">
        <v>38233</v>
      </c>
      <c r="B416" s="468">
        <v>8.8605557970175663E-2</v>
      </c>
      <c r="C416" s="468">
        <v>0.13519715361609519</v>
      </c>
      <c r="D416" s="469">
        <v>0.15119344837253612</v>
      </c>
      <c r="G416" s="470"/>
      <c r="H416" s="471"/>
    </row>
    <row r="417" spans="1:8" x14ac:dyDescent="0.35">
      <c r="A417" s="467">
        <v>38236</v>
      </c>
      <c r="B417" s="468">
        <v>9.0453681662911567E-2</v>
      </c>
      <c r="C417" s="468">
        <v>0.13382345335476686</v>
      </c>
      <c r="D417" s="469">
        <v>0.15817431430335871</v>
      </c>
      <c r="G417" s="470"/>
      <c r="H417" s="471"/>
    </row>
    <row r="418" spans="1:8" x14ac:dyDescent="0.35">
      <c r="A418" s="467">
        <v>38237</v>
      </c>
      <c r="B418" s="468">
        <v>8.9310250619111908E-2</v>
      </c>
      <c r="C418" s="468">
        <v>0.13442204247033862</v>
      </c>
      <c r="D418" s="469">
        <v>0.15297958561342395</v>
      </c>
      <c r="G418" s="470"/>
      <c r="H418" s="471"/>
    </row>
    <row r="419" spans="1:8" x14ac:dyDescent="0.35">
      <c r="A419" s="467">
        <v>38238</v>
      </c>
      <c r="B419" s="468">
        <v>8.828714614507005E-2</v>
      </c>
      <c r="C419" s="468">
        <v>0.13331053396027759</v>
      </c>
      <c r="D419" s="469">
        <v>0.15142812963756302</v>
      </c>
      <c r="G419" s="470"/>
      <c r="H419" s="471"/>
    </row>
    <row r="420" spans="1:8" x14ac:dyDescent="0.35">
      <c r="A420" s="467">
        <v>38239</v>
      </c>
      <c r="B420" s="468">
        <v>8.6529269261669928E-2</v>
      </c>
      <c r="C420" s="468">
        <v>0.13138874700695213</v>
      </c>
      <c r="D420" s="469">
        <v>0.14901916205329457</v>
      </c>
      <c r="G420" s="470"/>
      <c r="H420" s="471"/>
    </row>
    <row r="421" spans="1:8" x14ac:dyDescent="0.35">
      <c r="A421" s="467">
        <v>38240</v>
      </c>
      <c r="B421" s="468">
        <v>8.8572348074241303E-2</v>
      </c>
      <c r="C421" s="468">
        <v>0.13173418285176952</v>
      </c>
      <c r="D421" s="469">
        <v>0.14983886161401228</v>
      </c>
      <c r="G421" s="470"/>
      <c r="H421" s="471"/>
    </row>
    <row r="422" spans="1:8" x14ac:dyDescent="0.35">
      <c r="A422" s="467">
        <v>38243</v>
      </c>
      <c r="B422" s="468">
        <v>8.6739786330436219E-2</v>
      </c>
      <c r="C422" s="468">
        <v>0.13029490848847303</v>
      </c>
      <c r="D422" s="469">
        <v>0.14600356180996488</v>
      </c>
      <c r="G422" s="470"/>
      <c r="H422" s="471"/>
    </row>
    <row r="423" spans="1:8" x14ac:dyDescent="0.35">
      <c r="A423" s="467">
        <v>38244</v>
      </c>
      <c r="B423" s="468">
        <v>8.4352388499292275E-2</v>
      </c>
      <c r="C423" s="468">
        <v>0.13008703063605664</v>
      </c>
      <c r="D423" s="469">
        <v>0.14565366226150989</v>
      </c>
      <c r="G423" s="470"/>
      <c r="H423" s="471"/>
    </row>
    <row r="424" spans="1:8" x14ac:dyDescent="0.35">
      <c r="A424" s="467">
        <v>38245</v>
      </c>
      <c r="B424" s="468">
        <v>8.5901756720783373E-2</v>
      </c>
      <c r="C424" s="468">
        <v>0.13101460606812121</v>
      </c>
      <c r="D424" s="469">
        <v>0.14619599324593713</v>
      </c>
      <c r="G424" s="470"/>
      <c r="H424" s="471"/>
    </row>
    <row r="425" spans="1:8" x14ac:dyDescent="0.35">
      <c r="A425" s="467">
        <v>38246</v>
      </c>
      <c r="B425" s="468">
        <v>8.7157219193438218E-2</v>
      </c>
      <c r="C425" s="468">
        <v>0.1295686056226395</v>
      </c>
      <c r="D425" s="469">
        <v>0.14840334332871019</v>
      </c>
      <c r="G425" s="470"/>
      <c r="H425" s="471"/>
    </row>
    <row r="426" spans="1:8" x14ac:dyDescent="0.35">
      <c r="A426" s="467">
        <v>38247</v>
      </c>
      <c r="B426" s="468">
        <v>8.6703337382981971E-2</v>
      </c>
      <c r="C426" s="468">
        <v>0.12868669394871057</v>
      </c>
      <c r="D426" s="469">
        <v>0.146253147816922</v>
      </c>
      <c r="G426" s="470"/>
      <c r="H426" s="471"/>
    </row>
    <row r="427" spans="1:8" x14ac:dyDescent="0.35">
      <c r="A427" s="467">
        <v>38250</v>
      </c>
      <c r="B427" s="468">
        <v>8.7549951308674823E-2</v>
      </c>
      <c r="C427" s="468">
        <v>0.13006140053547433</v>
      </c>
      <c r="D427" s="469">
        <v>0.14954985057644588</v>
      </c>
      <c r="G427" s="470"/>
      <c r="H427" s="471"/>
    </row>
    <row r="428" spans="1:8" x14ac:dyDescent="0.35">
      <c r="A428" s="467">
        <v>38251</v>
      </c>
      <c r="B428" s="468">
        <v>8.6827328455741259E-2</v>
      </c>
      <c r="C428" s="468">
        <v>0.13211958076127028</v>
      </c>
      <c r="D428" s="469">
        <v>0.14893319395271432</v>
      </c>
      <c r="G428" s="470"/>
      <c r="H428" s="471"/>
    </row>
    <row r="429" spans="1:8" x14ac:dyDescent="0.35">
      <c r="A429" s="467">
        <v>38252</v>
      </c>
      <c r="B429" s="468">
        <v>8.8106357509828204E-2</v>
      </c>
      <c r="C429" s="468">
        <v>0.13145328150192004</v>
      </c>
      <c r="D429" s="469">
        <v>0.15081789354466113</v>
      </c>
      <c r="G429" s="470"/>
      <c r="H429" s="471"/>
    </row>
    <row r="430" spans="1:8" x14ac:dyDescent="0.35">
      <c r="A430" s="467">
        <v>38253</v>
      </c>
      <c r="B430" s="468">
        <v>8.5285891787090673E-2</v>
      </c>
      <c r="C430" s="468">
        <v>0.13238067360863659</v>
      </c>
      <c r="D430" s="469">
        <v>0.14795719686465225</v>
      </c>
      <c r="G430" s="470"/>
      <c r="H430" s="471"/>
    </row>
    <row r="431" spans="1:8" x14ac:dyDescent="0.35">
      <c r="A431" s="467">
        <v>38254</v>
      </c>
      <c r="B431" s="468">
        <v>8.680606617997122E-2</v>
      </c>
      <c r="C431" s="468">
        <v>0.13410838659580948</v>
      </c>
      <c r="D431" s="469">
        <v>0.150015197068053</v>
      </c>
      <c r="G431" s="470"/>
      <c r="H431" s="471"/>
    </row>
    <row r="432" spans="1:8" x14ac:dyDescent="0.35">
      <c r="A432" s="467">
        <v>38257</v>
      </c>
      <c r="B432" s="468">
        <v>8.653789669657419E-2</v>
      </c>
      <c r="C432" s="468">
        <v>0.13401917898958393</v>
      </c>
      <c r="D432" s="469">
        <v>0.15037423852455567</v>
      </c>
      <c r="G432" s="470"/>
      <c r="H432" s="471"/>
    </row>
    <row r="433" spans="1:8" x14ac:dyDescent="0.35">
      <c r="A433" s="467">
        <v>38258</v>
      </c>
      <c r="B433" s="468">
        <v>8.6125662537177572E-2</v>
      </c>
      <c r="C433" s="468">
        <v>0.13213416026806968</v>
      </c>
      <c r="D433" s="469">
        <v>0.14650402811621288</v>
      </c>
      <c r="G433" s="470"/>
      <c r="H433" s="471"/>
    </row>
    <row r="434" spans="1:8" x14ac:dyDescent="0.35">
      <c r="A434" s="467">
        <v>38259</v>
      </c>
      <c r="B434" s="468">
        <v>8.6243016189387234E-2</v>
      </c>
      <c r="C434" s="468">
        <v>0.13246829632355461</v>
      </c>
      <c r="D434" s="469">
        <v>0.14865002024445073</v>
      </c>
      <c r="G434" s="470"/>
      <c r="H434" s="471"/>
    </row>
    <row r="435" spans="1:8" x14ac:dyDescent="0.35">
      <c r="A435" s="467">
        <v>38260</v>
      </c>
      <c r="B435" s="468">
        <v>8.6221437979194127E-2</v>
      </c>
      <c r="C435" s="468">
        <v>0.13183023297494212</v>
      </c>
      <c r="D435" s="469">
        <v>0.14612564598667088</v>
      </c>
      <c r="G435" s="470"/>
      <c r="H435" s="471"/>
    </row>
    <row r="436" spans="1:8" x14ac:dyDescent="0.35">
      <c r="A436" s="467">
        <v>38261</v>
      </c>
      <c r="B436" s="468">
        <v>8.6391544990450431E-2</v>
      </c>
      <c r="C436" s="468">
        <v>0.132258710811608</v>
      </c>
      <c r="D436" s="469">
        <v>0.14733138125995393</v>
      </c>
      <c r="G436" s="470"/>
      <c r="H436" s="471"/>
    </row>
    <row r="437" spans="1:8" x14ac:dyDescent="0.35">
      <c r="A437" s="467">
        <v>38264</v>
      </c>
      <c r="B437" s="468">
        <v>8.8525350025569605E-2</v>
      </c>
      <c r="C437" s="468">
        <v>0.13208065732967311</v>
      </c>
      <c r="D437" s="469">
        <v>0.15474679402207414</v>
      </c>
      <c r="G437" s="470"/>
      <c r="H437" s="471"/>
    </row>
    <row r="438" spans="1:8" x14ac:dyDescent="0.35">
      <c r="A438" s="467">
        <v>38265</v>
      </c>
      <c r="B438" s="468">
        <v>8.7648220116724573E-2</v>
      </c>
      <c r="C438" s="468">
        <v>0.13162138554031055</v>
      </c>
      <c r="D438" s="469">
        <v>0.14866258725633896</v>
      </c>
      <c r="G438" s="470"/>
      <c r="H438" s="471"/>
    </row>
    <row r="439" spans="1:8" x14ac:dyDescent="0.35">
      <c r="A439" s="467">
        <v>38266</v>
      </c>
      <c r="B439" s="468">
        <v>8.679557447479036E-2</v>
      </c>
      <c r="C439" s="468">
        <v>0.13074976539071304</v>
      </c>
      <c r="D439" s="469">
        <v>0.14760570518671612</v>
      </c>
      <c r="G439" s="470"/>
      <c r="H439" s="471"/>
    </row>
    <row r="440" spans="1:8" x14ac:dyDescent="0.35">
      <c r="A440" s="467">
        <v>38267</v>
      </c>
      <c r="B440" s="468">
        <v>8.5156300045588607E-2</v>
      </c>
      <c r="C440" s="468">
        <v>0.13155687249661185</v>
      </c>
      <c r="D440" s="469">
        <v>0.14798171738123789</v>
      </c>
      <c r="G440" s="470"/>
      <c r="H440" s="471"/>
    </row>
    <row r="441" spans="1:8" x14ac:dyDescent="0.35">
      <c r="A441" s="467">
        <v>38268</v>
      </c>
      <c r="B441" s="468">
        <v>8.6932175645694443E-2</v>
      </c>
      <c r="C441" s="468">
        <v>0.12899189122164989</v>
      </c>
      <c r="D441" s="469">
        <v>0.14911805025823099</v>
      </c>
      <c r="G441" s="470"/>
      <c r="H441" s="471"/>
    </row>
    <row r="442" spans="1:8" x14ac:dyDescent="0.35">
      <c r="A442" s="467">
        <v>38271</v>
      </c>
      <c r="B442" s="468">
        <v>8.7009684283128719E-2</v>
      </c>
      <c r="C442" s="468">
        <v>0.12930494831467576</v>
      </c>
      <c r="D442" s="469">
        <v>0.14672736385299645</v>
      </c>
      <c r="G442" s="470"/>
      <c r="H442" s="471"/>
    </row>
    <row r="443" spans="1:8" x14ac:dyDescent="0.35">
      <c r="A443" s="467">
        <v>38272</v>
      </c>
      <c r="B443" s="468">
        <v>8.7163180244706595E-2</v>
      </c>
      <c r="C443" s="468">
        <v>0.12950723251838525</v>
      </c>
      <c r="D443" s="469">
        <v>0.14728632663598873</v>
      </c>
      <c r="G443" s="470"/>
      <c r="H443" s="471"/>
    </row>
    <row r="444" spans="1:8" x14ac:dyDescent="0.35">
      <c r="A444" s="467">
        <v>38273</v>
      </c>
      <c r="B444" s="468">
        <v>8.5724034759860013E-2</v>
      </c>
      <c r="C444" s="468">
        <v>0.1293021842084261</v>
      </c>
      <c r="D444" s="469">
        <v>0.14487433668183325</v>
      </c>
      <c r="G444" s="470"/>
      <c r="H444" s="471"/>
    </row>
    <row r="445" spans="1:8" x14ac:dyDescent="0.35">
      <c r="A445" s="467">
        <v>38274</v>
      </c>
      <c r="B445" s="468">
        <v>8.7031382050361872E-2</v>
      </c>
      <c r="C445" s="468">
        <v>0.12841688179260324</v>
      </c>
      <c r="D445" s="469">
        <v>0.1456099300957574</v>
      </c>
      <c r="G445" s="470"/>
      <c r="H445" s="471"/>
    </row>
    <row r="446" spans="1:8" x14ac:dyDescent="0.35">
      <c r="A446" s="467">
        <v>38275</v>
      </c>
      <c r="B446" s="468">
        <v>8.6887605642222976E-2</v>
      </c>
      <c r="C446" s="468">
        <v>0.12877647439790874</v>
      </c>
      <c r="D446" s="469">
        <v>0.14553385307097044</v>
      </c>
      <c r="G446" s="470"/>
      <c r="H446" s="471"/>
    </row>
    <row r="447" spans="1:8" x14ac:dyDescent="0.35">
      <c r="A447" s="467">
        <v>38279</v>
      </c>
      <c r="B447" s="468">
        <v>8.8856819788439845E-2</v>
      </c>
      <c r="C447" s="468">
        <v>0.12765748965023649</v>
      </c>
      <c r="D447" s="469">
        <v>0.14582534577398309</v>
      </c>
      <c r="G447" s="470"/>
      <c r="H447" s="471"/>
    </row>
    <row r="448" spans="1:8" x14ac:dyDescent="0.35">
      <c r="A448" s="467">
        <v>38280</v>
      </c>
      <c r="B448" s="468">
        <v>8.5268745143027846E-2</v>
      </c>
      <c r="C448" s="468">
        <v>0.12939540899890334</v>
      </c>
      <c r="D448" s="469">
        <v>0.14551986194942246</v>
      </c>
      <c r="G448" s="470"/>
      <c r="H448" s="471"/>
    </row>
    <row r="449" spans="1:8" x14ac:dyDescent="0.35">
      <c r="A449" s="467">
        <v>38281</v>
      </c>
      <c r="B449" s="468">
        <v>8.6212471576718297E-2</v>
      </c>
      <c r="C449" s="468">
        <v>0.12883453526353761</v>
      </c>
      <c r="D449" s="469">
        <v>0.14448926379137705</v>
      </c>
      <c r="G449" s="470"/>
      <c r="H449" s="471"/>
    </row>
    <row r="450" spans="1:8" x14ac:dyDescent="0.35">
      <c r="A450" s="467">
        <v>38282</v>
      </c>
      <c r="B450" s="468">
        <v>8.687175674353087E-2</v>
      </c>
      <c r="C450" s="468">
        <v>0.12812696357825826</v>
      </c>
      <c r="D450" s="469">
        <v>0.14421090636434664</v>
      </c>
      <c r="G450" s="470"/>
      <c r="H450" s="471"/>
    </row>
    <row r="451" spans="1:8" x14ac:dyDescent="0.35">
      <c r="A451" s="467">
        <v>38285</v>
      </c>
      <c r="B451" s="468">
        <v>8.6138933256339145E-2</v>
      </c>
      <c r="C451" s="468">
        <v>0.12832256466771219</v>
      </c>
      <c r="D451" s="469">
        <v>0.14386619189780903</v>
      </c>
      <c r="G451" s="470"/>
      <c r="H451" s="471"/>
    </row>
    <row r="452" spans="1:8" x14ac:dyDescent="0.35">
      <c r="A452" s="467">
        <v>38286</v>
      </c>
      <c r="B452" s="468">
        <v>8.6582009724035514E-2</v>
      </c>
      <c r="C452" s="468">
        <v>0.12864150537556718</v>
      </c>
      <c r="D452" s="469">
        <v>0.14552172447388911</v>
      </c>
      <c r="G452" s="470"/>
      <c r="H452" s="471"/>
    </row>
    <row r="453" spans="1:8" x14ac:dyDescent="0.35">
      <c r="A453" s="467">
        <v>38287</v>
      </c>
      <c r="B453" s="468">
        <v>8.8063084422951299E-2</v>
      </c>
      <c r="C453" s="468">
        <v>0.12809320711644467</v>
      </c>
      <c r="D453" s="469">
        <v>0.1441435903599606</v>
      </c>
      <c r="G453" s="470"/>
      <c r="H453" s="471"/>
    </row>
    <row r="454" spans="1:8" x14ac:dyDescent="0.35">
      <c r="A454" s="467">
        <v>38288</v>
      </c>
      <c r="B454" s="468">
        <v>8.9759313379285999E-2</v>
      </c>
      <c r="C454" s="468">
        <v>0.12879230835569944</v>
      </c>
      <c r="D454" s="469">
        <v>0.14617464954723913</v>
      </c>
      <c r="G454" s="470"/>
      <c r="H454" s="471"/>
    </row>
    <row r="455" spans="1:8" x14ac:dyDescent="0.35">
      <c r="A455" s="467">
        <v>38289</v>
      </c>
      <c r="B455" s="468">
        <v>8.9813131391313084E-2</v>
      </c>
      <c r="C455" s="468">
        <v>0.12898245366318184</v>
      </c>
      <c r="D455" s="469">
        <v>0.14640543970252851</v>
      </c>
      <c r="G455" s="470"/>
      <c r="H455" s="471"/>
    </row>
    <row r="456" spans="1:8" x14ac:dyDescent="0.35">
      <c r="A456" s="467">
        <v>38293</v>
      </c>
      <c r="B456" s="468">
        <v>8.9152870817070351E-2</v>
      </c>
      <c r="C456" s="468">
        <v>0.12825827199364626</v>
      </c>
      <c r="D456" s="469">
        <v>0.14417194214644224</v>
      </c>
      <c r="G456" s="470"/>
      <c r="H456" s="471"/>
    </row>
    <row r="457" spans="1:8" x14ac:dyDescent="0.35">
      <c r="A457" s="467">
        <v>38294</v>
      </c>
      <c r="B457" s="468">
        <v>8.8635517557472898E-2</v>
      </c>
      <c r="C457" s="468">
        <v>0.12805885681812001</v>
      </c>
      <c r="D457" s="469">
        <v>0.14345360798468265</v>
      </c>
      <c r="G457" s="470"/>
      <c r="H457" s="471"/>
    </row>
    <row r="458" spans="1:8" x14ac:dyDescent="0.35">
      <c r="A458" s="467">
        <v>38295</v>
      </c>
      <c r="B458" s="468">
        <v>8.9190492604684035E-2</v>
      </c>
      <c r="C458" s="468">
        <v>0.12744110370317019</v>
      </c>
      <c r="D458" s="469">
        <v>0.14355831308056355</v>
      </c>
      <c r="G458" s="470"/>
      <c r="H458" s="471"/>
    </row>
    <row r="459" spans="1:8" x14ac:dyDescent="0.35">
      <c r="A459" s="467">
        <v>38296</v>
      </c>
      <c r="B459" s="468">
        <v>8.7687841768902874E-2</v>
      </c>
      <c r="C459" s="468">
        <v>0.12844019012330499</v>
      </c>
      <c r="D459" s="469">
        <v>0.14012831228276479</v>
      </c>
      <c r="G459" s="470"/>
      <c r="H459" s="471"/>
    </row>
    <row r="460" spans="1:8" x14ac:dyDescent="0.35">
      <c r="A460" s="467">
        <v>38299</v>
      </c>
      <c r="B460" s="468">
        <v>8.6590735359593607E-2</v>
      </c>
      <c r="C460" s="468">
        <v>0.12851951306564624</v>
      </c>
      <c r="D460" s="469">
        <v>0.14149194121934627</v>
      </c>
      <c r="G460" s="470"/>
      <c r="H460" s="471"/>
    </row>
    <row r="461" spans="1:8" x14ac:dyDescent="0.35">
      <c r="A461" s="467">
        <v>38300</v>
      </c>
      <c r="B461" s="468">
        <v>8.789568371846479E-2</v>
      </c>
      <c r="C461" s="468">
        <v>0.12703696314505519</v>
      </c>
      <c r="D461" s="469">
        <v>0.14243178546853485</v>
      </c>
      <c r="G461" s="470"/>
      <c r="H461" s="471"/>
    </row>
    <row r="462" spans="1:8" x14ac:dyDescent="0.35">
      <c r="A462" s="467">
        <v>38301</v>
      </c>
      <c r="B462" s="468">
        <v>8.7900793171873826E-2</v>
      </c>
      <c r="C462" s="468">
        <v>0.12676620233497138</v>
      </c>
      <c r="D462" s="469">
        <v>0.14190230467995546</v>
      </c>
      <c r="G462" s="470"/>
      <c r="H462" s="471"/>
    </row>
    <row r="463" spans="1:8" x14ac:dyDescent="0.35">
      <c r="A463" s="467">
        <v>38302</v>
      </c>
      <c r="B463" s="468">
        <v>8.7829711153811996E-2</v>
      </c>
      <c r="C463" s="468">
        <v>0.12676339882801124</v>
      </c>
      <c r="D463" s="469">
        <v>0.14173349481301933</v>
      </c>
      <c r="G463" s="470"/>
      <c r="H463" s="471"/>
    </row>
    <row r="464" spans="1:8" x14ac:dyDescent="0.35">
      <c r="A464" s="467">
        <v>38303</v>
      </c>
      <c r="B464" s="468">
        <v>8.8025570734104441E-2</v>
      </c>
      <c r="C464" s="468">
        <v>0.12579411559399345</v>
      </c>
      <c r="D464" s="469">
        <v>0.14093776621623189</v>
      </c>
      <c r="G464" s="470"/>
      <c r="H464" s="471"/>
    </row>
    <row r="465" spans="1:8" x14ac:dyDescent="0.35">
      <c r="A465" s="467">
        <v>38307</v>
      </c>
      <c r="B465" s="468">
        <v>8.9682682409079062E-2</v>
      </c>
      <c r="C465" s="468">
        <v>0.12473548939814116</v>
      </c>
      <c r="D465" s="469">
        <v>0.14125336602617411</v>
      </c>
      <c r="G465" s="470"/>
      <c r="H465" s="471"/>
    </row>
    <row r="466" spans="1:8" x14ac:dyDescent="0.35">
      <c r="A466" s="467">
        <v>38308</v>
      </c>
      <c r="B466" s="468">
        <v>8.7204142826306841E-2</v>
      </c>
      <c r="C466" s="468">
        <v>0.12497080515599523</v>
      </c>
      <c r="D466" s="469">
        <v>0.13953051483392342</v>
      </c>
      <c r="G466" s="470"/>
      <c r="H466" s="471"/>
    </row>
    <row r="467" spans="1:8" x14ac:dyDescent="0.35">
      <c r="A467" s="467">
        <v>38309</v>
      </c>
      <c r="B467" s="468">
        <v>8.7057222370274578E-2</v>
      </c>
      <c r="C467" s="468">
        <v>0.12412654807377055</v>
      </c>
      <c r="D467" s="469">
        <v>0.13871582696785767</v>
      </c>
      <c r="G467" s="470"/>
      <c r="H467" s="471"/>
    </row>
    <row r="468" spans="1:8" x14ac:dyDescent="0.35">
      <c r="A468" s="467">
        <v>38310</v>
      </c>
      <c r="B468" s="468">
        <v>8.8444602734644828E-2</v>
      </c>
      <c r="C468" s="468">
        <v>0.12369645418803943</v>
      </c>
      <c r="D468" s="469">
        <v>0.14049559857187077</v>
      </c>
      <c r="G468" s="470"/>
      <c r="H468" s="471"/>
    </row>
    <row r="469" spans="1:8" x14ac:dyDescent="0.35">
      <c r="A469" s="467">
        <v>38313</v>
      </c>
      <c r="B469" s="468">
        <v>8.8785518207565639E-2</v>
      </c>
      <c r="C469" s="468">
        <v>0.12473772423853968</v>
      </c>
      <c r="D469" s="469">
        <v>0.14309043818898659</v>
      </c>
      <c r="G469" s="470"/>
      <c r="H469" s="471"/>
    </row>
    <row r="470" spans="1:8" x14ac:dyDescent="0.35">
      <c r="A470" s="467">
        <v>38314</v>
      </c>
      <c r="B470" s="468">
        <v>8.6766967938757933E-2</v>
      </c>
      <c r="C470" s="468">
        <v>0.12430849606034644</v>
      </c>
      <c r="D470" s="469">
        <v>0.13843115742457113</v>
      </c>
      <c r="G470" s="470"/>
      <c r="H470" s="471"/>
    </row>
    <row r="471" spans="1:8" x14ac:dyDescent="0.35">
      <c r="A471" s="467">
        <v>38315</v>
      </c>
      <c r="B471" s="468">
        <v>8.7713140648912669E-2</v>
      </c>
      <c r="C471" s="468">
        <v>0.12260625481015031</v>
      </c>
      <c r="D471" s="469">
        <v>0.13828393150989693</v>
      </c>
      <c r="G471" s="470"/>
      <c r="H471" s="471"/>
    </row>
    <row r="472" spans="1:8" x14ac:dyDescent="0.35">
      <c r="A472" s="467">
        <v>38316</v>
      </c>
      <c r="B472" s="468">
        <v>8.524838002282964E-2</v>
      </c>
      <c r="C472" s="468">
        <v>0.12315134910080783</v>
      </c>
      <c r="D472" s="469">
        <v>0.13701311977532393</v>
      </c>
      <c r="G472" s="470"/>
      <c r="H472" s="471"/>
    </row>
    <row r="473" spans="1:8" x14ac:dyDescent="0.35">
      <c r="A473" s="467">
        <v>38317</v>
      </c>
      <c r="B473" s="468">
        <v>8.4048685887135877E-2</v>
      </c>
      <c r="C473" s="468">
        <v>0.12203092079087696</v>
      </c>
      <c r="D473" s="469">
        <v>0.13631128528356884</v>
      </c>
      <c r="G473" s="470"/>
      <c r="H473" s="471"/>
    </row>
    <row r="474" spans="1:8" x14ac:dyDescent="0.35">
      <c r="A474" s="467">
        <v>38320</v>
      </c>
      <c r="B474" s="468">
        <v>8.5133793490368204E-2</v>
      </c>
      <c r="C474" s="468">
        <v>0.12343046824478598</v>
      </c>
      <c r="D474" s="469">
        <v>0.1381645069288735</v>
      </c>
      <c r="G474" s="470"/>
      <c r="H474" s="471"/>
    </row>
    <row r="475" spans="1:8" x14ac:dyDescent="0.35">
      <c r="A475" s="467">
        <v>38321</v>
      </c>
      <c r="B475" s="468">
        <v>8.4905279563183722E-2</v>
      </c>
      <c r="C475" s="468">
        <v>0.12456120637867274</v>
      </c>
      <c r="D475" s="469">
        <v>0.13927235674812044</v>
      </c>
      <c r="G475" s="470"/>
      <c r="H475" s="471"/>
    </row>
    <row r="476" spans="1:8" x14ac:dyDescent="0.35">
      <c r="A476" s="467">
        <v>38322</v>
      </c>
      <c r="B476" s="468">
        <v>8.5043923374255259E-2</v>
      </c>
      <c r="C476" s="468">
        <v>0.1245405218269795</v>
      </c>
      <c r="D476" s="469">
        <v>0.13927793704950586</v>
      </c>
      <c r="G476" s="470"/>
      <c r="H476" s="471"/>
    </row>
    <row r="477" spans="1:8" x14ac:dyDescent="0.35">
      <c r="A477" s="467">
        <v>38323</v>
      </c>
      <c r="B477" s="468">
        <v>8.5498535949957599E-2</v>
      </c>
      <c r="C477" s="468">
        <v>0.12676213947494896</v>
      </c>
      <c r="D477" s="469">
        <v>0.14093776407988767</v>
      </c>
      <c r="G477" s="470"/>
      <c r="H477" s="471"/>
    </row>
    <row r="478" spans="1:8" x14ac:dyDescent="0.35">
      <c r="A478" s="467">
        <v>38324</v>
      </c>
      <c r="B478" s="468">
        <v>8.8022676528136889E-2</v>
      </c>
      <c r="C478" s="468">
        <v>0.12430542239131492</v>
      </c>
      <c r="D478" s="469">
        <v>0.14171651100443938</v>
      </c>
      <c r="G478" s="470"/>
      <c r="H478" s="471"/>
    </row>
    <row r="479" spans="1:8" x14ac:dyDescent="0.35">
      <c r="A479" s="467">
        <v>38327</v>
      </c>
      <c r="B479" s="468">
        <v>8.6139631972064423E-2</v>
      </c>
      <c r="C479" s="468">
        <v>0.12585368731509128</v>
      </c>
      <c r="D479" s="469">
        <v>0.14067422529210738</v>
      </c>
      <c r="G479" s="470"/>
      <c r="H479" s="471"/>
    </row>
    <row r="480" spans="1:8" x14ac:dyDescent="0.35">
      <c r="A480" s="467">
        <v>38328</v>
      </c>
      <c r="B480" s="468">
        <v>8.9607672650869663E-2</v>
      </c>
      <c r="C480" s="468">
        <v>0.12611539662279836</v>
      </c>
      <c r="D480" s="469">
        <v>0.15280435913511603</v>
      </c>
      <c r="G480" s="470"/>
      <c r="H480" s="471"/>
    </row>
    <row r="481" spans="1:8" x14ac:dyDescent="0.35">
      <c r="A481" s="467">
        <v>38330</v>
      </c>
      <c r="B481" s="468">
        <v>8.6574890766057511E-2</v>
      </c>
      <c r="C481" s="468">
        <v>0.12788989110229454</v>
      </c>
      <c r="D481" s="469">
        <v>0.14437182925568104</v>
      </c>
      <c r="G481" s="470"/>
      <c r="H481" s="471"/>
    </row>
    <row r="482" spans="1:8" x14ac:dyDescent="0.35">
      <c r="A482" s="467">
        <v>38331</v>
      </c>
      <c r="B482" s="468">
        <v>8.5785780061926387E-2</v>
      </c>
      <c r="C482" s="468">
        <v>0.12618013880348133</v>
      </c>
      <c r="D482" s="469">
        <v>0.14173694352929878</v>
      </c>
      <c r="G482" s="470"/>
      <c r="H482" s="471"/>
    </row>
    <row r="483" spans="1:8" x14ac:dyDescent="0.35">
      <c r="A483" s="467">
        <v>38334</v>
      </c>
      <c r="B483" s="468">
        <v>8.5939062770600261E-2</v>
      </c>
      <c r="C483" s="468">
        <v>0.12527701716786233</v>
      </c>
      <c r="D483" s="469">
        <v>0.1402348077185136</v>
      </c>
      <c r="G483" s="470"/>
      <c r="H483" s="471"/>
    </row>
    <row r="484" spans="1:8" x14ac:dyDescent="0.35">
      <c r="A484" s="467">
        <v>38335</v>
      </c>
      <c r="B484" s="468">
        <v>8.6055720486290399E-2</v>
      </c>
      <c r="C484" s="468">
        <v>0.12499393751998955</v>
      </c>
      <c r="D484" s="469">
        <v>0.14151207313633063</v>
      </c>
      <c r="G484" s="470"/>
      <c r="H484" s="471"/>
    </row>
    <row r="485" spans="1:8" x14ac:dyDescent="0.35">
      <c r="A485" s="467">
        <v>38336</v>
      </c>
      <c r="B485" s="468">
        <v>8.5312403147452809E-2</v>
      </c>
      <c r="C485" s="468">
        <v>0.12531469774505122</v>
      </c>
      <c r="D485" s="469">
        <v>0.14213920965679838</v>
      </c>
      <c r="G485" s="470"/>
      <c r="H485" s="471"/>
    </row>
    <row r="486" spans="1:8" x14ac:dyDescent="0.35">
      <c r="A486" s="467">
        <v>38337</v>
      </c>
      <c r="B486" s="468">
        <v>8.4865872506684203E-2</v>
      </c>
      <c r="C486" s="468">
        <v>0.12445466660382221</v>
      </c>
      <c r="D486" s="469">
        <v>0.1408860151242679</v>
      </c>
      <c r="G486" s="470"/>
      <c r="H486" s="471"/>
    </row>
    <row r="487" spans="1:8" x14ac:dyDescent="0.35">
      <c r="A487" s="467">
        <v>38338</v>
      </c>
      <c r="B487" s="468">
        <v>8.5390134054933675E-2</v>
      </c>
      <c r="C487" s="468">
        <v>0.12356077883673455</v>
      </c>
      <c r="D487" s="469">
        <v>0.14086103399302563</v>
      </c>
      <c r="G487" s="470"/>
      <c r="H487" s="471"/>
    </row>
    <row r="488" spans="1:8" x14ac:dyDescent="0.35">
      <c r="A488" s="467">
        <v>38341</v>
      </c>
      <c r="B488" s="468">
        <v>8.5088553946372159E-2</v>
      </c>
      <c r="C488" s="468">
        <v>0.12155345597781531</v>
      </c>
      <c r="D488" s="469">
        <v>0.13854879495279349</v>
      </c>
      <c r="G488" s="470"/>
      <c r="H488" s="471"/>
    </row>
    <row r="489" spans="1:8" x14ac:dyDescent="0.35">
      <c r="A489" s="467">
        <v>38342</v>
      </c>
      <c r="B489" s="468">
        <v>8.4550827318190303E-2</v>
      </c>
      <c r="C489" s="468">
        <v>0.12152558961110249</v>
      </c>
      <c r="D489" s="469">
        <v>0.13941442966517759</v>
      </c>
      <c r="G489" s="470"/>
      <c r="H489" s="471"/>
    </row>
    <row r="490" spans="1:8" x14ac:dyDescent="0.35">
      <c r="A490" s="467">
        <v>38343</v>
      </c>
      <c r="B490" s="468">
        <v>8.3351001483995324E-2</v>
      </c>
      <c r="C490" s="468">
        <v>0.12111780621535928</v>
      </c>
      <c r="D490" s="469">
        <v>0.13695863190460678</v>
      </c>
      <c r="G490" s="470"/>
      <c r="H490" s="471"/>
    </row>
    <row r="491" spans="1:8" x14ac:dyDescent="0.35">
      <c r="A491" s="467">
        <v>38344</v>
      </c>
      <c r="B491" s="468">
        <v>8.3264160524515685E-2</v>
      </c>
      <c r="C491" s="468">
        <v>0.12174013929123717</v>
      </c>
      <c r="D491" s="469">
        <v>0.13726386749223263</v>
      </c>
      <c r="G491" s="470"/>
      <c r="H491" s="471"/>
    </row>
    <row r="492" spans="1:8" x14ac:dyDescent="0.35">
      <c r="A492" s="467">
        <v>38345</v>
      </c>
      <c r="B492" s="468">
        <v>8.4375683405012669E-2</v>
      </c>
      <c r="C492" s="468">
        <v>8.9907389119389558E-2</v>
      </c>
      <c r="D492" s="469">
        <v>8.5133032278003506E-2</v>
      </c>
      <c r="G492" s="470"/>
      <c r="H492" s="471"/>
    </row>
    <row r="493" spans="1:8" x14ac:dyDescent="0.35">
      <c r="A493" s="467">
        <v>38348</v>
      </c>
      <c r="B493" s="468">
        <v>8.423007581393005E-2</v>
      </c>
      <c r="C493" s="468">
        <v>0.1203561995116218</v>
      </c>
      <c r="D493" s="469">
        <v>0.13780219077979883</v>
      </c>
      <c r="G493" s="470"/>
      <c r="H493" s="471"/>
    </row>
    <row r="494" spans="1:8" x14ac:dyDescent="0.35">
      <c r="A494" s="467">
        <v>38349</v>
      </c>
      <c r="B494" s="468">
        <v>8.4746279896062315E-2</v>
      </c>
      <c r="C494" s="468">
        <v>0.11963099032829771</v>
      </c>
      <c r="D494" s="469">
        <v>0.13785288147767161</v>
      </c>
      <c r="G494" s="470"/>
      <c r="H494" s="471"/>
    </row>
    <row r="495" spans="1:8" x14ac:dyDescent="0.35">
      <c r="A495" s="467">
        <v>38350</v>
      </c>
      <c r="B495" s="468">
        <v>8.4708842222191549E-2</v>
      </c>
      <c r="C495" s="468">
        <v>0.11818114312954764</v>
      </c>
      <c r="D495" s="469">
        <v>0.13697165768907515</v>
      </c>
      <c r="G495" s="470"/>
      <c r="H495" s="471"/>
    </row>
    <row r="496" spans="1:8" x14ac:dyDescent="0.35">
      <c r="A496" s="467">
        <v>38351</v>
      </c>
      <c r="B496" s="468">
        <v>8.3864721036542855E-2</v>
      </c>
      <c r="C496" s="468">
        <v>0.11884166001676855</v>
      </c>
      <c r="D496" s="469">
        <v>0.13603712871450702</v>
      </c>
      <c r="G496" s="470"/>
      <c r="H496" s="471"/>
    </row>
    <row r="497" spans="1:8" x14ac:dyDescent="0.35">
      <c r="A497" s="467">
        <v>38355</v>
      </c>
      <c r="B497" s="468">
        <v>8.3209957523073141E-2</v>
      </c>
      <c r="C497" s="468">
        <v>0.11596324255797463</v>
      </c>
      <c r="D497" s="469">
        <v>0.13426731665587699</v>
      </c>
      <c r="G497" s="470"/>
      <c r="H497" s="471"/>
    </row>
    <row r="498" spans="1:8" x14ac:dyDescent="0.35">
      <c r="A498" s="467">
        <v>38356</v>
      </c>
      <c r="B498" s="468">
        <v>8.2200670052494207E-2</v>
      </c>
      <c r="C498" s="468">
        <v>0.11372402016741678</v>
      </c>
      <c r="D498" s="469">
        <v>0.13369297128269308</v>
      </c>
      <c r="G498" s="470"/>
      <c r="H498" s="471"/>
    </row>
    <row r="499" spans="1:8" x14ac:dyDescent="0.35">
      <c r="A499" s="467">
        <v>38357</v>
      </c>
      <c r="B499" s="468">
        <v>8.2347316095473966E-2</v>
      </c>
      <c r="C499" s="468">
        <v>0.11472488306217055</v>
      </c>
      <c r="D499" s="469">
        <v>0.13446416538460793</v>
      </c>
      <c r="G499" s="470"/>
      <c r="H499" s="471"/>
    </row>
    <row r="500" spans="1:8" x14ac:dyDescent="0.35">
      <c r="A500" s="467">
        <v>38358</v>
      </c>
      <c r="B500" s="468">
        <v>8.229645461501689E-2</v>
      </c>
      <c r="C500" s="468">
        <v>0.11546791832323233</v>
      </c>
      <c r="D500" s="469">
        <v>0.13807008177895352</v>
      </c>
      <c r="G500" s="470"/>
      <c r="H500" s="471"/>
    </row>
    <row r="501" spans="1:8" x14ac:dyDescent="0.35">
      <c r="A501" s="467">
        <v>38359</v>
      </c>
      <c r="B501" s="468">
        <v>8.1513035598622219E-2</v>
      </c>
      <c r="C501" s="468">
        <v>0.11545352651059471</v>
      </c>
      <c r="D501" s="469">
        <v>0.13694991325397443</v>
      </c>
      <c r="G501" s="470"/>
      <c r="H501" s="471"/>
    </row>
    <row r="502" spans="1:8" x14ac:dyDescent="0.35">
      <c r="A502" s="467">
        <v>38363</v>
      </c>
      <c r="B502" s="468">
        <v>8.1230531072367995E-2</v>
      </c>
      <c r="C502" s="468">
        <v>0.11761687791130893</v>
      </c>
      <c r="D502" s="469">
        <v>0.1354921512904177</v>
      </c>
      <c r="G502" s="470"/>
      <c r="H502" s="471"/>
    </row>
    <row r="503" spans="1:8" x14ac:dyDescent="0.35">
      <c r="A503" s="467">
        <v>38364</v>
      </c>
      <c r="B503" s="468">
        <v>8.0964661803880622E-2</v>
      </c>
      <c r="C503" s="468">
        <v>0.11550982970675761</v>
      </c>
      <c r="D503" s="469">
        <v>0.13363247537180922</v>
      </c>
      <c r="G503" s="470"/>
      <c r="H503" s="471"/>
    </row>
    <row r="504" spans="1:8" x14ac:dyDescent="0.35">
      <c r="A504" s="467">
        <v>38365</v>
      </c>
      <c r="B504" s="468">
        <v>8.0505925532780687E-2</v>
      </c>
      <c r="C504" s="468">
        <v>0.11497065106732562</v>
      </c>
      <c r="D504" s="469">
        <v>0.13237344593641942</v>
      </c>
      <c r="G504" s="470"/>
      <c r="H504" s="471"/>
    </row>
    <row r="505" spans="1:8" x14ac:dyDescent="0.35">
      <c r="A505" s="467">
        <v>38366</v>
      </c>
      <c r="B505" s="468">
        <v>8.0334146458298505E-2</v>
      </c>
      <c r="C505" s="468">
        <v>0.11587276775826716</v>
      </c>
      <c r="D505" s="469">
        <v>0.13408068026394071</v>
      </c>
      <c r="G505" s="470"/>
      <c r="H505" s="471"/>
    </row>
    <row r="506" spans="1:8" x14ac:dyDescent="0.35">
      <c r="A506" s="467">
        <v>38369</v>
      </c>
      <c r="B506" s="468">
        <v>8.0446187295485361E-2</v>
      </c>
      <c r="C506" s="468">
        <v>0.11828199582553323</v>
      </c>
      <c r="D506" s="469">
        <v>0.13765973701034295</v>
      </c>
      <c r="G506" s="470"/>
      <c r="H506" s="471"/>
    </row>
    <row r="507" spans="1:8" x14ac:dyDescent="0.35">
      <c r="A507" s="467">
        <v>38370</v>
      </c>
      <c r="B507" s="468">
        <v>8.0149522207297652E-2</v>
      </c>
      <c r="C507" s="468">
        <v>0.11702949447919497</v>
      </c>
      <c r="D507" s="469">
        <v>0.13539012624589031</v>
      </c>
      <c r="G507" s="470"/>
      <c r="H507" s="471"/>
    </row>
    <row r="508" spans="1:8" x14ac:dyDescent="0.35">
      <c r="A508" s="467">
        <v>38371</v>
      </c>
      <c r="B508" s="468">
        <v>8.0084931036590534E-2</v>
      </c>
      <c r="C508" s="468">
        <v>0.11646483865952417</v>
      </c>
      <c r="D508" s="469">
        <v>0.13532028549561659</v>
      </c>
      <c r="G508" s="470"/>
      <c r="H508" s="471"/>
    </row>
    <row r="509" spans="1:8" x14ac:dyDescent="0.35">
      <c r="A509" s="467">
        <v>38372</v>
      </c>
      <c r="B509" s="468">
        <v>8.0073371293089446E-2</v>
      </c>
      <c r="C509" s="468">
        <v>0.11853398781889646</v>
      </c>
      <c r="D509" s="469">
        <v>0.13919309392767687</v>
      </c>
      <c r="G509" s="470"/>
      <c r="H509" s="471"/>
    </row>
    <row r="510" spans="1:8" x14ac:dyDescent="0.35">
      <c r="A510" s="467">
        <v>38373</v>
      </c>
      <c r="B510" s="468">
        <v>7.8956791262290382E-2</v>
      </c>
      <c r="C510" s="468">
        <v>0.11694934779856347</v>
      </c>
      <c r="D510" s="469">
        <v>0.13583317371692427</v>
      </c>
      <c r="G510" s="470"/>
      <c r="H510" s="471"/>
    </row>
    <row r="511" spans="1:8" x14ac:dyDescent="0.35">
      <c r="A511" s="467">
        <v>38376</v>
      </c>
      <c r="B511" s="468">
        <v>7.7389428805415772E-2</v>
      </c>
      <c r="C511" s="468">
        <v>0.11897945680273403</v>
      </c>
      <c r="D511" s="469">
        <v>0.14114264416006628</v>
      </c>
      <c r="G511" s="470"/>
      <c r="H511" s="471"/>
    </row>
    <row r="512" spans="1:8" x14ac:dyDescent="0.35">
      <c r="A512" s="467">
        <v>38377</v>
      </c>
      <c r="B512" s="468">
        <v>7.6151645457181338E-2</v>
      </c>
      <c r="C512" s="468">
        <v>0.11651564470943088</v>
      </c>
      <c r="D512" s="469">
        <v>0.13450821055849227</v>
      </c>
      <c r="G512" s="470"/>
      <c r="H512" s="471"/>
    </row>
    <row r="513" spans="1:8" x14ac:dyDescent="0.35">
      <c r="A513" s="467">
        <v>38378</v>
      </c>
      <c r="B513" s="468">
        <v>7.5849388030078346E-2</v>
      </c>
      <c r="C513" s="468">
        <v>0.11644562077461673</v>
      </c>
      <c r="D513" s="469">
        <v>0.13425202633781841</v>
      </c>
      <c r="G513" s="470"/>
      <c r="H513" s="471"/>
    </row>
    <row r="514" spans="1:8" x14ac:dyDescent="0.35">
      <c r="A514" s="467">
        <v>38379</v>
      </c>
      <c r="B514" s="468">
        <v>7.6686290704151228E-2</v>
      </c>
      <c r="C514" s="468">
        <v>0.11654922111451071</v>
      </c>
      <c r="D514" s="469">
        <v>0.13583230780074107</v>
      </c>
      <c r="G514" s="470"/>
      <c r="H514" s="471"/>
    </row>
    <row r="515" spans="1:8" x14ac:dyDescent="0.35">
      <c r="A515" s="467">
        <v>38380</v>
      </c>
      <c r="B515" s="468">
        <v>7.6055412756391494E-2</v>
      </c>
      <c r="C515" s="468">
        <v>0.11608890487246559</v>
      </c>
      <c r="D515" s="469">
        <v>0.13551824864221862</v>
      </c>
      <c r="G515" s="470"/>
      <c r="H515" s="471"/>
    </row>
    <row r="516" spans="1:8" x14ac:dyDescent="0.35">
      <c r="A516" s="467">
        <v>38383</v>
      </c>
      <c r="B516" s="468">
        <v>7.7007905524319797E-2</v>
      </c>
      <c r="C516" s="468">
        <v>0.1155949758628052</v>
      </c>
      <c r="D516" s="469">
        <v>0.13502857293591308</v>
      </c>
      <c r="G516" s="470"/>
      <c r="H516" s="471"/>
    </row>
    <row r="517" spans="1:8" x14ac:dyDescent="0.35">
      <c r="A517" s="467">
        <v>38384</v>
      </c>
      <c r="B517" s="468">
        <v>7.5415285366004836E-2</v>
      </c>
      <c r="C517" s="468">
        <v>0.11685065306728348</v>
      </c>
      <c r="D517" s="469">
        <v>0.13339915621988707</v>
      </c>
      <c r="G517" s="470"/>
      <c r="H517" s="471"/>
    </row>
    <row r="518" spans="1:8" x14ac:dyDescent="0.35">
      <c r="A518" s="467">
        <v>38385</v>
      </c>
      <c r="B518" s="468">
        <v>8.0193604449531053E-2</v>
      </c>
      <c r="C518" s="468">
        <v>0.11424252638247134</v>
      </c>
      <c r="D518" s="469">
        <v>0.13806917194130941</v>
      </c>
      <c r="G518" s="470"/>
      <c r="H518" s="471"/>
    </row>
    <row r="519" spans="1:8" x14ac:dyDescent="0.35">
      <c r="A519" s="467">
        <v>38386</v>
      </c>
      <c r="B519" s="468">
        <v>7.7082186807142739E-2</v>
      </c>
      <c r="C519" s="468">
        <v>0.11684592397011584</v>
      </c>
      <c r="D519" s="469">
        <v>0.13399819955871495</v>
      </c>
      <c r="G519" s="470"/>
      <c r="H519" s="471"/>
    </row>
    <row r="520" spans="1:8" x14ac:dyDescent="0.35">
      <c r="A520" s="467">
        <v>38387</v>
      </c>
      <c r="B520" s="468">
        <v>7.7344252484108811E-2</v>
      </c>
      <c r="C520" s="468">
        <v>0.11635456784600984</v>
      </c>
      <c r="D520" s="469">
        <v>0.13366147902776615</v>
      </c>
      <c r="G520" s="470"/>
      <c r="H520" s="471"/>
    </row>
    <row r="521" spans="1:8" x14ac:dyDescent="0.35">
      <c r="A521" s="467">
        <v>38390</v>
      </c>
      <c r="B521" s="468">
        <v>7.6899649801168701E-2</v>
      </c>
      <c r="C521" s="468">
        <v>0.1165520157715616</v>
      </c>
      <c r="D521" s="469">
        <v>0.13349776138989999</v>
      </c>
      <c r="G521" s="470"/>
      <c r="H521" s="471"/>
    </row>
    <row r="522" spans="1:8" x14ac:dyDescent="0.35">
      <c r="A522" s="467">
        <v>38391</v>
      </c>
      <c r="B522" s="468">
        <v>7.6809621305790943E-2</v>
      </c>
      <c r="C522" s="468">
        <v>0.11649574526421236</v>
      </c>
      <c r="D522" s="469">
        <v>0.13356678801040966</v>
      </c>
      <c r="G522" s="470"/>
      <c r="H522" s="471"/>
    </row>
    <row r="523" spans="1:8" x14ac:dyDescent="0.35">
      <c r="A523" s="467">
        <v>38392</v>
      </c>
      <c r="B523" s="468">
        <v>7.6830428380269877E-2</v>
      </c>
      <c r="C523" s="468">
        <v>0.11574690629535977</v>
      </c>
      <c r="D523" s="469">
        <v>0.13400449999010311</v>
      </c>
      <c r="G523" s="470"/>
      <c r="H523" s="471"/>
    </row>
    <row r="524" spans="1:8" x14ac:dyDescent="0.35">
      <c r="A524" s="467">
        <v>38393</v>
      </c>
      <c r="B524" s="468">
        <v>7.665043664184501E-2</v>
      </c>
      <c r="C524" s="468">
        <v>0.11475927427215571</v>
      </c>
      <c r="D524" s="469">
        <v>0.13294884770638227</v>
      </c>
      <c r="G524" s="470"/>
      <c r="H524" s="471"/>
    </row>
    <row r="525" spans="1:8" x14ac:dyDescent="0.35">
      <c r="A525" s="467">
        <v>38394</v>
      </c>
      <c r="B525" s="468">
        <v>7.7372984787762222E-2</v>
      </c>
      <c r="C525" s="468">
        <v>0.11467483857599192</v>
      </c>
      <c r="D525" s="469">
        <v>0.13332499165282163</v>
      </c>
      <c r="G525" s="470"/>
      <c r="H525" s="471"/>
    </row>
    <row r="526" spans="1:8" x14ac:dyDescent="0.35">
      <c r="A526" s="467">
        <v>38397</v>
      </c>
      <c r="B526" s="468">
        <v>7.6929520246101335E-2</v>
      </c>
      <c r="C526" s="468">
        <v>0.11408811726353485</v>
      </c>
      <c r="D526" s="469">
        <v>0.1323420221921392</v>
      </c>
      <c r="G526" s="470"/>
      <c r="H526" s="471"/>
    </row>
    <row r="527" spans="1:8" x14ac:dyDescent="0.35">
      <c r="A527" s="467">
        <v>38398</v>
      </c>
      <c r="B527" s="468">
        <v>7.81668752473208E-2</v>
      </c>
      <c r="C527" s="468">
        <v>0.1136665777462893</v>
      </c>
      <c r="D527" s="469">
        <v>0.13245163751114797</v>
      </c>
      <c r="G527" s="470"/>
      <c r="H527" s="471"/>
    </row>
    <row r="528" spans="1:8" x14ac:dyDescent="0.35">
      <c r="A528" s="467">
        <v>38399</v>
      </c>
      <c r="B528" s="468">
        <v>7.8201181668763775E-2</v>
      </c>
      <c r="C528" s="468">
        <v>0.1136166391359692</v>
      </c>
      <c r="D528" s="469">
        <v>0.13265600886464246</v>
      </c>
      <c r="G528" s="470"/>
      <c r="H528" s="471"/>
    </row>
    <row r="529" spans="1:8" x14ac:dyDescent="0.35">
      <c r="A529" s="467">
        <v>38400</v>
      </c>
      <c r="B529" s="468">
        <v>7.7581567105461602E-2</v>
      </c>
      <c r="C529" s="468">
        <v>0.11307424555743162</v>
      </c>
      <c r="D529" s="469">
        <v>0.13204816043503387</v>
      </c>
      <c r="G529" s="470"/>
      <c r="H529" s="471"/>
    </row>
    <row r="530" spans="1:8" x14ac:dyDescent="0.35">
      <c r="A530" s="467">
        <v>38401</v>
      </c>
      <c r="B530" s="468">
        <v>7.7409504077669222E-2</v>
      </c>
      <c r="C530" s="468">
        <v>0.11304628608784939</v>
      </c>
      <c r="D530" s="469">
        <v>0.13190566555621541</v>
      </c>
      <c r="G530" s="470"/>
      <c r="H530" s="471"/>
    </row>
    <row r="531" spans="1:8" x14ac:dyDescent="0.35">
      <c r="A531" s="467">
        <v>38404</v>
      </c>
      <c r="B531" s="468">
        <v>7.6151361856162669E-2</v>
      </c>
      <c r="C531" s="468">
        <v>0.11376966402836453</v>
      </c>
      <c r="D531" s="469">
        <v>0.13138100112341267</v>
      </c>
      <c r="G531" s="470"/>
      <c r="H531" s="471"/>
    </row>
    <row r="532" spans="1:8" x14ac:dyDescent="0.35">
      <c r="A532" s="467">
        <v>38405</v>
      </c>
      <c r="B532" s="468">
        <v>7.6095386981208879E-2</v>
      </c>
      <c r="C532" s="468">
        <v>0.11365007162107243</v>
      </c>
      <c r="D532" s="469">
        <v>0.13066889833047357</v>
      </c>
      <c r="G532" s="470"/>
      <c r="H532" s="471"/>
    </row>
    <row r="533" spans="1:8" x14ac:dyDescent="0.35">
      <c r="A533" s="467">
        <v>38406</v>
      </c>
      <c r="B533" s="468">
        <v>7.6953888049733798E-2</v>
      </c>
      <c r="C533" s="468">
        <v>0.11385945199804492</v>
      </c>
      <c r="D533" s="469">
        <v>0.13184152528077542</v>
      </c>
      <c r="G533" s="470"/>
      <c r="H533" s="471"/>
    </row>
    <row r="534" spans="1:8" x14ac:dyDescent="0.35">
      <c r="A534" s="467">
        <v>38407</v>
      </c>
      <c r="B534" s="468">
        <v>7.7030556531484606E-2</v>
      </c>
      <c r="C534" s="468">
        <v>0.11410751689303034</v>
      </c>
      <c r="D534" s="469">
        <v>0.13159688502690603</v>
      </c>
      <c r="G534" s="470"/>
      <c r="H534" s="471"/>
    </row>
    <row r="535" spans="1:8" x14ac:dyDescent="0.35">
      <c r="A535" s="467">
        <v>38408</v>
      </c>
      <c r="B535" s="468">
        <v>7.687493481868235E-2</v>
      </c>
      <c r="C535" s="468">
        <v>0.11498331199957379</v>
      </c>
      <c r="D535" s="469">
        <v>0.13255613296551827</v>
      </c>
      <c r="G535" s="470"/>
      <c r="H535" s="471"/>
    </row>
    <row r="536" spans="1:8" x14ac:dyDescent="0.35">
      <c r="A536" s="467">
        <v>38411</v>
      </c>
      <c r="B536" s="468">
        <v>7.782707652079246E-2</v>
      </c>
      <c r="C536" s="468">
        <v>0.1136919582638094</v>
      </c>
      <c r="D536" s="469">
        <v>0.13219588709785102</v>
      </c>
      <c r="G536" s="470"/>
      <c r="H536" s="471"/>
    </row>
    <row r="537" spans="1:8" x14ac:dyDescent="0.35">
      <c r="A537" s="467">
        <v>38412</v>
      </c>
      <c r="B537" s="468">
        <v>7.8174330322907437E-2</v>
      </c>
      <c r="C537" s="468">
        <v>0.11382809172867825</v>
      </c>
      <c r="D537" s="469">
        <v>0.1312142101047451</v>
      </c>
      <c r="G537" s="470"/>
      <c r="H537" s="471"/>
    </row>
    <row r="538" spans="1:8" x14ac:dyDescent="0.35">
      <c r="A538" s="467">
        <v>38413</v>
      </c>
      <c r="B538" s="468">
        <v>7.8189387527861642E-2</v>
      </c>
      <c r="C538" s="468">
        <v>0.11492447377542803</v>
      </c>
      <c r="D538" s="469">
        <v>0.13299678245989144</v>
      </c>
      <c r="G538" s="470"/>
      <c r="H538" s="471"/>
    </row>
    <row r="539" spans="1:8" x14ac:dyDescent="0.35">
      <c r="A539" s="467">
        <v>38414</v>
      </c>
      <c r="B539" s="468">
        <v>7.813528437581474E-2</v>
      </c>
      <c r="C539" s="468">
        <v>0.11499554916298793</v>
      </c>
      <c r="D539" s="469">
        <v>0.13247105983653706</v>
      </c>
      <c r="G539" s="470"/>
      <c r="H539" s="471"/>
    </row>
    <row r="540" spans="1:8" x14ac:dyDescent="0.35">
      <c r="A540" s="467">
        <v>38415</v>
      </c>
      <c r="B540" s="468">
        <v>7.7593661546823567E-2</v>
      </c>
      <c r="C540" s="468">
        <v>0.11490010314325572</v>
      </c>
      <c r="D540" s="469">
        <v>0.13180070499237662</v>
      </c>
      <c r="G540" s="470"/>
      <c r="H540" s="471"/>
    </row>
    <row r="541" spans="1:8" x14ac:dyDescent="0.35">
      <c r="A541" s="467">
        <v>38418</v>
      </c>
      <c r="B541" s="468">
        <v>7.779881136009581E-2</v>
      </c>
      <c r="C541" s="468">
        <v>0.11432937206991833</v>
      </c>
      <c r="D541" s="469">
        <v>0.13064549241118351</v>
      </c>
      <c r="G541" s="470"/>
      <c r="H541" s="471"/>
    </row>
    <row r="542" spans="1:8" x14ac:dyDescent="0.35">
      <c r="A542" s="467">
        <v>38419</v>
      </c>
      <c r="B542" s="468">
        <v>7.8235544054027661E-2</v>
      </c>
      <c r="C542" s="468">
        <v>0.11512298733250925</v>
      </c>
      <c r="D542" s="469">
        <v>0.13004891898741722</v>
      </c>
      <c r="G542" s="470"/>
      <c r="H542" s="471"/>
    </row>
    <row r="543" spans="1:8" x14ac:dyDescent="0.35">
      <c r="A543" s="467">
        <v>38420</v>
      </c>
      <c r="B543" s="468">
        <v>7.7699456962125879E-2</v>
      </c>
      <c r="C543" s="468">
        <v>0.11494414761263649</v>
      </c>
      <c r="D543" s="469">
        <v>0.13101173647773146</v>
      </c>
      <c r="G543" s="470"/>
      <c r="H543" s="471"/>
    </row>
    <row r="544" spans="1:8" x14ac:dyDescent="0.35">
      <c r="A544" s="467">
        <v>38421</v>
      </c>
      <c r="B544" s="468">
        <v>7.7146994762157028E-2</v>
      </c>
      <c r="C544" s="468">
        <v>0.11570034591674561</v>
      </c>
      <c r="D544" s="469">
        <v>0.13201676398120488</v>
      </c>
      <c r="G544" s="470"/>
      <c r="H544" s="471"/>
    </row>
    <row r="545" spans="1:8" x14ac:dyDescent="0.35">
      <c r="A545" s="467">
        <v>38422</v>
      </c>
      <c r="B545" s="468">
        <v>7.8382233056690787E-2</v>
      </c>
      <c r="C545" s="468">
        <v>0.11525127904704546</v>
      </c>
      <c r="D545" s="469">
        <v>0.13025927932129133</v>
      </c>
      <c r="G545" s="470"/>
      <c r="H545" s="471"/>
    </row>
    <row r="546" spans="1:8" x14ac:dyDescent="0.35">
      <c r="A546" s="467">
        <v>38425</v>
      </c>
      <c r="B546" s="468">
        <v>7.8036438446760004E-2</v>
      </c>
      <c r="C546" s="468">
        <v>0.11719307542648338</v>
      </c>
      <c r="D546" s="469">
        <v>0.13437241154102741</v>
      </c>
      <c r="G546" s="470"/>
      <c r="H546" s="471"/>
    </row>
    <row r="547" spans="1:8" x14ac:dyDescent="0.35">
      <c r="A547" s="467">
        <v>38426</v>
      </c>
      <c r="B547" s="468">
        <v>7.877962371970737E-2</v>
      </c>
      <c r="C547" s="468">
        <v>0.11799630129864802</v>
      </c>
      <c r="D547" s="469">
        <v>0.13583117193127525</v>
      </c>
      <c r="G547" s="470"/>
      <c r="H547" s="471"/>
    </row>
    <row r="548" spans="1:8" x14ac:dyDescent="0.35">
      <c r="A548" s="467">
        <v>38427</v>
      </c>
      <c r="B548" s="468">
        <v>7.9336012254044519E-2</v>
      </c>
      <c r="C548" s="468">
        <v>0.11996690782583808</v>
      </c>
      <c r="D548" s="469">
        <v>0.13626612750185818</v>
      </c>
      <c r="G548" s="470"/>
      <c r="H548" s="471"/>
    </row>
    <row r="549" spans="1:8" x14ac:dyDescent="0.35">
      <c r="A549" s="467">
        <v>38428</v>
      </c>
      <c r="B549" s="468">
        <v>7.8726427721751202E-2</v>
      </c>
      <c r="C549" s="468">
        <v>0.11909839388010979</v>
      </c>
      <c r="D549" s="469">
        <v>0.13526807511360062</v>
      </c>
      <c r="G549" s="470"/>
      <c r="H549" s="471"/>
    </row>
    <row r="550" spans="1:8" x14ac:dyDescent="0.35">
      <c r="A550" s="467">
        <v>38429</v>
      </c>
      <c r="B550" s="468">
        <v>7.7959989166223487E-2</v>
      </c>
      <c r="C550" s="468">
        <v>0.11967912048434326</v>
      </c>
      <c r="D550" s="469">
        <v>0.13531723986475064</v>
      </c>
      <c r="G550" s="470"/>
      <c r="H550" s="471"/>
    </row>
    <row r="551" spans="1:8" x14ac:dyDescent="0.35">
      <c r="A551" s="467">
        <v>38433</v>
      </c>
      <c r="B551" s="468">
        <v>7.7621348598654105E-2</v>
      </c>
      <c r="C551" s="468">
        <v>0.11902821639052164</v>
      </c>
      <c r="D551" s="469">
        <v>0.13490490733695082</v>
      </c>
      <c r="G551" s="470"/>
      <c r="H551" s="471"/>
    </row>
    <row r="552" spans="1:8" x14ac:dyDescent="0.35">
      <c r="A552" s="467">
        <v>38434</v>
      </c>
      <c r="B552" s="468">
        <v>7.7023390690837079E-2</v>
      </c>
      <c r="C552" s="468">
        <v>0.12207476225387492</v>
      </c>
      <c r="D552" s="469">
        <v>0.13719372445489375</v>
      </c>
      <c r="G552" s="470"/>
      <c r="H552" s="471"/>
    </row>
    <row r="553" spans="1:8" x14ac:dyDescent="0.35">
      <c r="A553" s="467">
        <v>38439</v>
      </c>
      <c r="B553" s="468">
        <v>7.9635262916496918E-2</v>
      </c>
      <c r="C553" s="468">
        <v>0.12509566971006647</v>
      </c>
      <c r="D553" s="469">
        <v>0.1411010573121052</v>
      </c>
      <c r="G553" s="470"/>
      <c r="H553" s="471"/>
    </row>
    <row r="554" spans="1:8" x14ac:dyDescent="0.35">
      <c r="A554" s="467">
        <v>38440</v>
      </c>
      <c r="B554" s="468">
        <v>7.7975610300551779E-2</v>
      </c>
      <c r="C554" s="468">
        <v>0.12501154380170898</v>
      </c>
      <c r="D554" s="469">
        <v>0.13829632697476812</v>
      </c>
      <c r="G554" s="470"/>
      <c r="H554" s="471"/>
    </row>
    <row r="555" spans="1:8" x14ac:dyDescent="0.35">
      <c r="A555" s="467">
        <v>38441</v>
      </c>
      <c r="B555" s="468">
        <v>7.8024102614422608E-2</v>
      </c>
      <c r="C555" s="468">
        <v>0.12295888336119187</v>
      </c>
      <c r="D555" s="469">
        <v>0.13754086973651303</v>
      </c>
      <c r="G555" s="470"/>
      <c r="H555" s="471"/>
    </row>
    <row r="556" spans="1:8" x14ac:dyDescent="0.35">
      <c r="A556" s="467">
        <v>38442</v>
      </c>
      <c r="B556" s="468">
        <v>7.7795543735747597E-2</v>
      </c>
      <c r="C556" s="468">
        <v>0.12183638162882238</v>
      </c>
      <c r="D556" s="469">
        <v>0.13592340883884213</v>
      </c>
      <c r="G556" s="470"/>
      <c r="H556" s="471"/>
    </row>
    <row r="557" spans="1:8" x14ac:dyDescent="0.35">
      <c r="A557" s="467">
        <v>38443</v>
      </c>
      <c r="B557" s="468">
        <v>7.7903221184812077E-2</v>
      </c>
      <c r="C557" s="468">
        <v>0.12115644478008036</v>
      </c>
      <c r="D557" s="469">
        <v>0.13724704085403472</v>
      </c>
      <c r="G557" s="470"/>
      <c r="H557" s="471"/>
    </row>
    <row r="558" spans="1:8" x14ac:dyDescent="0.35">
      <c r="A558" s="467">
        <v>38446</v>
      </c>
      <c r="B558" s="468">
        <v>7.8195023500644112E-2</v>
      </c>
      <c r="C558" s="468">
        <v>0.12099573431971788</v>
      </c>
      <c r="D558" s="469">
        <v>0.13738788202861985</v>
      </c>
      <c r="G558" s="470"/>
      <c r="H558" s="471"/>
    </row>
    <row r="559" spans="1:8" x14ac:dyDescent="0.35">
      <c r="A559" s="467">
        <v>38447</v>
      </c>
      <c r="B559" s="468">
        <v>7.8757764312088252E-2</v>
      </c>
      <c r="C559" s="468">
        <v>0.12070112494494101</v>
      </c>
      <c r="D559" s="469">
        <v>0.13763915820453487</v>
      </c>
      <c r="G559" s="470"/>
      <c r="H559" s="471"/>
    </row>
    <row r="560" spans="1:8" x14ac:dyDescent="0.35">
      <c r="A560" s="467">
        <v>38448</v>
      </c>
      <c r="B560" s="468">
        <v>7.7772074735258823E-2</v>
      </c>
      <c r="C560" s="468">
        <v>0.12074431703263233</v>
      </c>
      <c r="D560" s="469">
        <v>0.13524173906556136</v>
      </c>
      <c r="G560" s="470"/>
      <c r="H560" s="471"/>
    </row>
    <row r="561" spans="1:8" x14ac:dyDescent="0.35">
      <c r="A561" s="467">
        <v>38449</v>
      </c>
      <c r="B561" s="468">
        <v>7.778436533012334E-2</v>
      </c>
      <c r="C561" s="468">
        <v>0.12004491922034011</v>
      </c>
      <c r="D561" s="469">
        <v>0.13607367913481161</v>
      </c>
      <c r="G561" s="470"/>
      <c r="H561" s="471"/>
    </row>
    <row r="562" spans="1:8" x14ac:dyDescent="0.35">
      <c r="A562" s="467">
        <v>38450</v>
      </c>
      <c r="B562" s="468">
        <v>7.772848179758407E-2</v>
      </c>
      <c r="C562" s="468">
        <v>0.12055266935190878</v>
      </c>
      <c r="D562" s="469">
        <v>0.13894236412779959</v>
      </c>
      <c r="G562" s="470"/>
      <c r="H562" s="471"/>
    </row>
    <row r="563" spans="1:8" x14ac:dyDescent="0.35">
      <c r="A563" s="467">
        <v>38453</v>
      </c>
      <c r="B563" s="468">
        <v>7.7099401499227227E-2</v>
      </c>
      <c r="C563" s="468">
        <v>0.11985719698312636</v>
      </c>
      <c r="D563" s="469">
        <v>0.13808957747701611</v>
      </c>
      <c r="G563" s="470"/>
      <c r="H563" s="471"/>
    </row>
    <row r="564" spans="1:8" x14ac:dyDescent="0.35">
      <c r="A564" s="467">
        <v>38454</v>
      </c>
      <c r="B564" s="468">
        <v>7.7017178827464949E-2</v>
      </c>
      <c r="C564" s="468">
        <v>0.12014154650496045</v>
      </c>
      <c r="D564" s="469">
        <v>0.13853465848584667</v>
      </c>
      <c r="G564" s="470"/>
      <c r="H564" s="471"/>
    </row>
    <row r="565" spans="1:8" x14ac:dyDescent="0.35">
      <c r="A565" s="467">
        <v>38455</v>
      </c>
      <c r="B565" s="468">
        <v>7.6487826887233101E-2</v>
      </c>
      <c r="C565" s="468">
        <v>0.11903973563076597</v>
      </c>
      <c r="D565" s="469">
        <v>0.13617554347937122</v>
      </c>
      <c r="G565" s="470"/>
      <c r="H565" s="471"/>
    </row>
    <row r="566" spans="1:8" x14ac:dyDescent="0.35">
      <c r="A566" s="467">
        <v>38456</v>
      </c>
      <c r="B566" s="468">
        <v>7.6481100563838389E-2</v>
      </c>
      <c r="C566" s="468">
        <v>0.11898111894976804</v>
      </c>
      <c r="D566" s="469">
        <v>0.13801161176952226</v>
      </c>
      <c r="G566" s="470"/>
      <c r="H566" s="471"/>
    </row>
    <row r="567" spans="1:8" x14ac:dyDescent="0.35">
      <c r="A567" s="467">
        <v>38457</v>
      </c>
      <c r="B567" s="468">
        <v>7.5186170529398355E-2</v>
      </c>
      <c r="C567" s="468">
        <v>0.11940150531647475</v>
      </c>
      <c r="D567" s="469">
        <v>0.13781791173396418</v>
      </c>
      <c r="G567" s="470"/>
      <c r="H567" s="471"/>
    </row>
    <row r="568" spans="1:8" x14ac:dyDescent="0.35">
      <c r="A568" s="467">
        <v>38460</v>
      </c>
      <c r="B568" s="468">
        <v>7.5247348829616145E-2</v>
      </c>
      <c r="C568" s="468">
        <v>0.11975474893583016</v>
      </c>
      <c r="D568" s="469">
        <v>0.1385474545920744</v>
      </c>
      <c r="G568" s="470"/>
      <c r="H568" s="471"/>
    </row>
    <row r="569" spans="1:8" x14ac:dyDescent="0.35">
      <c r="A569" s="467">
        <v>38461</v>
      </c>
      <c r="B569" s="468">
        <v>7.5398180982242824E-2</v>
      </c>
      <c r="C569" s="468">
        <v>0.11879084334277756</v>
      </c>
      <c r="D569" s="469">
        <v>0.13828782128058492</v>
      </c>
      <c r="G569" s="470"/>
      <c r="H569" s="471"/>
    </row>
    <row r="570" spans="1:8" x14ac:dyDescent="0.35">
      <c r="A570" s="467">
        <v>38462</v>
      </c>
      <c r="B570" s="468">
        <v>7.5011204310217128E-2</v>
      </c>
      <c r="C570" s="468">
        <v>0.11825929122327583</v>
      </c>
      <c r="D570" s="469">
        <v>0.13861949011625785</v>
      </c>
      <c r="G570" s="470"/>
      <c r="H570" s="471"/>
    </row>
    <row r="571" spans="1:8" x14ac:dyDescent="0.35">
      <c r="A571" s="467">
        <v>38463</v>
      </c>
      <c r="B571" s="468">
        <v>7.6043729639587498E-2</v>
      </c>
      <c r="C571" s="468">
        <v>0.1174832212014314</v>
      </c>
      <c r="D571" s="469">
        <v>0.1380637647480929</v>
      </c>
      <c r="G571" s="470"/>
      <c r="H571" s="471"/>
    </row>
    <row r="572" spans="1:8" x14ac:dyDescent="0.35">
      <c r="A572" s="467">
        <v>38464</v>
      </c>
      <c r="B572" s="468">
        <v>7.4451779012908448E-2</v>
      </c>
      <c r="C572" s="468">
        <v>0.1181703183450602</v>
      </c>
      <c r="D572" s="469">
        <v>0.13837406156893595</v>
      </c>
      <c r="G572" s="470"/>
      <c r="H572" s="471"/>
    </row>
    <row r="573" spans="1:8" x14ac:dyDescent="0.35">
      <c r="A573" s="467">
        <v>38467</v>
      </c>
      <c r="B573" s="468">
        <v>7.3931578360419969E-2</v>
      </c>
      <c r="C573" s="468">
        <v>0.11788507114948321</v>
      </c>
      <c r="D573" s="469">
        <v>0.13975679509512373</v>
      </c>
      <c r="G573" s="470"/>
      <c r="H573" s="471"/>
    </row>
    <row r="574" spans="1:8" x14ac:dyDescent="0.35">
      <c r="A574" s="467">
        <v>38468</v>
      </c>
      <c r="B574" s="468">
        <v>7.3729028461458457E-2</v>
      </c>
      <c r="C574" s="468">
        <v>0.11670588054699715</v>
      </c>
      <c r="D574" s="469">
        <v>0.13623969688713489</v>
      </c>
      <c r="G574" s="470"/>
      <c r="H574" s="471"/>
    </row>
    <row r="575" spans="1:8" x14ac:dyDescent="0.35">
      <c r="A575" s="467">
        <v>38469</v>
      </c>
      <c r="B575" s="468">
        <v>7.3004664816168852E-2</v>
      </c>
      <c r="C575" s="468">
        <v>0.11533461340003726</v>
      </c>
      <c r="D575" s="469">
        <v>0.13679786253501036</v>
      </c>
      <c r="G575" s="470"/>
      <c r="H575" s="471"/>
    </row>
    <row r="576" spans="1:8" x14ac:dyDescent="0.35">
      <c r="A576" s="467">
        <v>38470</v>
      </c>
      <c r="B576" s="468">
        <v>7.3141706853259603E-2</v>
      </c>
      <c r="C576" s="468">
        <v>0.11488584568976012</v>
      </c>
      <c r="D576" s="469">
        <v>0.13651467043981125</v>
      </c>
      <c r="G576" s="470"/>
      <c r="H576" s="471"/>
    </row>
    <row r="577" spans="1:8" x14ac:dyDescent="0.35">
      <c r="A577" s="467">
        <v>38471</v>
      </c>
      <c r="B577" s="468">
        <v>7.3712438413366499E-2</v>
      </c>
      <c r="C577" s="468">
        <v>0.11465641521212078</v>
      </c>
      <c r="D577" s="469">
        <v>0.1368913858770846</v>
      </c>
      <c r="G577" s="470"/>
      <c r="H577" s="471"/>
    </row>
    <row r="578" spans="1:8" x14ac:dyDescent="0.35">
      <c r="A578" s="467">
        <v>38474</v>
      </c>
      <c r="B578" s="468">
        <v>7.408902121658989E-2</v>
      </c>
      <c r="C578" s="468">
        <v>0.11477470868484696</v>
      </c>
      <c r="D578" s="469">
        <v>0.13560522081883986</v>
      </c>
      <c r="G578" s="470"/>
      <c r="H578" s="471"/>
    </row>
    <row r="579" spans="1:8" x14ac:dyDescent="0.35">
      <c r="A579" s="467">
        <v>38475</v>
      </c>
      <c r="B579" s="468">
        <v>7.3734890201836434E-2</v>
      </c>
      <c r="C579" s="468">
        <v>0.11387044273244662</v>
      </c>
      <c r="D579" s="469">
        <v>0.13511238937302106</v>
      </c>
      <c r="G579" s="470"/>
      <c r="H579" s="471"/>
    </row>
    <row r="580" spans="1:8" x14ac:dyDescent="0.35">
      <c r="A580" s="467">
        <v>38476</v>
      </c>
      <c r="B580" s="468">
        <v>7.3433095377567037E-2</v>
      </c>
      <c r="C580" s="468">
        <v>0.11341509520122517</v>
      </c>
      <c r="D580" s="469">
        <v>0.13409472215080243</v>
      </c>
      <c r="G580" s="470"/>
      <c r="H580" s="471"/>
    </row>
    <row r="581" spans="1:8" x14ac:dyDescent="0.35">
      <c r="A581" s="467">
        <v>38477</v>
      </c>
      <c r="B581" s="468">
        <v>7.3925161334926104E-2</v>
      </c>
      <c r="C581" s="468">
        <v>0.11352320080973843</v>
      </c>
      <c r="D581" s="469">
        <v>0.13443601657609916</v>
      </c>
      <c r="G581" s="470"/>
      <c r="H581" s="471"/>
    </row>
    <row r="582" spans="1:8" x14ac:dyDescent="0.35">
      <c r="A582" s="467">
        <v>38478</v>
      </c>
      <c r="B582" s="468">
        <v>7.4076393217606284E-2</v>
      </c>
      <c r="C582" s="468">
        <v>0.11363748859153699</v>
      </c>
      <c r="D582" s="469">
        <v>0.13509395516300549</v>
      </c>
      <c r="G582" s="470"/>
      <c r="H582" s="471"/>
    </row>
    <row r="583" spans="1:8" x14ac:dyDescent="0.35">
      <c r="A583" s="467">
        <v>38482</v>
      </c>
      <c r="B583" s="468">
        <v>7.4476802368490969E-2</v>
      </c>
      <c r="C583" s="468">
        <v>0.1134546246416126</v>
      </c>
      <c r="D583" s="469">
        <v>0.13514755122300159</v>
      </c>
      <c r="G583" s="470"/>
      <c r="H583" s="471"/>
    </row>
    <row r="584" spans="1:8" x14ac:dyDescent="0.35">
      <c r="A584" s="467">
        <v>38483</v>
      </c>
      <c r="B584" s="468">
        <v>7.4586402141957553E-2</v>
      </c>
      <c r="C584" s="468">
        <v>0.11398415477517232</v>
      </c>
      <c r="D584" s="469">
        <v>0.13545499441461706</v>
      </c>
      <c r="G584" s="470"/>
      <c r="H584" s="471"/>
    </row>
    <row r="585" spans="1:8" x14ac:dyDescent="0.35">
      <c r="A585" s="467">
        <v>38484</v>
      </c>
      <c r="B585" s="468">
        <v>7.4569587592658193E-2</v>
      </c>
      <c r="C585" s="468">
        <v>0.1136674384900318</v>
      </c>
      <c r="D585" s="469">
        <v>0.13507647439869275</v>
      </c>
      <c r="G585" s="470"/>
      <c r="H585" s="471"/>
    </row>
    <row r="586" spans="1:8" x14ac:dyDescent="0.35">
      <c r="A586" s="467">
        <v>38485</v>
      </c>
      <c r="B586" s="468">
        <v>7.4457024495519386E-2</v>
      </c>
      <c r="C586" s="468">
        <v>0.11371031470833426</v>
      </c>
      <c r="D586" s="469">
        <v>0.13494773219557876</v>
      </c>
      <c r="G586" s="470"/>
      <c r="H586" s="471"/>
    </row>
    <row r="587" spans="1:8" x14ac:dyDescent="0.35">
      <c r="A587" s="467">
        <v>38488</v>
      </c>
      <c r="B587" s="468">
        <v>7.4351580352363333E-2</v>
      </c>
      <c r="C587" s="468">
        <v>0.1131340810104311</v>
      </c>
      <c r="D587" s="469">
        <v>0.13464237791399158</v>
      </c>
      <c r="G587" s="470"/>
      <c r="H587" s="471"/>
    </row>
    <row r="588" spans="1:8" x14ac:dyDescent="0.35">
      <c r="A588" s="467">
        <v>38489</v>
      </c>
      <c r="B588" s="468">
        <v>7.4170940760438953E-2</v>
      </c>
      <c r="C588" s="468">
        <v>0.11266315738682109</v>
      </c>
      <c r="D588" s="469">
        <v>0.13399576374791167</v>
      </c>
      <c r="G588" s="470"/>
      <c r="H588" s="471"/>
    </row>
    <row r="589" spans="1:8" x14ac:dyDescent="0.35">
      <c r="A589" s="467">
        <v>38490</v>
      </c>
      <c r="B589" s="468">
        <v>7.4188027035260617E-2</v>
      </c>
      <c r="C589" s="468">
        <v>0.11202485440472243</v>
      </c>
      <c r="D589" s="469">
        <v>0.13311020627548453</v>
      </c>
      <c r="G589" s="470"/>
      <c r="H589" s="471"/>
    </row>
    <row r="590" spans="1:8" x14ac:dyDescent="0.35">
      <c r="A590" s="467">
        <v>38491</v>
      </c>
      <c r="B590" s="468">
        <v>7.4189858786702034E-2</v>
      </c>
      <c r="C590" s="468">
        <v>0.11130912624074885</v>
      </c>
      <c r="D590" s="469">
        <v>0.13240791344791702</v>
      </c>
      <c r="G590" s="470"/>
      <c r="H590" s="471"/>
    </row>
    <row r="591" spans="1:8" x14ac:dyDescent="0.35">
      <c r="A591" s="467">
        <v>38492</v>
      </c>
      <c r="B591" s="468">
        <v>7.4170612681623282E-2</v>
      </c>
      <c r="C591" s="468">
        <v>0.11092213550594132</v>
      </c>
      <c r="D591" s="469">
        <v>0.13244625041085478</v>
      </c>
      <c r="G591" s="470"/>
      <c r="H591" s="471"/>
    </row>
    <row r="592" spans="1:8" x14ac:dyDescent="0.35">
      <c r="A592" s="467">
        <v>38495</v>
      </c>
      <c r="B592" s="468">
        <v>7.4239600187850252E-2</v>
      </c>
      <c r="C592" s="468">
        <v>0.11041904621979093</v>
      </c>
      <c r="D592" s="469">
        <v>0.13281533151589153</v>
      </c>
      <c r="G592" s="470"/>
      <c r="H592" s="471"/>
    </row>
    <row r="593" spans="1:8" x14ac:dyDescent="0.35">
      <c r="A593" s="467">
        <v>38496</v>
      </c>
      <c r="B593" s="468">
        <v>7.3847159909025573E-2</v>
      </c>
      <c r="C593" s="468">
        <v>0.11052524678231102</v>
      </c>
      <c r="D593" s="469">
        <v>0.13336994371422239</v>
      </c>
      <c r="G593" s="470"/>
      <c r="H593" s="471"/>
    </row>
    <row r="594" spans="1:8" x14ac:dyDescent="0.35">
      <c r="A594" s="467">
        <v>38497</v>
      </c>
      <c r="B594" s="468">
        <v>7.3546592222224261E-2</v>
      </c>
      <c r="C594" s="468">
        <v>0.11000072260669391</v>
      </c>
      <c r="D594" s="469">
        <v>0.13382913888743198</v>
      </c>
      <c r="G594" s="470"/>
      <c r="H594" s="471"/>
    </row>
    <row r="595" spans="1:8" x14ac:dyDescent="0.35">
      <c r="A595" s="467">
        <v>38498</v>
      </c>
      <c r="B595" s="468">
        <v>7.3463160098689695E-2</v>
      </c>
      <c r="C595" s="468">
        <v>0.11020737555024418</v>
      </c>
      <c r="D595" s="469">
        <v>0.13395271631235262</v>
      </c>
      <c r="G595" s="470"/>
      <c r="H595" s="471"/>
    </row>
    <row r="596" spans="1:8" x14ac:dyDescent="0.35">
      <c r="A596" s="467">
        <v>38499</v>
      </c>
      <c r="B596" s="468">
        <v>7.2880148055307625E-2</v>
      </c>
      <c r="C596" s="468">
        <v>0.11008357625799547</v>
      </c>
      <c r="D596" s="469">
        <v>0.13529627572006997</v>
      </c>
      <c r="G596" s="470"/>
      <c r="H596" s="471"/>
    </row>
    <row r="597" spans="1:8" x14ac:dyDescent="0.35">
      <c r="A597" s="467">
        <v>38503</v>
      </c>
      <c r="B597" s="468">
        <v>7.2914780123574108E-2</v>
      </c>
      <c r="C597" s="468">
        <v>0.10938754190041533</v>
      </c>
      <c r="D597" s="469">
        <v>0.13411168642822302</v>
      </c>
      <c r="G597" s="470"/>
      <c r="H597" s="471"/>
    </row>
    <row r="598" spans="1:8" x14ac:dyDescent="0.35">
      <c r="A598" s="467">
        <v>38504</v>
      </c>
      <c r="B598" s="468">
        <v>7.1583004353849011E-2</v>
      </c>
      <c r="C598" s="468">
        <v>0.1087904159742854</v>
      </c>
      <c r="D598" s="469">
        <v>0.13364261097874008</v>
      </c>
      <c r="G598" s="470"/>
      <c r="H598" s="471"/>
    </row>
    <row r="599" spans="1:8" x14ac:dyDescent="0.35">
      <c r="A599" s="467">
        <v>38505</v>
      </c>
      <c r="B599" s="468">
        <v>7.021376198953333E-2</v>
      </c>
      <c r="C599" s="468">
        <v>0.10812673257132865</v>
      </c>
      <c r="D599" s="469">
        <v>0.1350843800230217</v>
      </c>
      <c r="G599" s="470"/>
      <c r="H599" s="471"/>
    </row>
    <row r="600" spans="1:8" x14ac:dyDescent="0.35">
      <c r="A600" s="467">
        <v>38506</v>
      </c>
      <c r="B600" s="468">
        <v>7.0208773612962405E-2</v>
      </c>
      <c r="C600" s="468">
        <v>0.10576872843571583</v>
      </c>
      <c r="D600" s="469">
        <v>0.13457408507605395</v>
      </c>
      <c r="G600" s="470"/>
      <c r="H600" s="471"/>
    </row>
    <row r="601" spans="1:8" x14ac:dyDescent="0.35">
      <c r="A601" s="467">
        <v>38510</v>
      </c>
      <c r="B601" s="468">
        <v>7.0565426247167773E-2</v>
      </c>
      <c r="C601" s="468">
        <v>0.10583147877533317</v>
      </c>
      <c r="D601" s="469">
        <v>0.13531228122933303</v>
      </c>
      <c r="G601" s="470"/>
      <c r="H601" s="471"/>
    </row>
    <row r="602" spans="1:8" x14ac:dyDescent="0.35">
      <c r="A602" s="467">
        <v>38511</v>
      </c>
      <c r="B602" s="468">
        <v>7.144054334047456E-2</v>
      </c>
      <c r="C602" s="468">
        <v>0.10670711285837586</v>
      </c>
      <c r="D602" s="469">
        <v>0.13733182268558375</v>
      </c>
      <c r="G602" s="470"/>
      <c r="H602" s="471"/>
    </row>
    <row r="603" spans="1:8" x14ac:dyDescent="0.35">
      <c r="A603" s="467">
        <v>38512</v>
      </c>
      <c r="B603" s="468">
        <v>7.2028776998711574E-2</v>
      </c>
      <c r="C603" s="468">
        <v>0.10677547704977641</v>
      </c>
      <c r="D603" s="469">
        <v>0.13597508478373865</v>
      </c>
      <c r="G603" s="470"/>
      <c r="H603" s="471"/>
    </row>
    <row r="604" spans="1:8" x14ac:dyDescent="0.35">
      <c r="A604" s="467">
        <v>38513</v>
      </c>
      <c r="B604" s="468">
        <v>7.1323013006074687E-2</v>
      </c>
      <c r="C604" s="468">
        <v>0.1052437961255055</v>
      </c>
      <c r="D604" s="469">
        <v>0.13467765314179703</v>
      </c>
      <c r="G604" s="470"/>
      <c r="H604" s="471"/>
    </row>
    <row r="605" spans="1:8" x14ac:dyDescent="0.35">
      <c r="A605" s="467">
        <v>38516</v>
      </c>
      <c r="B605" s="468">
        <v>7.0619029372775532E-2</v>
      </c>
      <c r="C605" s="468">
        <v>0.10538664908836437</v>
      </c>
      <c r="D605" s="469">
        <v>0.13608601576739066</v>
      </c>
      <c r="G605" s="470"/>
      <c r="H605" s="471"/>
    </row>
    <row r="606" spans="1:8" x14ac:dyDescent="0.35">
      <c r="A606" s="467">
        <v>38517</v>
      </c>
      <c r="B606" s="468">
        <v>7.0363046523242101E-2</v>
      </c>
      <c r="C606" s="468">
        <v>0.10311410547094746</v>
      </c>
      <c r="D606" s="469">
        <v>0.13247316586931479</v>
      </c>
      <c r="G606" s="470"/>
      <c r="H606" s="471"/>
    </row>
    <row r="607" spans="1:8" x14ac:dyDescent="0.35">
      <c r="A607" s="467">
        <v>38518</v>
      </c>
      <c r="B607" s="468">
        <v>7.0529459238951375E-2</v>
      </c>
      <c r="C607" s="468">
        <v>0.10337109374821507</v>
      </c>
      <c r="D607" s="469">
        <v>0.13208406857119059</v>
      </c>
      <c r="G607" s="470"/>
      <c r="H607" s="471"/>
    </row>
    <row r="608" spans="1:8" x14ac:dyDescent="0.35">
      <c r="A608" s="467">
        <v>38519</v>
      </c>
      <c r="B608" s="468">
        <v>7.0404022912939457E-2</v>
      </c>
      <c r="C608" s="468">
        <v>0.10393070183861508</v>
      </c>
      <c r="D608" s="469">
        <v>0.13275074031865319</v>
      </c>
      <c r="G608" s="470"/>
      <c r="H608" s="471"/>
    </row>
    <row r="609" spans="1:8" x14ac:dyDescent="0.35">
      <c r="A609" s="467">
        <v>38520</v>
      </c>
      <c r="B609" s="468">
        <v>7.0555983711646508E-2</v>
      </c>
      <c r="C609" s="468">
        <v>0.10298692886196759</v>
      </c>
      <c r="D609" s="469">
        <v>0.13057692132143472</v>
      </c>
      <c r="G609" s="470"/>
      <c r="H609" s="471"/>
    </row>
    <row r="610" spans="1:8" x14ac:dyDescent="0.35">
      <c r="A610" s="467">
        <v>38523</v>
      </c>
      <c r="B610" s="468">
        <v>7.0519944875395923E-2</v>
      </c>
      <c r="C610" s="468">
        <v>0.10270048165766466</v>
      </c>
      <c r="D610" s="469">
        <v>0.1299920783057289</v>
      </c>
      <c r="G610" s="470"/>
      <c r="H610" s="471"/>
    </row>
    <row r="611" spans="1:8" x14ac:dyDescent="0.35">
      <c r="A611" s="467">
        <v>38524</v>
      </c>
      <c r="B611" s="468">
        <v>7.060084454591542E-2</v>
      </c>
      <c r="C611" s="468">
        <v>0.10157325796706118</v>
      </c>
      <c r="D611" s="469">
        <v>0.1274993032443863</v>
      </c>
      <c r="G611" s="470"/>
      <c r="H611" s="471"/>
    </row>
    <row r="612" spans="1:8" x14ac:dyDescent="0.35">
      <c r="A612" s="467">
        <v>38525</v>
      </c>
      <c r="B612" s="468">
        <v>7.0428091991589614E-2</v>
      </c>
      <c r="C612" s="468">
        <v>0.10124767739057594</v>
      </c>
      <c r="D612" s="469">
        <v>0.12655433732715493</v>
      </c>
      <c r="G612" s="470"/>
      <c r="H612" s="471"/>
    </row>
    <row r="613" spans="1:8" x14ac:dyDescent="0.35">
      <c r="A613" s="467">
        <v>38526</v>
      </c>
      <c r="B613" s="468">
        <v>7.0308750794149999E-2</v>
      </c>
      <c r="C613" s="468">
        <v>0.10082774771528458</v>
      </c>
      <c r="D613" s="469">
        <v>0.12689287673151028</v>
      </c>
      <c r="G613" s="470"/>
      <c r="H613" s="471"/>
    </row>
    <row r="614" spans="1:8" x14ac:dyDescent="0.35">
      <c r="A614" s="467">
        <v>38527</v>
      </c>
      <c r="B614" s="468">
        <v>7.035793730155282E-2</v>
      </c>
      <c r="C614" s="468">
        <v>0.10021750889210224</v>
      </c>
      <c r="D614" s="469">
        <v>0.12636593859614198</v>
      </c>
      <c r="G614" s="470"/>
      <c r="H614" s="471"/>
    </row>
    <row r="615" spans="1:8" x14ac:dyDescent="0.35">
      <c r="A615" s="467">
        <v>38530</v>
      </c>
      <c r="B615" s="468">
        <v>7.0539559550294006E-2</v>
      </c>
      <c r="C615" s="468">
        <v>9.9915710095038968E-2</v>
      </c>
      <c r="D615" s="469">
        <v>0.12565631773487884</v>
      </c>
      <c r="G615" s="470"/>
      <c r="H615" s="471"/>
    </row>
    <row r="616" spans="1:8" x14ac:dyDescent="0.35">
      <c r="A616" s="467">
        <v>38531</v>
      </c>
      <c r="B616" s="468">
        <v>7.0787489230752065E-2</v>
      </c>
      <c r="C616" s="468">
        <v>0.10007198756425861</v>
      </c>
      <c r="D616" s="469">
        <v>0.12584557135961627</v>
      </c>
      <c r="G616" s="470"/>
      <c r="H616" s="471"/>
    </row>
    <row r="617" spans="1:8" x14ac:dyDescent="0.35">
      <c r="A617" s="467">
        <v>38532</v>
      </c>
      <c r="B617" s="468">
        <v>7.0790698842460698E-2</v>
      </c>
      <c r="C617" s="468">
        <v>0.1002602322903603</v>
      </c>
      <c r="D617" s="469">
        <v>0.12598466068833392</v>
      </c>
      <c r="G617" s="470"/>
      <c r="H617" s="471"/>
    </row>
    <row r="618" spans="1:8" x14ac:dyDescent="0.35">
      <c r="A618" s="467">
        <v>38533</v>
      </c>
      <c r="B618" s="468">
        <v>7.0802919776854489E-2</v>
      </c>
      <c r="C618" s="468">
        <v>9.8833844603501975E-2</v>
      </c>
      <c r="D618" s="469">
        <v>0.12454917396088172</v>
      </c>
      <c r="G618" s="470"/>
      <c r="H618" s="471"/>
    </row>
    <row r="619" spans="1:8" x14ac:dyDescent="0.35">
      <c r="A619" s="467">
        <v>38534</v>
      </c>
      <c r="B619" s="468">
        <v>7.0719465298460182E-2</v>
      </c>
      <c r="C619" s="468">
        <v>9.8793260387369797E-2</v>
      </c>
      <c r="D619" s="469">
        <v>0.12393824670563625</v>
      </c>
      <c r="G619" s="470"/>
      <c r="H619" s="471"/>
    </row>
    <row r="620" spans="1:8" x14ac:dyDescent="0.35">
      <c r="A620" s="467">
        <v>38538</v>
      </c>
      <c r="B620" s="468">
        <v>7.0995274653538276E-2</v>
      </c>
      <c r="C620" s="468">
        <v>9.9248093991678887E-2</v>
      </c>
      <c r="D620" s="469">
        <v>0.12469542751177687</v>
      </c>
      <c r="G620" s="470"/>
      <c r="H620" s="471"/>
    </row>
    <row r="621" spans="1:8" x14ac:dyDescent="0.35">
      <c r="A621" s="467">
        <v>38539</v>
      </c>
      <c r="B621" s="468">
        <v>7.1161875086577453E-2</v>
      </c>
      <c r="C621" s="468">
        <v>9.8935284003537127E-2</v>
      </c>
      <c r="D621" s="469">
        <v>0.12264278649079685</v>
      </c>
      <c r="G621" s="470"/>
      <c r="H621" s="471"/>
    </row>
    <row r="622" spans="1:8" x14ac:dyDescent="0.35">
      <c r="A622" s="467">
        <v>38540</v>
      </c>
      <c r="B622" s="468">
        <v>7.1199211549788366E-2</v>
      </c>
      <c r="C622" s="468">
        <v>9.6881652527790685E-2</v>
      </c>
      <c r="D622" s="469">
        <v>0.11891265855541966</v>
      </c>
      <c r="G622" s="470"/>
      <c r="H622" s="471"/>
    </row>
    <row r="623" spans="1:8" x14ac:dyDescent="0.35">
      <c r="A623" s="467">
        <v>38541</v>
      </c>
      <c r="B623" s="468">
        <v>7.0706905588856728E-2</v>
      </c>
      <c r="C623" s="468">
        <v>9.6012206176887993E-2</v>
      </c>
      <c r="D623" s="469">
        <v>0.11625999575875379</v>
      </c>
      <c r="G623" s="470"/>
      <c r="H623" s="471"/>
    </row>
    <row r="624" spans="1:8" x14ac:dyDescent="0.35">
      <c r="A624" s="467">
        <v>38544</v>
      </c>
      <c r="B624" s="468">
        <v>7.0164038381117511E-2</v>
      </c>
      <c r="C624" s="468">
        <v>9.3771428412302793E-2</v>
      </c>
      <c r="D624" s="469">
        <v>0.11342907460892482</v>
      </c>
      <c r="G624" s="470"/>
      <c r="H624" s="471"/>
    </row>
    <row r="625" spans="1:8" x14ac:dyDescent="0.35">
      <c r="A625" s="467">
        <v>38545</v>
      </c>
      <c r="B625" s="468">
        <v>6.9901935256814429E-2</v>
      </c>
      <c r="C625" s="468">
        <v>9.1823555200902574E-2</v>
      </c>
      <c r="D625" s="469">
        <v>0.11115553504482389</v>
      </c>
      <c r="G625" s="470"/>
      <c r="H625" s="471"/>
    </row>
    <row r="626" spans="1:8" x14ac:dyDescent="0.35">
      <c r="A626" s="467">
        <v>38546</v>
      </c>
      <c r="B626" s="468">
        <v>7.0524179719442692E-2</v>
      </c>
      <c r="C626" s="468">
        <v>9.3172727994189186E-2</v>
      </c>
      <c r="D626" s="469">
        <v>0.11187850624573614</v>
      </c>
      <c r="G626" s="470"/>
      <c r="H626" s="471"/>
    </row>
    <row r="627" spans="1:8" x14ac:dyDescent="0.35">
      <c r="A627" s="467">
        <v>38547</v>
      </c>
      <c r="B627" s="468">
        <v>7.0385975199185324E-2</v>
      </c>
      <c r="C627" s="468">
        <v>9.3721840806173518E-2</v>
      </c>
      <c r="D627" s="469">
        <v>0.11179272138032181</v>
      </c>
      <c r="G627" s="470"/>
      <c r="H627" s="471"/>
    </row>
    <row r="628" spans="1:8" x14ac:dyDescent="0.35">
      <c r="A628" s="467">
        <v>38548</v>
      </c>
      <c r="B628" s="468">
        <v>7.1158746205457257E-2</v>
      </c>
      <c r="C628" s="468">
        <v>9.6777981798928492E-2</v>
      </c>
      <c r="D628" s="469">
        <v>0.1131273333967322</v>
      </c>
      <c r="G628" s="470"/>
      <c r="H628" s="471"/>
    </row>
    <row r="629" spans="1:8" x14ac:dyDescent="0.35">
      <c r="A629" s="467">
        <v>38551</v>
      </c>
      <c r="B629" s="468">
        <v>7.1645228742362566E-2</v>
      </c>
      <c r="C629" s="468">
        <v>9.6157531105222738E-2</v>
      </c>
      <c r="D629" s="469">
        <v>0.11243869363219861</v>
      </c>
      <c r="G629" s="470"/>
      <c r="H629" s="471"/>
    </row>
    <row r="630" spans="1:8" x14ac:dyDescent="0.35">
      <c r="A630" s="467">
        <v>38552</v>
      </c>
      <c r="B630" s="468">
        <v>7.1780883728421063E-2</v>
      </c>
      <c r="C630" s="468">
        <v>9.7158404306308732E-2</v>
      </c>
      <c r="D630" s="469">
        <v>0.11318805918951513</v>
      </c>
      <c r="G630" s="470"/>
      <c r="H630" s="471"/>
    </row>
    <row r="631" spans="1:8" x14ac:dyDescent="0.35">
      <c r="A631" s="467">
        <v>38554</v>
      </c>
      <c r="B631" s="468">
        <v>7.2817117959261601E-2</v>
      </c>
      <c r="C631" s="468">
        <v>9.7399105910526584E-2</v>
      </c>
      <c r="D631" s="469">
        <v>0.11597877918594102</v>
      </c>
      <c r="G631" s="470"/>
      <c r="H631" s="471"/>
    </row>
    <row r="632" spans="1:8" x14ac:dyDescent="0.35">
      <c r="A632" s="467">
        <v>38555</v>
      </c>
      <c r="B632" s="468">
        <v>7.1789329683982661E-2</v>
      </c>
      <c r="C632" s="468">
        <v>9.76882522371747E-2</v>
      </c>
      <c r="D632" s="469">
        <v>0.11813975092384688</v>
      </c>
      <c r="G632" s="470"/>
      <c r="H632" s="471"/>
    </row>
    <row r="633" spans="1:8" x14ac:dyDescent="0.35">
      <c r="A633" s="467">
        <v>38558</v>
      </c>
      <c r="B633" s="468">
        <v>7.1062914624634876E-2</v>
      </c>
      <c r="C633" s="468">
        <v>9.7417862916445053E-2</v>
      </c>
      <c r="D633" s="469">
        <v>0.11543576697090674</v>
      </c>
      <c r="G633" s="470"/>
      <c r="H633" s="471"/>
    </row>
    <row r="634" spans="1:8" x14ac:dyDescent="0.35">
      <c r="A634" s="467">
        <v>38559</v>
      </c>
      <c r="B634" s="468">
        <v>7.1417090373521619E-2</v>
      </c>
      <c r="C634" s="468">
        <v>9.7370091698790295E-2</v>
      </c>
      <c r="D634" s="469">
        <v>0.11610376432688896</v>
      </c>
      <c r="G634" s="470"/>
      <c r="H634" s="471"/>
    </row>
    <row r="635" spans="1:8" x14ac:dyDescent="0.35">
      <c r="A635" s="467">
        <v>38560</v>
      </c>
      <c r="B635" s="468">
        <v>7.1067571630888171E-2</v>
      </c>
      <c r="C635" s="468">
        <v>9.6268227616314483E-2</v>
      </c>
      <c r="D635" s="469">
        <v>0.11544615255016089</v>
      </c>
      <c r="G635" s="470"/>
      <c r="H635" s="471"/>
    </row>
    <row r="636" spans="1:8" x14ac:dyDescent="0.35">
      <c r="A636" s="467">
        <v>38561</v>
      </c>
      <c r="B636" s="468">
        <v>7.1147541910598022E-2</v>
      </c>
      <c r="C636" s="468">
        <v>9.5686163161620152E-2</v>
      </c>
      <c r="D636" s="469">
        <v>0.11433845958965017</v>
      </c>
      <c r="G636" s="470"/>
      <c r="H636" s="471"/>
    </row>
    <row r="637" spans="1:8" x14ac:dyDescent="0.35">
      <c r="A637" s="467">
        <v>38562</v>
      </c>
      <c r="B637" s="468">
        <v>7.1103314569241016E-2</v>
      </c>
      <c r="C637" s="468">
        <v>9.5100627542823446E-2</v>
      </c>
      <c r="D637" s="469">
        <v>0.11391088572739982</v>
      </c>
      <c r="G637" s="470"/>
      <c r="H637" s="471"/>
    </row>
    <row r="638" spans="1:8" x14ac:dyDescent="0.35">
      <c r="A638" s="467">
        <v>38565</v>
      </c>
      <c r="B638" s="468">
        <v>7.1687329817434309E-2</v>
      </c>
      <c r="C638" s="468">
        <v>9.6102335831951269E-2</v>
      </c>
      <c r="D638" s="469">
        <v>0.11366472767923419</v>
      </c>
      <c r="G638" s="470"/>
      <c r="H638" s="471"/>
    </row>
    <row r="639" spans="1:8" x14ac:dyDescent="0.35">
      <c r="A639" s="467">
        <v>38566</v>
      </c>
      <c r="B639" s="468">
        <v>7.1489794862071854E-2</v>
      </c>
      <c r="C639" s="468">
        <v>9.4869208595359744E-2</v>
      </c>
      <c r="D639" s="469">
        <v>0.11259268274082435</v>
      </c>
      <c r="G639" s="470"/>
      <c r="H639" s="471"/>
    </row>
    <row r="640" spans="1:8" x14ac:dyDescent="0.35">
      <c r="A640" s="467">
        <v>38567</v>
      </c>
      <c r="B640" s="468">
        <v>7.1515244285156099E-2</v>
      </c>
      <c r="C640" s="468">
        <v>9.3353411975979128E-2</v>
      </c>
      <c r="D640" s="469">
        <v>0.11121972474631203</v>
      </c>
      <c r="G640" s="470"/>
      <c r="H640" s="471"/>
    </row>
    <row r="641" spans="1:8" x14ac:dyDescent="0.35">
      <c r="A641" s="467">
        <v>38568</v>
      </c>
      <c r="B641" s="468">
        <v>7.0609562102110113E-2</v>
      </c>
      <c r="C641" s="468">
        <v>9.3337314974754948E-2</v>
      </c>
      <c r="D641" s="469">
        <v>0.11333393870549502</v>
      </c>
      <c r="G641" s="470"/>
      <c r="H641" s="471"/>
    </row>
    <row r="642" spans="1:8" x14ac:dyDescent="0.35">
      <c r="A642" s="467">
        <v>38569</v>
      </c>
      <c r="B642" s="468">
        <v>7.0641004221958514E-2</v>
      </c>
      <c r="C642" s="468">
        <v>9.3903332560767883E-2</v>
      </c>
      <c r="D642" s="469">
        <v>0.11417875354871798</v>
      </c>
      <c r="G642" s="470"/>
      <c r="H642" s="471"/>
    </row>
    <row r="643" spans="1:8" x14ac:dyDescent="0.35">
      <c r="A643" s="467">
        <v>38572</v>
      </c>
      <c r="B643" s="468">
        <v>7.0861260512979696E-2</v>
      </c>
      <c r="C643" s="468">
        <v>9.4812283229571914E-2</v>
      </c>
      <c r="D643" s="469">
        <v>0.11658855939419599</v>
      </c>
      <c r="G643" s="470"/>
      <c r="H643" s="471"/>
    </row>
    <row r="644" spans="1:8" x14ac:dyDescent="0.35">
      <c r="A644" s="467">
        <v>38573</v>
      </c>
      <c r="B644" s="468">
        <v>7.0997408380780724E-2</v>
      </c>
      <c r="C644" s="468">
        <v>9.4786565933340672E-2</v>
      </c>
      <c r="D644" s="469">
        <v>0.11657348917716392</v>
      </c>
      <c r="G644" s="470"/>
      <c r="H644" s="471"/>
    </row>
    <row r="645" spans="1:8" x14ac:dyDescent="0.35">
      <c r="A645" s="467">
        <v>38574</v>
      </c>
      <c r="B645" s="468">
        <v>7.058467262009871E-2</v>
      </c>
      <c r="C645" s="468">
        <v>9.4146325239070627E-2</v>
      </c>
      <c r="D645" s="469">
        <v>0.10972690535589025</v>
      </c>
      <c r="G645" s="470"/>
      <c r="H645" s="471"/>
    </row>
    <row r="646" spans="1:8" x14ac:dyDescent="0.35">
      <c r="A646" s="467">
        <v>38575</v>
      </c>
      <c r="B646" s="468">
        <v>7.0939515602324477E-2</v>
      </c>
      <c r="C646" s="468">
        <v>9.4154079610722308E-2</v>
      </c>
      <c r="D646" s="469">
        <v>0.10950603715828411</v>
      </c>
      <c r="G646" s="470"/>
      <c r="H646" s="471"/>
    </row>
    <row r="647" spans="1:8" x14ac:dyDescent="0.35">
      <c r="A647" s="467">
        <v>38576</v>
      </c>
      <c r="B647" s="468">
        <v>7.0737524734156842E-2</v>
      </c>
      <c r="C647" s="468">
        <v>9.4737861686262637E-2</v>
      </c>
      <c r="D647" s="469">
        <v>0.10981020045654355</v>
      </c>
      <c r="G647" s="470"/>
      <c r="H647" s="471"/>
    </row>
    <row r="648" spans="1:8" x14ac:dyDescent="0.35">
      <c r="A648" s="467">
        <v>38580</v>
      </c>
      <c r="B648" s="468">
        <v>7.1284439804558231E-2</v>
      </c>
      <c r="C648" s="468">
        <v>9.5569049606075263E-2</v>
      </c>
      <c r="D648" s="469">
        <v>0.1093861439325523</v>
      </c>
      <c r="G648" s="470"/>
      <c r="H648" s="471"/>
    </row>
    <row r="649" spans="1:8" x14ac:dyDescent="0.35">
      <c r="A649" s="467">
        <v>38581</v>
      </c>
      <c r="B649" s="468">
        <v>7.1153834951192874E-2</v>
      </c>
      <c r="C649" s="468">
        <v>9.5942382352972588E-2</v>
      </c>
      <c r="D649" s="469">
        <v>0.11783138824202033</v>
      </c>
      <c r="G649" s="470"/>
      <c r="H649" s="471"/>
    </row>
    <row r="650" spans="1:8" x14ac:dyDescent="0.35">
      <c r="A650" s="467">
        <v>38582</v>
      </c>
      <c r="B650" s="468">
        <v>7.1506044683374848E-2</v>
      </c>
      <c r="C650" s="468">
        <v>9.5076934140263525E-2</v>
      </c>
      <c r="D650" s="469">
        <v>0.11623116113936538</v>
      </c>
      <c r="G650" s="470"/>
      <c r="H650" s="471"/>
    </row>
    <row r="651" spans="1:8" x14ac:dyDescent="0.35">
      <c r="A651" s="467">
        <v>38583</v>
      </c>
      <c r="B651" s="468">
        <v>7.0658829167834725E-2</v>
      </c>
      <c r="C651" s="468">
        <v>9.6415712754182925E-2</v>
      </c>
      <c r="D651" s="469">
        <v>0.11181174642248637</v>
      </c>
      <c r="G651" s="470"/>
      <c r="H651" s="471"/>
    </row>
    <row r="652" spans="1:8" x14ac:dyDescent="0.35">
      <c r="A652" s="467">
        <v>38586</v>
      </c>
      <c r="B652" s="468">
        <v>7.0813179069772803E-2</v>
      </c>
      <c r="C652" s="468">
        <v>9.6010908130291783E-2</v>
      </c>
      <c r="D652" s="469">
        <v>0.11235569887701136</v>
      </c>
      <c r="G652" s="470"/>
      <c r="H652" s="471"/>
    </row>
    <row r="653" spans="1:8" x14ac:dyDescent="0.35">
      <c r="A653" s="467">
        <v>38587</v>
      </c>
      <c r="B653" s="468">
        <v>7.0684886016413984E-2</v>
      </c>
      <c r="C653" s="468">
        <v>9.5563841481298928E-2</v>
      </c>
      <c r="D653" s="469">
        <v>0.1117573596753183</v>
      </c>
      <c r="G653" s="470"/>
      <c r="H653" s="471"/>
    </row>
    <row r="654" spans="1:8" x14ac:dyDescent="0.35">
      <c r="A654" s="467">
        <v>38588</v>
      </c>
      <c r="B654" s="468">
        <v>7.1001518335898739E-2</v>
      </c>
      <c r="C654" s="468">
        <v>9.583552780910698E-2</v>
      </c>
      <c r="D654" s="469">
        <v>0.11106415506514922</v>
      </c>
      <c r="G654" s="470"/>
      <c r="H654" s="471"/>
    </row>
    <row r="655" spans="1:8" x14ac:dyDescent="0.35">
      <c r="A655" s="467">
        <v>38589</v>
      </c>
      <c r="B655" s="468">
        <v>7.1011408882136751E-2</v>
      </c>
      <c r="C655" s="468">
        <v>9.5477059879683912E-2</v>
      </c>
      <c r="D655" s="469">
        <v>0.1107798053410769</v>
      </c>
      <c r="G655" s="470"/>
      <c r="H655" s="471"/>
    </row>
    <row r="656" spans="1:8" x14ac:dyDescent="0.35">
      <c r="A656" s="467">
        <v>38590</v>
      </c>
      <c r="B656" s="468">
        <v>7.0953406514653761E-2</v>
      </c>
      <c r="C656" s="468">
        <v>9.5198011995051957E-2</v>
      </c>
      <c r="D656" s="469">
        <v>0.11036993769549608</v>
      </c>
      <c r="G656" s="470"/>
      <c r="H656" s="471"/>
    </row>
    <row r="657" spans="1:8" x14ac:dyDescent="0.35">
      <c r="A657" s="467">
        <v>38593</v>
      </c>
      <c r="B657" s="468">
        <v>7.0685325050599435E-2</v>
      </c>
      <c r="C657" s="468">
        <v>9.4441475127478247E-2</v>
      </c>
      <c r="D657" s="469">
        <v>0.10961444652705188</v>
      </c>
      <c r="G657" s="470"/>
      <c r="H657" s="471"/>
    </row>
    <row r="658" spans="1:8" x14ac:dyDescent="0.35">
      <c r="A658" s="467">
        <v>38594</v>
      </c>
      <c r="B658" s="468">
        <v>7.0816957715409634E-2</v>
      </c>
      <c r="C658" s="468">
        <v>9.409241549688363E-2</v>
      </c>
      <c r="D658" s="469">
        <v>0.10918231979293358</v>
      </c>
      <c r="G658" s="470"/>
      <c r="H658" s="471"/>
    </row>
    <row r="659" spans="1:8" x14ac:dyDescent="0.35">
      <c r="A659" s="467">
        <v>38595</v>
      </c>
      <c r="B659" s="468">
        <v>7.1063499742583858E-2</v>
      </c>
      <c r="C659" s="468">
        <v>9.3619173447898829E-2</v>
      </c>
      <c r="D659" s="469">
        <v>0.1087205041662771</v>
      </c>
      <c r="G659" s="470"/>
      <c r="H659" s="471"/>
    </row>
    <row r="660" spans="1:8" x14ac:dyDescent="0.35">
      <c r="A660" s="467">
        <v>38596</v>
      </c>
      <c r="B660" s="468">
        <v>7.1976707149503216E-2</v>
      </c>
      <c r="C660" s="468">
        <v>9.3318368825799247E-2</v>
      </c>
      <c r="D660" s="469">
        <v>0.10746654343972062</v>
      </c>
      <c r="G660" s="470"/>
      <c r="H660" s="471"/>
    </row>
    <row r="661" spans="1:8" x14ac:dyDescent="0.35">
      <c r="A661" s="467">
        <v>38597</v>
      </c>
      <c r="B661" s="468">
        <v>7.0952122160816478E-2</v>
      </c>
      <c r="C661" s="468">
        <v>9.2591609246849282E-2</v>
      </c>
      <c r="D661" s="469">
        <v>0.10717528454759595</v>
      </c>
      <c r="G661" s="470"/>
      <c r="H661" s="471"/>
    </row>
    <row r="662" spans="1:8" x14ac:dyDescent="0.35">
      <c r="A662" s="467">
        <v>38600</v>
      </c>
      <c r="B662" s="468">
        <v>7.0664603679839288E-2</v>
      </c>
      <c r="C662" s="468">
        <v>9.189914576452396E-2</v>
      </c>
      <c r="D662" s="469">
        <v>0.10580829733554942</v>
      </c>
      <c r="G662" s="470"/>
      <c r="H662" s="471"/>
    </row>
    <row r="663" spans="1:8" x14ac:dyDescent="0.35">
      <c r="A663" s="467">
        <v>38601</v>
      </c>
      <c r="B663" s="468">
        <v>7.0270469240130584E-2</v>
      </c>
      <c r="C663" s="468">
        <v>9.0662719024184657E-2</v>
      </c>
      <c r="D663" s="469">
        <v>0.10554003915977694</v>
      </c>
      <c r="G663" s="470"/>
      <c r="H663" s="471"/>
    </row>
    <row r="664" spans="1:8" x14ac:dyDescent="0.35">
      <c r="A664" s="467">
        <v>38602</v>
      </c>
      <c r="B664" s="468">
        <v>7.0072270802133296E-2</v>
      </c>
      <c r="C664" s="468">
        <v>8.9564734505841681E-2</v>
      </c>
      <c r="D664" s="469">
        <v>0.1042650747152658</v>
      </c>
      <c r="G664" s="470"/>
      <c r="H664" s="471"/>
    </row>
    <row r="665" spans="1:8" x14ac:dyDescent="0.35">
      <c r="A665" s="467">
        <v>38603</v>
      </c>
      <c r="B665" s="468">
        <v>6.9959866132996984E-2</v>
      </c>
      <c r="C665" s="468">
        <v>8.9622114355228266E-2</v>
      </c>
      <c r="D665" s="469">
        <v>0.10390231179536857</v>
      </c>
      <c r="G665" s="470"/>
      <c r="H665" s="471"/>
    </row>
    <row r="666" spans="1:8" x14ac:dyDescent="0.35">
      <c r="A666" s="467">
        <v>38604</v>
      </c>
      <c r="B666" s="468">
        <v>6.9835305873638731E-2</v>
      </c>
      <c r="C666" s="468">
        <v>9.0729767082339707E-2</v>
      </c>
      <c r="D666" s="469">
        <v>0.10496959500903591</v>
      </c>
      <c r="G666" s="470"/>
      <c r="H666" s="471"/>
    </row>
    <row r="667" spans="1:8" x14ac:dyDescent="0.35">
      <c r="A667" s="467">
        <v>38607</v>
      </c>
      <c r="B667" s="468">
        <v>6.9521776331412655E-2</v>
      </c>
      <c r="C667" s="468">
        <v>9.092062367828202E-2</v>
      </c>
      <c r="D667" s="469">
        <v>0.1050118086059828</v>
      </c>
      <c r="G667" s="470"/>
      <c r="H667" s="471"/>
    </row>
    <row r="668" spans="1:8" x14ac:dyDescent="0.35">
      <c r="A668" s="467">
        <v>38608</v>
      </c>
      <c r="B668" s="468">
        <v>6.8782732637195032E-2</v>
      </c>
      <c r="C668" s="468">
        <v>8.9292838660692597E-2</v>
      </c>
      <c r="D668" s="469">
        <v>0.10298435573492748</v>
      </c>
      <c r="G668" s="470"/>
      <c r="H668" s="471"/>
    </row>
    <row r="669" spans="1:8" x14ac:dyDescent="0.35">
      <c r="A669" s="467">
        <v>38609</v>
      </c>
      <c r="B669" s="468">
        <v>6.6219393237433311E-2</v>
      </c>
      <c r="C669" s="468">
        <v>8.8146944926006165E-2</v>
      </c>
      <c r="D669" s="469">
        <v>0.10234443790716696</v>
      </c>
      <c r="G669" s="470"/>
      <c r="H669" s="471"/>
    </row>
    <row r="670" spans="1:8" x14ac:dyDescent="0.35">
      <c r="A670" s="467">
        <v>38610</v>
      </c>
      <c r="B670" s="468">
        <v>6.4547963164365063E-2</v>
      </c>
      <c r="C670" s="468">
        <v>8.8673375405888377E-2</v>
      </c>
      <c r="D670" s="469">
        <v>0.10343201471082653</v>
      </c>
      <c r="G670" s="470"/>
      <c r="H670" s="471"/>
    </row>
    <row r="671" spans="1:8" x14ac:dyDescent="0.35">
      <c r="A671" s="467">
        <v>38611</v>
      </c>
      <c r="B671" s="468">
        <v>6.395273212080177E-2</v>
      </c>
      <c r="C671" s="468">
        <v>8.8854868368518858E-2</v>
      </c>
      <c r="D671" s="469">
        <v>0.10390269987375556</v>
      </c>
      <c r="G671" s="470"/>
      <c r="H671" s="471"/>
    </row>
    <row r="672" spans="1:8" x14ac:dyDescent="0.35">
      <c r="A672" s="467">
        <v>38614</v>
      </c>
      <c r="B672" s="468">
        <v>6.1750473274993167E-2</v>
      </c>
      <c r="C672" s="468">
        <v>8.5739290206094498E-2</v>
      </c>
      <c r="D672" s="469">
        <v>9.9322891266768742E-2</v>
      </c>
      <c r="G672" s="470"/>
      <c r="H672" s="471"/>
    </row>
    <row r="673" spans="1:8" x14ac:dyDescent="0.35">
      <c r="A673" s="467">
        <v>38615</v>
      </c>
      <c r="B673" s="468">
        <v>6.2308328340457964E-2</v>
      </c>
      <c r="C673" s="468">
        <v>8.616033265963452E-2</v>
      </c>
      <c r="D673" s="469">
        <v>0.10053255645825332</v>
      </c>
      <c r="G673" s="470"/>
      <c r="H673" s="471"/>
    </row>
    <row r="674" spans="1:8" x14ac:dyDescent="0.35">
      <c r="A674" s="467">
        <v>38616</v>
      </c>
      <c r="B674" s="468">
        <v>6.1250115815917106E-2</v>
      </c>
      <c r="C674" s="468">
        <v>8.4469658233627731E-2</v>
      </c>
      <c r="D674" s="469">
        <v>9.8994370681404931E-2</v>
      </c>
      <c r="G674" s="470"/>
      <c r="H674" s="471"/>
    </row>
    <row r="675" spans="1:8" x14ac:dyDescent="0.35">
      <c r="A675" s="467">
        <v>38617</v>
      </c>
      <c r="B675" s="468">
        <v>6.0734590983363645E-2</v>
      </c>
      <c r="C675" s="468">
        <v>8.385242639624324E-2</v>
      </c>
      <c r="D675" s="469">
        <v>9.8458589589683232E-2</v>
      </c>
      <c r="G675" s="470"/>
      <c r="H675" s="471"/>
    </row>
    <row r="676" spans="1:8" x14ac:dyDescent="0.35">
      <c r="A676" s="467">
        <v>38618</v>
      </c>
      <c r="B676" s="468">
        <v>5.9978545231945013E-2</v>
      </c>
      <c r="C676" s="468">
        <v>8.2754897559603524E-2</v>
      </c>
      <c r="D676" s="469">
        <v>9.8163361825185591E-2</v>
      </c>
      <c r="G676" s="470"/>
      <c r="H676" s="471"/>
    </row>
    <row r="677" spans="1:8" x14ac:dyDescent="0.35">
      <c r="A677" s="467">
        <v>38621</v>
      </c>
      <c r="B677" s="468">
        <v>5.8093715383672917E-2</v>
      </c>
      <c r="C677" s="468">
        <v>8.1451841347101261E-2</v>
      </c>
      <c r="D677" s="469">
        <v>9.7706117511181745E-2</v>
      </c>
      <c r="G677" s="470"/>
      <c r="H677" s="471"/>
    </row>
    <row r="678" spans="1:8" x14ac:dyDescent="0.35">
      <c r="A678" s="467">
        <v>38622</v>
      </c>
      <c r="B678" s="468">
        <v>5.7944150692156082E-2</v>
      </c>
      <c r="C678" s="468">
        <v>8.0751104906271465E-2</v>
      </c>
      <c r="D678" s="469">
        <v>9.6533980323157742E-2</v>
      </c>
      <c r="G678" s="470"/>
      <c r="H678" s="471"/>
    </row>
    <row r="679" spans="1:8" x14ac:dyDescent="0.35">
      <c r="A679" s="467">
        <v>38623</v>
      </c>
      <c r="B679" s="468">
        <v>5.8174627992194861E-2</v>
      </c>
      <c r="C679" s="468">
        <v>8.0277820124325716E-2</v>
      </c>
      <c r="D679" s="469">
        <v>9.5123170831271198E-2</v>
      </c>
      <c r="G679" s="470"/>
      <c r="H679" s="471"/>
    </row>
    <row r="680" spans="1:8" x14ac:dyDescent="0.35">
      <c r="A680" s="467">
        <v>38624</v>
      </c>
      <c r="B680" s="468">
        <v>5.8441622752119615E-2</v>
      </c>
      <c r="C680" s="468">
        <v>7.8425905419817532E-2</v>
      </c>
      <c r="D680" s="469">
        <v>9.2037545584919167E-2</v>
      </c>
      <c r="G680" s="470"/>
      <c r="H680" s="471"/>
    </row>
    <row r="681" spans="1:8" x14ac:dyDescent="0.35">
      <c r="A681" s="467">
        <v>38625</v>
      </c>
      <c r="B681" s="468">
        <v>5.8266462965801402E-2</v>
      </c>
      <c r="C681" s="468">
        <v>7.6617385291686047E-2</v>
      </c>
      <c r="D681" s="469">
        <v>8.9777470791831293E-2</v>
      </c>
      <c r="G681" s="470"/>
      <c r="H681" s="471"/>
    </row>
    <row r="682" spans="1:8" x14ac:dyDescent="0.35">
      <c r="A682" s="467">
        <v>38628</v>
      </c>
      <c r="B682" s="468">
        <v>6.0440411180413545E-2</v>
      </c>
      <c r="C682" s="468">
        <v>7.6531591504582108E-2</v>
      </c>
      <c r="D682" s="469">
        <v>8.9647608878330676E-2</v>
      </c>
      <c r="G682" s="470"/>
      <c r="H682" s="471"/>
    </row>
    <row r="683" spans="1:8" x14ac:dyDescent="0.35">
      <c r="A683" s="467">
        <v>38629</v>
      </c>
      <c r="B683" s="468">
        <v>5.9224166802378519E-2</v>
      </c>
      <c r="C683" s="468">
        <v>7.5585495654879375E-2</v>
      </c>
      <c r="D683" s="469">
        <v>8.6546991872649137E-2</v>
      </c>
      <c r="G683" s="470"/>
      <c r="H683" s="471"/>
    </row>
    <row r="684" spans="1:8" x14ac:dyDescent="0.35">
      <c r="A684" s="467">
        <v>38630</v>
      </c>
      <c r="B684" s="468">
        <v>6.0129753684382115E-2</v>
      </c>
      <c r="C684" s="468">
        <v>7.7287378110215244E-2</v>
      </c>
      <c r="D684" s="469">
        <v>8.8516181677861017E-2</v>
      </c>
      <c r="G684" s="470"/>
      <c r="H684" s="471"/>
    </row>
    <row r="685" spans="1:8" x14ac:dyDescent="0.35">
      <c r="A685" s="467">
        <v>38631</v>
      </c>
      <c r="B685" s="468">
        <v>6.1420489295648029E-2</v>
      </c>
      <c r="C685" s="468">
        <v>8.0581033739391073E-2</v>
      </c>
      <c r="D685" s="469">
        <v>9.2685578030505145E-2</v>
      </c>
      <c r="G685" s="470"/>
      <c r="H685" s="471"/>
    </row>
    <row r="686" spans="1:8" x14ac:dyDescent="0.35">
      <c r="A686" s="467">
        <v>38632</v>
      </c>
      <c r="B686" s="468">
        <v>6.1504237876020218E-2</v>
      </c>
      <c r="C686" s="468">
        <v>8.3080394670359992E-2</v>
      </c>
      <c r="D686" s="469">
        <v>9.5399201305086168E-2</v>
      </c>
      <c r="G686" s="470"/>
      <c r="H686" s="471"/>
    </row>
    <row r="687" spans="1:8" x14ac:dyDescent="0.35">
      <c r="A687" s="467">
        <v>38635</v>
      </c>
      <c r="B687" s="468">
        <v>6.31607993811234E-2</v>
      </c>
      <c r="C687" s="468">
        <v>8.3286213865256808E-2</v>
      </c>
      <c r="D687" s="469">
        <v>9.5039418692062894E-2</v>
      </c>
      <c r="G687" s="470"/>
      <c r="H687" s="471"/>
    </row>
    <row r="688" spans="1:8" x14ac:dyDescent="0.35">
      <c r="A688" s="467">
        <v>38636</v>
      </c>
      <c r="B688" s="468">
        <v>6.4361555898814871E-2</v>
      </c>
      <c r="C688" s="468">
        <v>8.6212384525832464E-2</v>
      </c>
      <c r="D688" s="469">
        <v>9.7864171413449386E-2</v>
      </c>
      <c r="G688" s="470"/>
      <c r="H688" s="471"/>
    </row>
    <row r="689" spans="1:8" x14ac:dyDescent="0.35">
      <c r="A689" s="467">
        <v>38637</v>
      </c>
      <c r="B689" s="468">
        <v>6.5420057464423476E-2</v>
      </c>
      <c r="C689" s="468">
        <v>8.6755897174634722E-2</v>
      </c>
      <c r="D689" s="469">
        <v>9.7761858024811854E-2</v>
      </c>
      <c r="G689" s="470"/>
      <c r="H689" s="471"/>
    </row>
    <row r="690" spans="1:8" x14ac:dyDescent="0.35">
      <c r="A690" s="467">
        <v>38638</v>
      </c>
      <c r="B690" s="468">
        <v>6.5216585469923594E-2</v>
      </c>
      <c r="C690" s="468">
        <v>8.6462830089591991E-2</v>
      </c>
      <c r="D690" s="469">
        <v>9.7284263472518173E-2</v>
      </c>
      <c r="G690" s="470"/>
      <c r="H690" s="471"/>
    </row>
    <row r="691" spans="1:8" x14ac:dyDescent="0.35">
      <c r="A691" s="467">
        <v>38639</v>
      </c>
      <c r="B691" s="468">
        <v>6.4057184824724445E-2</v>
      </c>
      <c r="C691" s="468">
        <v>8.5709008451301028E-2</v>
      </c>
      <c r="D691" s="469">
        <v>9.7113677509299778E-2</v>
      </c>
      <c r="G691" s="470"/>
      <c r="H691" s="471"/>
    </row>
    <row r="692" spans="1:8" x14ac:dyDescent="0.35">
      <c r="A692" s="467">
        <v>38643</v>
      </c>
      <c r="B692" s="468">
        <v>6.3754270397856638E-2</v>
      </c>
      <c r="C692" s="468">
        <v>8.4434560130910885E-2</v>
      </c>
      <c r="D692" s="469">
        <v>9.4742594104749722E-2</v>
      </c>
      <c r="G692" s="470"/>
      <c r="H692" s="471"/>
    </row>
    <row r="693" spans="1:8" x14ac:dyDescent="0.35">
      <c r="A693" s="467">
        <v>38644</v>
      </c>
      <c r="B693" s="468">
        <v>6.3495673939693686E-2</v>
      </c>
      <c r="C693" s="468">
        <v>8.1864988313244735E-2</v>
      </c>
      <c r="D693" s="469">
        <v>9.1833026332349688E-2</v>
      </c>
      <c r="G693" s="470"/>
      <c r="H693" s="471"/>
    </row>
    <row r="694" spans="1:8" x14ac:dyDescent="0.35">
      <c r="A694" s="467">
        <v>38645</v>
      </c>
      <c r="B694" s="468">
        <v>6.2773633697950526E-2</v>
      </c>
      <c r="C694" s="468">
        <v>8.0229026638395151E-2</v>
      </c>
      <c r="D694" s="469">
        <v>9.0073199377881163E-2</v>
      </c>
      <c r="G694" s="470"/>
      <c r="H694" s="471"/>
    </row>
    <row r="695" spans="1:8" x14ac:dyDescent="0.35">
      <c r="A695" s="467">
        <v>38646</v>
      </c>
      <c r="B695" s="468">
        <v>6.2773445432311226E-2</v>
      </c>
      <c r="C695" s="468">
        <v>8.283264762645981E-2</v>
      </c>
      <c r="D695" s="469">
        <v>9.2753940312780614E-2</v>
      </c>
      <c r="G695" s="470"/>
      <c r="H695" s="471"/>
    </row>
    <row r="696" spans="1:8" x14ac:dyDescent="0.35">
      <c r="A696" s="467">
        <v>38649</v>
      </c>
      <c r="B696" s="468">
        <v>6.2776864237285679E-2</v>
      </c>
      <c r="C696" s="468">
        <v>8.1844897345414669E-2</v>
      </c>
      <c r="D696" s="469">
        <v>9.2339827361377136E-2</v>
      </c>
      <c r="G696" s="470"/>
      <c r="H696" s="471"/>
    </row>
    <row r="697" spans="1:8" x14ac:dyDescent="0.35">
      <c r="A697" s="467">
        <v>38650</v>
      </c>
      <c r="B697" s="468">
        <v>6.2678721733830045E-2</v>
      </c>
      <c r="C697" s="468">
        <v>8.2313678578706195E-2</v>
      </c>
      <c r="D697" s="469">
        <v>9.3076119258050483E-2</v>
      </c>
      <c r="G697" s="470"/>
      <c r="H697" s="471"/>
    </row>
    <row r="698" spans="1:8" x14ac:dyDescent="0.35">
      <c r="A698" s="467">
        <v>38651</v>
      </c>
      <c r="B698" s="468">
        <v>6.2596661168273338E-2</v>
      </c>
      <c r="C698" s="468">
        <v>8.4638624194646184E-2</v>
      </c>
      <c r="D698" s="469">
        <v>9.5141831383035003E-2</v>
      </c>
      <c r="G698" s="470"/>
      <c r="H698" s="471"/>
    </row>
    <row r="699" spans="1:8" x14ac:dyDescent="0.35">
      <c r="A699" s="467">
        <v>38652</v>
      </c>
      <c r="B699" s="468">
        <v>6.3608457129670004E-2</v>
      </c>
      <c r="C699" s="468">
        <v>8.4893246707558268E-2</v>
      </c>
      <c r="D699" s="469">
        <v>9.6288894465514918E-2</v>
      </c>
      <c r="G699" s="470"/>
      <c r="H699" s="471"/>
    </row>
    <row r="700" spans="1:8" x14ac:dyDescent="0.35">
      <c r="A700" s="467">
        <v>38653</v>
      </c>
      <c r="B700" s="468">
        <v>6.3506731595398769E-2</v>
      </c>
      <c r="C700" s="468">
        <v>8.6076434203905761E-2</v>
      </c>
      <c r="D700" s="469">
        <v>9.7874679426827038E-2</v>
      </c>
      <c r="G700" s="470"/>
      <c r="H700" s="471"/>
    </row>
    <row r="701" spans="1:8" x14ac:dyDescent="0.35">
      <c r="A701" s="467">
        <v>38656</v>
      </c>
      <c r="B701" s="468">
        <v>6.3038921886498178E-2</v>
      </c>
      <c r="C701" s="468">
        <v>8.6273643862187832E-2</v>
      </c>
      <c r="D701" s="469">
        <v>9.7632155103513085E-2</v>
      </c>
      <c r="G701" s="470"/>
      <c r="H701" s="471"/>
    </row>
    <row r="702" spans="1:8" x14ac:dyDescent="0.35">
      <c r="A702" s="467">
        <v>38657</v>
      </c>
      <c r="B702" s="468">
        <v>6.3038328927410792E-2</v>
      </c>
      <c r="C702" s="468">
        <v>8.5916414417037235E-2</v>
      </c>
      <c r="D702" s="469">
        <v>9.704642027835586E-2</v>
      </c>
      <c r="G702" s="470"/>
      <c r="H702" s="471"/>
    </row>
    <row r="703" spans="1:8" x14ac:dyDescent="0.35">
      <c r="A703" s="467">
        <v>38658</v>
      </c>
      <c r="B703" s="468">
        <v>6.1904088829623172E-2</v>
      </c>
      <c r="C703" s="468">
        <v>8.6237478474642693E-2</v>
      </c>
      <c r="D703" s="469">
        <v>9.8105163880723545E-2</v>
      </c>
      <c r="G703" s="470"/>
      <c r="H703" s="471"/>
    </row>
    <row r="704" spans="1:8" x14ac:dyDescent="0.35">
      <c r="A704" s="467">
        <v>38659</v>
      </c>
      <c r="B704" s="468">
        <v>6.2043145240246123E-2</v>
      </c>
      <c r="C704" s="468">
        <v>8.6551765481849952E-2</v>
      </c>
      <c r="D704" s="469">
        <v>0.10041749347433671</v>
      </c>
      <c r="G704" s="470"/>
      <c r="H704" s="471"/>
    </row>
    <row r="705" spans="1:8" x14ac:dyDescent="0.35">
      <c r="A705" s="467">
        <v>38660</v>
      </c>
      <c r="B705" s="468">
        <v>6.2720313971464714E-2</v>
      </c>
      <c r="C705" s="468">
        <v>8.7151093135053648E-2</v>
      </c>
      <c r="D705" s="469">
        <v>0.10104533500804846</v>
      </c>
      <c r="G705" s="470"/>
      <c r="H705" s="471"/>
    </row>
    <row r="706" spans="1:8" x14ac:dyDescent="0.35">
      <c r="A706" s="467">
        <v>38664</v>
      </c>
      <c r="B706" s="468">
        <v>6.4434709842846383E-2</v>
      </c>
      <c r="C706" s="468">
        <v>8.7308306569365612E-2</v>
      </c>
      <c r="D706" s="469">
        <v>9.7775152206737603E-2</v>
      </c>
      <c r="G706" s="470"/>
      <c r="H706" s="471"/>
    </row>
    <row r="707" spans="1:8" x14ac:dyDescent="0.35">
      <c r="A707" s="467">
        <v>38665</v>
      </c>
      <c r="B707" s="468">
        <v>6.3630409633303575E-2</v>
      </c>
      <c r="C707" s="468">
        <v>8.6473551788752268E-2</v>
      </c>
      <c r="D707" s="469">
        <v>9.8393288237498044E-2</v>
      </c>
      <c r="G707" s="470"/>
      <c r="H707" s="471"/>
    </row>
    <row r="708" spans="1:8" x14ac:dyDescent="0.35">
      <c r="A708" s="467">
        <v>38666</v>
      </c>
      <c r="B708" s="468">
        <v>6.3566872248101314E-2</v>
      </c>
      <c r="C708" s="468">
        <v>8.6376398249077502E-2</v>
      </c>
      <c r="D708" s="469">
        <v>9.8599486944240367E-2</v>
      </c>
      <c r="G708" s="470"/>
      <c r="H708" s="471"/>
    </row>
    <row r="709" spans="1:8" x14ac:dyDescent="0.35">
      <c r="A709" s="467">
        <v>38667</v>
      </c>
      <c r="B709" s="468">
        <v>6.3253749109158042E-2</v>
      </c>
      <c r="C709" s="468">
        <v>8.6325525461385499E-2</v>
      </c>
      <c r="D709" s="469">
        <v>9.8234972220904604E-2</v>
      </c>
      <c r="G709" s="470"/>
      <c r="H709" s="471"/>
    </row>
    <row r="710" spans="1:8" x14ac:dyDescent="0.35">
      <c r="A710" s="467">
        <v>38671</v>
      </c>
      <c r="B710" s="468">
        <v>6.2818236897471902E-2</v>
      </c>
      <c r="C710" s="468">
        <v>8.6673074534382E-2</v>
      </c>
      <c r="D710" s="469">
        <v>9.9296994668640171E-2</v>
      </c>
      <c r="G710" s="470"/>
      <c r="H710" s="471"/>
    </row>
    <row r="711" spans="1:8" x14ac:dyDescent="0.35">
      <c r="A711" s="467">
        <v>38672</v>
      </c>
      <c r="B711" s="468">
        <v>6.2922175208196318E-2</v>
      </c>
      <c r="C711" s="468">
        <v>8.5921903078516104E-2</v>
      </c>
      <c r="D711" s="469">
        <v>9.7855610911779856E-2</v>
      </c>
      <c r="G711" s="470"/>
      <c r="H711" s="471"/>
    </row>
    <row r="712" spans="1:8" x14ac:dyDescent="0.35">
      <c r="A712" s="467">
        <v>38673</v>
      </c>
      <c r="B712" s="468">
        <v>6.2438507704470014E-2</v>
      </c>
      <c r="C712" s="468">
        <v>8.5553406550838096E-2</v>
      </c>
      <c r="D712" s="469">
        <v>9.717223238371564E-2</v>
      </c>
      <c r="G712" s="470"/>
      <c r="H712" s="471"/>
    </row>
    <row r="713" spans="1:8" x14ac:dyDescent="0.35">
      <c r="A713" s="467">
        <v>38674</v>
      </c>
      <c r="B713" s="468">
        <v>6.2164421786983448E-2</v>
      </c>
      <c r="C713" s="468">
        <v>8.5293593585802796E-2</v>
      </c>
      <c r="D713" s="469">
        <v>9.695635624979948E-2</v>
      </c>
      <c r="G713" s="470"/>
      <c r="H713" s="471"/>
    </row>
    <row r="714" spans="1:8" x14ac:dyDescent="0.35">
      <c r="A714" s="467">
        <v>38677</v>
      </c>
      <c r="B714" s="468">
        <v>6.101969375742744E-2</v>
      </c>
      <c r="C714" s="468">
        <v>8.450220511976414E-2</v>
      </c>
      <c r="D714" s="469">
        <v>9.6073051299300216E-2</v>
      </c>
      <c r="G714" s="470"/>
      <c r="H714" s="471"/>
    </row>
    <row r="715" spans="1:8" x14ac:dyDescent="0.35">
      <c r="A715" s="467">
        <v>38678</v>
      </c>
      <c r="B715" s="468">
        <v>5.8819437137962449E-2</v>
      </c>
      <c r="C715" s="468">
        <v>8.3779243671823433E-2</v>
      </c>
      <c r="D715" s="469">
        <v>9.5325774171522992E-2</v>
      </c>
      <c r="G715" s="470"/>
      <c r="H715" s="471"/>
    </row>
    <row r="716" spans="1:8" x14ac:dyDescent="0.35">
      <c r="A716" s="467">
        <v>38679</v>
      </c>
      <c r="B716" s="468">
        <v>5.7230295601960357E-2</v>
      </c>
      <c r="C716" s="468">
        <v>8.206678351697394E-2</v>
      </c>
      <c r="D716" s="469">
        <v>9.3507801799969092E-2</v>
      </c>
      <c r="G716" s="470"/>
      <c r="H716" s="471"/>
    </row>
    <row r="717" spans="1:8" x14ac:dyDescent="0.35">
      <c r="A717" s="467">
        <v>38680</v>
      </c>
      <c r="B717" s="468">
        <v>5.6942266992981772E-2</v>
      </c>
      <c r="C717" s="468">
        <v>8.1191213405301665E-2</v>
      </c>
      <c r="D717" s="469">
        <v>9.3328467174458973E-2</v>
      </c>
      <c r="G717" s="470"/>
      <c r="H717" s="471"/>
    </row>
    <row r="718" spans="1:8" x14ac:dyDescent="0.35">
      <c r="A718" s="467">
        <v>38681</v>
      </c>
      <c r="B718" s="468">
        <v>5.6123940401116901E-2</v>
      </c>
      <c r="C718" s="468">
        <v>8.1577630648232091E-2</v>
      </c>
      <c r="D718" s="469">
        <v>9.289841795996745E-2</v>
      </c>
      <c r="G718" s="470"/>
      <c r="H718" s="471"/>
    </row>
    <row r="719" spans="1:8" x14ac:dyDescent="0.35">
      <c r="A719" s="467">
        <v>38684</v>
      </c>
      <c r="B719" s="468">
        <v>5.5612553894224259E-2</v>
      </c>
      <c r="C719" s="468">
        <v>8.0536776360746298E-2</v>
      </c>
      <c r="D719" s="469">
        <v>9.2310168689031746E-2</v>
      </c>
      <c r="G719" s="470"/>
      <c r="H719" s="471"/>
    </row>
    <row r="720" spans="1:8" x14ac:dyDescent="0.35">
      <c r="A720" s="467">
        <v>38685</v>
      </c>
      <c r="B720" s="468">
        <v>5.6186354684463868E-2</v>
      </c>
      <c r="C720" s="468">
        <v>8.2653706726391274E-2</v>
      </c>
      <c r="D720" s="469">
        <v>9.5121756009930891E-2</v>
      </c>
      <c r="G720" s="470"/>
      <c r="H720" s="471"/>
    </row>
    <row r="721" spans="1:8" x14ac:dyDescent="0.35">
      <c r="A721" s="467">
        <v>38686</v>
      </c>
      <c r="B721" s="468">
        <v>5.6313844128453194E-2</v>
      </c>
      <c r="C721" s="468">
        <v>8.3505504621772308E-2</v>
      </c>
      <c r="D721" s="469">
        <v>9.6074753106799804E-2</v>
      </c>
      <c r="G721" s="470"/>
      <c r="H721" s="471"/>
    </row>
    <row r="722" spans="1:8" x14ac:dyDescent="0.35">
      <c r="A722" s="467">
        <v>38687</v>
      </c>
      <c r="B722" s="468">
        <v>5.6228972628449725E-2</v>
      </c>
      <c r="C722" s="468">
        <v>8.2249204385431041E-2</v>
      </c>
      <c r="D722" s="469">
        <v>9.4897592408313747E-2</v>
      </c>
      <c r="G722" s="470"/>
      <c r="H722" s="471"/>
    </row>
    <row r="723" spans="1:8" x14ac:dyDescent="0.35">
      <c r="A723" s="467">
        <v>38688</v>
      </c>
      <c r="B723" s="468">
        <v>5.6541653603031206E-2</v>
      </c>
      <c r="C723" s="468">
        <v>8.291020926757886E-2</v>
      </c>
      <c r="D723" s="469">
        <v>9.5312841562982253E-2</v>
      </c>
      <c r="G723" s="470"/>
      <c r="H723" s="471"/>
    </row>
    <row r="724" spans="1:8" x14ac:dyDescent="0.35">
      <c r="A724" s="467">
        <v>38691</v>
      </c>
      <c r="B724" s="468">
        <v>5.7704030119373639E-2</v>
      </c>
      <c r="C724" s="468">
        <v>8.4030707381976155E-2</v>
      </c>
      <c r="D724" s="469">
        <v>9.7272928341401999E-2</v>
      </c>
      <c r="G724" s="470"/>
      <c r="H724" s="471"/>
    </row>
    <row r="725" spans="1:8" x14ac:dyDescent="0.35">
      <c r="A725" s="467">
        <v>38692</v>
      </c>
      <c r="B725" s="468">
        <v>5.7749413530775007E-2</v>
      </c>
      <c r="C725" s="468">
        <v>8.4085242219259282E-2</v>
      </c>
      <c r="D725" s="469">
        <v>9.6388835070213119E-2</v>
      </c>
      <c r="G725" s="470"/>
      <c r="H725" s="471"/>
    </row>
    <row r="726" spans="1:8" x14ac:dyDescent="0.35">
      <c r="A726" s="467">
        <v>38693</v>
      </c>
      <c r="B726" s="468">
        <v>5.8490401857263619E-2</v>
      </c>
      <c r="C726" s="468">
        <v>8.3287502635245092E-2</v>
      </c>
      <c r="D726" s="469">
        <v>9.4910263422264496E-2</v>
      </c>
      <c r="G726" s="470"/>
      <c r="H726" s="471"/>
    </row>
    <row r="727" spans="1:8" x14ac:dyDescent="0.35">
      <c r="A727" s="467">
        <v>38695</v>
      </c>
      <c r="B727" s="468">
        <v>5.8354849696183209E-2</v>
      </c>
      <c r="C727" s="468">
        <v>8.3873760592519941E-2</v>
      </c>
      <c r="D727" s="469">
        <v>9.5839535153964039E-2</v>
      </c>
      <c r="G727" s="470"/>
      <c r="H727" s="471"/>
    </row>
    <row r="728" spans="1:8" x14ac:dyDescent="0.35">
      <c r="A728" s="467">
        <v>38698</v>
      </c>
      <c r="B728" s="468">
        <v>5.8972932959616919E-2</v>
      </c>
      <c r="C728" s="468">
        <v>8.3124775568583997E-2</v>
      </c>
      <c r="D728" s="469">
        <v>9.4608239689125906E-2</v>
      </c>
      <c r="G728" s="470"/>
      <c r="H728" s="471"/>
    </row>
    <row r="729" spans="1:8" x14ac:dyDescent="0.35">
      <c r="A729" s="467">
        <v>38699</v>
      </c>
      <c r="B729" s="468">
        <v>5.9678805230724441E-2</v>
      </c>
      <c r="C729" s="468">
        <v>8.2803134846026971E-2</v>
      </c>
      <c r="D729" s="469">
        <v>9.4125909874267721E-2</v>
      </c>
      <c r="G729" s="470"/>
      <c r="H729" s="471"/>
    </row>
    <row r="730" spans="1:8" x14ac:dyDescent="0.35">
      <c r="A730" s="467">
        <v>38700</v>
      </c>
      <c r="B730" s="468">
        <v>5.969432952960485E-2</v>
      </c>
      <c r="C730" s="468">
        <v>8.2417060883056781E-2</v>
      </c>
      <c r="D730" s="469">
        <v>9.3244293176321769E-2</v>
      </c>
      <c r="G730" s="470"/>
      <c r="H730" s="471"/>
    </row>
    <row r="731" spans="1:8" x14ac:dyDescent="0.35">
      <c r="A731" s="467">
        <v>38701</v>
      </c>
      <c r="B731" s="468">
        <v>5.9749654755141934E-2</v>
      </c>
      <c r="C731" s="468">
        <v>8.2241060052476556E-2</v>
      </c>
      <c r="D731" s="469">
        <v>9.3794001689291306E-2</v>
      </c>
      <c r="G731" s="470"/>
      <c r="H731" s="471"/>
    </row>
    <row r="732" spans="1:8" x14ac:dyDescent="0.35">
      <c r="A732" s="467">
        <v>38702</v>
      </c>
      <c r="B732" s="468">
        <v>5.945082561263404E-2</v>
      </c>
      <c r="C732" s="468">
        <v>8.2214959279740096E-2</v>
      </c>
      <c r="D732" s="469">
        <v>9.3726985144037878E-2</v>
      </c>
      <c r="G732" s="470"/>
      <c r="H732" s="471"/>
    </row>
    <row r="733" spans="1:8" x14ac:dyDescent="0.35">
      <c r="A733" s="467">
        <v>38705</v>
      </c>
      <c r="B733" s="468">
        <v>5.9727777301724849E-2</v>
      </c>
      <c r="C733" s="468">
        <v>8.343366014447362E-2</v>
      </c>
      <c r="D733" s="469">
        <v>9.5009105795499593E-2</v>
      </c>
      <c r="G733" s="470"/>
      <c r="H733" s="471"/>
    </row>
    <row r="734" spans="1:8" x14ac:dyDescent="0.35">
      <c r="A734" s="467">
        <v>38706</v>
      </c>
      <c r="B734" s="468">
        <v>6.0155241080156463E-2</v>
      </c>
      <c r="C734" s="468">
        <v>8.3403233433955615E-2</v>
      </c>
      <c r="D734" s="469">
        <v>9.4747041943943344E-2</v>
      </c>
      <c r="G734" s="470"/>
      <c r="H734" s="471"/>
    </row>
    <row r="735" spans="1:8" x14ac:dyDescent="0.35">
      <c r="A735" s="467">
        <v>38707</v>
      </c>
      <c r="B735" s="468">
        <v>6.0146531217762478E-2</v>
      </c>
      <c r="C735" s="468">
        <v>8.2857178939849119E-2</v>
      </c>
      <c r="D735" s="469">
        <v>9.4230405995716415E-2</v>
      </c>
      <c r="G735" s="470"/>
      <c r="H735" s="471"/>
    </row>
    <row r="736" spans="1:8" x14ac:dyDescent="0.35">
      <c r="A736" s="467">
        <v>38708</v>
      </c>
      <c r="B736" s="468">
        <v>6.0090134972326403E-2</v>
      </c>
      <c r="C736" s="468">
        <v>8.2527631764230946E-2</v>
      </c>
      <c r="D736" s="469">
        <v>9.3762953023607043E-2</v>
      </c>
      <c r="G736" s="470"/>
      <c r="H736" s="471"/>
    </row>
    <row r="737" spans="1:8" x14ac:dyDescent="0.35">
      <c r="A737" s="467">
        <v>38709</v>
      </c>
      <c r="B737" s="468">
        <v>6.0313237266343744E-2</v>
      </c>
      <c r="C737" s="468">
        <v>8.2249007658961704E-2</v>
      </c>
      <c r="D737" s="469">
        <v>9.3327465599159609E-2</v>
      </c>
      <c r="G737" s="470"/>
      <c r="H737" s="471"/>
    </row>
    <row r="738" spans="1:8" x14ac:dyDescent="0.35">
      <c r="A738" s="467">
        <v>38712</v>
      </c>
      <c r="B738" s="468">
        <v>5.8658045487485655E-2</v>
      </c>
      <c r="C738" s="468">
        <v>8.212852198931353E-2</v>
      </c>
      <c r="D738" s="469">
        <v>9.2022093452355902E-2</v>
      </c>
      <c r="G738" s="470"/>
      <c r="H738" s="471"/>
    </row>
    <row r="739" spans="1:8" x14ac:dyDescent="0.35">
      <c r="A739" s="467">
        <v>38713</v>
      </c>
      <c r="B739" s="468">
        <v>6.1517783808510362E-2</v>
      </c>
      <c r="C739" s="468">
        <v>8.1604549681863148E-2</v>
      </c>
      <c r="D739" s="469">
        <v>9.2214530483854196E-2</v>
      </c>
      <c r="G739" s="470"/>
      <c r="H739" s="471"/>
    </row>
    <row r="740" spans="1:8" x14ac:dyDescent="0.35">
      <c r="A740" s="467">
        <v>38714</v>
      </c>
      <c r="B740" s="468">
        <v>6.088292335239931E-2</v>
      </c>
      <c r="C740" s="468">
        <v>8.182812088048852E-2</v>
      </c>
      <c r="D740" s="469">
        <v>9.5163505495525991E-2</v>
      </c>
      <c r="G740" s="470"/>
      <c r="H740" s="471"/>
    </row>
    <row r="741" spans="1:8" x14ac:dyDescent="0.35">
      <c r="A741" s="467">
        <v>38715</v>
      </c>
      <c r="B741" s="468">
        <v>6.0758987283904942E-2</v>
      </c>
      <c r="C741" s="468">
        <v>8.0386834783587657E-2</v>
      </c>
      <c r="D741" s="469">
        <v>9.2743714163597391E-2</v>
      </c>
      <c r="G741" s="470"/>
      <c r="H741" s="471"/>
    </row>
    <row r="742" spans="1:8" x14ac:dyDescent="0.35">
      <c r="A742" s="467">
        <v>38719</v>
      </c>
      <c r="B742" s="468">
        <v>6.0501455329471598E-2</v>
      </c>
      <c r="C742" s="468">
        <v>8.0848421730831843E-2</v>
      </c>
      <c r="D742" s="469">
        <v>9.2078256541338721E-2</v>
      </c>
      <c r="G742" s="470"/>
      <c r="H742" s="471"/>
    </row>
    <row r="743" spans="1:8" x14ac:dyDescent="0.35">
      <c r="A743" s="467">
        <v>38720</v>
      </c>
      <c r="B743" s="468">
        <v>6.0831082669493108E-2</v>
      </c>
      <c r="C743" s="468">
        <v>8.0766561568605511E-2</v>
      </c>
      <c r="D743" s="469">
        <v>9.1749614463364937E-2</v>
      </c>
      <c r="G743" s="470"/>
      <c r="H743" s="471"/>
    </row>
    <row r="744" spans="1:8" x14ac:dyDescent="0.35">
      <c r="A744" s="467">
        <v>38721</v>
      </c>
      <c r="B744" s="468">
        <v>6.0651141838867773E-2</v>
      </c>
      <c r="C744" s="468">
        <v>8.0899951529812775E-2</v>
      </c>
      <c r="D744" s="469">
        <v>9.1818918098258706E-2</v>
      </c>
      <c r="G744" s="470"/>
      <c r="H744" s="471"/>
    </row>
    <row r="745" spans="1:8" x14ac:dyDescent="0.35">
      <c r="A745" s="467">
        <v>38722</v>
      </c>
      <c r="B745" s="468">
        <v>6.0637522559370494E-2</v>
      </c>
      <c r="C745" s="468">
        <v>8.0500034926595188E-2</v>
      </c>
      <c r="D745" s="469">
        <v>9.1341626149970212E-2</v>
      </c>
      <c r="G745" s="470"/>
      <c r="H745" s="471"/>
    </row>
    <row r="746" spans="1:8" x14ac:dyDescent="0.35">
      <c r="A746" s="467">
        <v>38723</v>
      </c>
      <c r="B746" s="468">
        <v>6.0673077387772389E-2</v>
      </c>
      <c r="C746" s="468">
        <v>7.994860196340503E-2</v>
      </c>
      <c r="D746" s="469">
        <v>9.0876936191893742E-2</v>
      </c>
      <c r="G746" s="470"/>
      <c r="H746" s="471"/>
    </row>
    <row r="747" spans="1:8" x14ac:dyDescent="0.35">
      <c r="A747" s="467">
        <v>38727</v>
      </c>
      <c r="B747" s="468">
        <v>6.0850797401181378E-2</v>
      </c>
      <c r="C747" s="468">
        <v>7.9491743611766363E-2</v>
      </c>
      <c r="D747" s="469">
        <v>8.9939894813639398E-2</v>
      </c>
      <c r="G747" s="470"/>
      <c r="H747" s="471"/>
    </row>
    <row r="748" spans="1:8" x14ac:dyDescent="0.35">
      <c r="A748" s="467">
        <v>38728</v>
      </c>
      <c r="B748" s="468">
        <v>6.1074247034988094E-2</v>
      </c>
      <c r="C748" s="468">
        <v>7.8764781212227408E-2</v>
      </c>
      <c r="D748" s="469">
        <v>8.8279599513744866E-2</v>
      </c>
      <c r="G748" s="470"/>
      <c r="H748" s="471"/>
    </row>
    <row r="749" spans="1:8" x14ac:dyDescent="0.35">
      <c r="A749" s="467">
        <v>38729</v>
      </c>
      <c r="B749" s="468">
        <v>6.1218801551980118E-2</v>
      </c>
      <c r="C749" s="468">
        <v>7.8012431781056657E-2</v>
      </c>
      <c r="D749" s="469">
        <v>8.7370282302431601E-2</v>
      </c>
      <c r="G749" s="470"/>
      <c r="H749" s="471"/>
    </row>
    <row r="750" spans="1:8" x14ac:dyDescent="0.35">
      <c r="A750" s="467">
        <v>38730</v>
      </c>
      <c r="B750" s="468">
        <v>6.1093116293470695E-2</v>
      </c>
      <c r="C750" s="468">
        <v>7.7101054727872986E-2</v>
      </c>
      <c r="D750" s="469">
        <v>8.6101761141973876E-2</v>
      </c>
      <c r="G750" s="470"/>
      <c r="H750" s="471"/>
    </row>
    <row r="751" spans="1:8" x14ac:dyDescent="0.35">
      <c r="A751" s="467">
        <v>38733</v>
      </c>
      <c r="B751" s="468">
        <v>6.0967957166376596E-2</v>
      </c>
      <c r="C751" s="468">
        <v>7.6978000014308767E-2</v>
      </c>
      <c r="D751" s="469">
        <v>8.5390854799921367E-2</v>
      </c>
      <c r="G751" s="470"/>
      <c r="H751" s="471"/>
    </row>
    <row r="752" spans="1:8" x14ac:dyDescent="0.35">
      <c r="A752" s="467">
        <v>38734</v>
      </c>
      <c r="B752" s="468">
        <v>6.1249983513528949E-2</v>
      </c>
      <c r="C752" s="468">
        <v>7.6871893616640596E-2</v>
      </c>
      <c r="D752" s="469">
        <v>8.5703209261468905E-2</v>
      </c>
      <c r="G752" s="470"/>
      <c r="H752" s="471"/>
    </row>
    <row r="753" spans="1:8" x14ac:dyDescent="0.35">
      <c r="A753" s="467">
        <v>38735</v>
      </c>
      <c r="B753" s="468">
        <v>6.1229488461073345E-2</v>
      </c>
      <c r="C753" s="468">
        <v>7.6706712044975145E-2</v>
      </c>
      <c r="D753" s="469">
        <v>8.5222352505488708E-2</v>
      </c>
      <c r="G753" s="470"/>
      <c r="H753" s="471"/>
    </row>
    <row r="754" spans="1:8" x14ac:dyDescent="0.35">
      <c r="A754" s="467">
        <v>38736</v>
      </c>
      <c r="B754" s="468">
        <v>6.1205186637168563E-2</v>
      </c>
      <c r="C754" s="468">
        <v>7.6930327075294347E-2</v>
      </c>
      <c r="D754" s="469">
        <v>8.5468327496475816E-2</v>
      </c>
      <c r="G754" s="470"/>
      <c r="H754" s="471"/>
    </row>
    <row r="755" spans="1:8" x14ac:dyDescent="0.35">
      <c r="A755" s="467">
        <v>38737</v>
      </c>
      <c r="B755" s="468">
        <v>6.1140761193289261E-2</v>
      </c>
      <c r="C755" s="468">
        <v>7.5863811532241865E-2</v>
      </c>
      <c r="D755" s="469">
        <v>8.479505263688436E-2</v>
      </c>
      <c r="G755" s="470"/>
      <c r="H755" s="471"/>
    </row>
    <row r="756" spans="1:8" x14ac:dyDescent="0.35">
      <c r="A756" s="467">
        <v>38740</v>
      </c>
      <c r="B756" s="468">
        <v>6.1183772111770951E-2</v>
      </c>
      <c r="C756" s="468">
        <v>7.5629962005931972E-2</v>
      </c>
      <c r="D756" s="469">
        <v>8.4478587015639484E-2</v>
      </c>
      <c r="G756" s="470"/>
      <c r="H756" s="471"/>
    </row>
    <row r="757" spans="1:8" x14ac:dyDescent="0.35">
      <c r="A757" s="467">
        <v>38741</v>
      </c>
      <c r="B757" s="468">
        <v>6.0813993963155566E-2</v>
      </c>
      <c r="C757" s="468">
        <v>7.5072917012774187E-2</v>
      </c>
      <c r="D757" s="469">
        <v>8.3568450329682076E-2</v>
      </c>
      <c r="G757" s="470"/>
      <c r="H757" s="471"/>
    </row>
    <row r="758" spans="1:8" x14ac:dyDescent="0.35">
      <c r="A758" s="467">
        <v>38742</v>
      </c>
      <c r="B758" s="468">
        <v>6.0746097100631724E-2</v>
      </c>
      <c r="C758" s="468">
        <v>7.5263780990030282E-2</v>
      </c>
      <c r="D758" s="469">
        <v>8.4088697484429709E-2</v>
      </c>
      <c r="G758" s="470"/>
      <c r="H758" s="471"/>
    </row>
    <row r="759" spans="1:8" x14ac:dyDescent="0.35">
      <c r="A759" s="467">
        <v>38743</v>
      </c>
      <c r="B759" s="468">
        <v>6.0485534628745841E-2</v>
      </c>
      <c r="C759" s="468">
        <v>7.6005252720244609E-2</v>
      </c>
      <c r="D759" s="469">
        <v>8.4782281857258113E-2</v>
      </c>
      <c r="G759" s="470"/>
      <c r="H759" s="471"/>
    </row>
    <row r="760" spans="1:8" x14ac:dyDescent="0.35">
      <c r="A760" s="467">
        <v>38744</v>
      </c>
      <c r="B760" s="468">
        <v>6.0649803093134169E-2</v>
      </c>
      <c r="C760" s="468">
        <v>7.4616468304131489E-2</v>
      </c>
      <c r="D760" s="469">
        <v>8.355480115954772E-2</v>
      </c>
      <c r="G760" s="470"/>
      <c r="H760" s="471"/>
    </row>
    <row r="761" spans="1:8" x14ac:dyDescent="0.35">
      <c r="A761" s="467">
        <v>38747</v>
      </c>
      <c r="B761" s="468">
        <v>6.0497336944334013E-2</v>
      </c>
      <c r="C761" s="468">
        <v>7.5155081177212368E-2</v>
      </c>
      <c r="D761" s="469">
        <v>8.405350686719415E-2</v>
      </c>
      <c r="G761" s="470"/>
      <c r="H761" s="471"/>
    </row>
    <row r="762" spans="1:8" x14ac:dyDescent="0.35">
      <c r="A762" s="467">
        <v>38748</v>
      </c>
      <c r="B762" s="468">
        <v>6.0649698166119759E-2</v>
      </c>
      <c r="C762" s="468">
        <v>7.5223953146073219E-2</v>
      </c>
      <c r="D762" s="469">
        <v>8.426220522334682E-2</v>
      </c>
      <c r="G762" s="470"/>
      <c r="H762" s="471"/>
    </row>
    <row r="763" spans="1:8" x14ac:dyDescent="0.35">
      <c r="A763" s="467">
        <v>38749</v>
      </c>
      <c r="B763" s="468">
        <v>6.0556393833864242E-2</v>
      </c>
      <c r="C763" s="468">
        <v>7.5289655462316141E-2</v>
      </c>
      <c r="D763" s="469">
        <v>8.4290307414538468E-2</v>
      </c>
      <c r="G763" s="470"/>
      <c r="H763" s="471"/>
    </row>
    <row r="764" spans="1:8" x14ac:dyDescent="0.35">
      <c r="A764" s="467">
        <v>38750</v>
      </c>
      <c r="B764" s="468">
        <v>6.0548928989040851E-2</v>
      </c>
      <c r="C764" s="468">
        <v>7.4137954338959977E-2</v>
      </c>
      <c r="D764" s="469">
        <v>8.3506300400300493E-2</v>
      </c>
      <c r="G764" s="470"/>
      <c r="H764" s="471"/>
    </row>
    <row r="765" spans="1:8" x14ac:dyDescent="0.35">
      <c r="A765" s="467">
        <v>38754</v>
      </c>
      <c r="B765" s="468">
        <v>6.0806623840115925E-2</v>
      </c>
      <c r="C765" s="468">
        <v>7.3993646781467248E-2</v>
      </c>
      <c r="D765" s="469">
        <v>8.2594136699482457E-2</v>
      </c>
      <c r="G765" s="470"/>
      <c r="H765" s="471"/>
    </row>
    <row r="766" spans="1:8" x14ac:dyDescent="0.35">
      <c r="A766" s="467">
        <v>38755</v>
      </c>
      <c r="B766" s="468">
        <v>6.0858260639687911E-2</v>
      </c>
      <c r="C766" s="468">
        <v>7.3344938743548749E-2</v>
      </c>
      <c r="D766" s="469">
        <v>8.1445088773887786E-2</v>
      </c>
      <c r="G766" s="470"/>
      <c r="H766" s="471"/>
    </row>
    <row r="767" spans="1:8" x14ac:dyDescent="0.35">
      <c r="A767" s="467">
        <v>38756</v>
      </c>
      <c r="B767" s="468">
        <v>6.0558757314605582E-2</v>
      </c>
      <c r="C767" s="468">
        <v>7.3469925646143075E-2</v>
      </c>
      <c r="D767" s="469">
        <v>8.0480204846878456E-2</v>
      </c>
      <c r="G767" s="470"/>
      <c r="H767" s="471"/>
    </row>
    <row r="768" spans="1:8" x14ac:dyDescent="0.35">
      <c r="A768" s="467">
        <v>38757</v>
      </c>
      <c r="B768" s="468">
        <v>6.0481182431678437E-2</v>
      </c>
      <c r="C768" s="468">
        <v>7.2617520413504444E-2</v>
      </c>
      <c r="D768" s="469">
        <v>7.9532414786912531E-2</v>
      </c>
      <c r="G768" s="470"/>
      <c r="H768" s="471"/>
    </row>
    <row r="769" spans="1:8" x14ac:dyDescent="0.35">
      <c r="A769" s="467">
        <v>38758</v>
      </c>
      <c r="B769" s="468">
        <v>6.0590174915611472E-2</v>
      </c>
      <c r="C769" s="468">
        <v>7.2389309754583575E-2</v>
      </c>
      <c r="D769" s="469">
        <v>7.8566651062582205E-2</v>
      </c>
      <c r="G769" s="470"/>
      <c r="H769" s="471"/>
    </row>
    <row r="770" spans="1:8" x14ac:dyDescent="0.35">
      <c r="A770" s="467">
        <v>38761</v>
      </c>
      <c r="B770" s="468">
        <v>6.0735491201225233E-2</v>
      </c>
      <c r="C770" s="468">
        <v>7.1595239122836052E-2</v>
      </c>
      <c r="D770" s="469">
        <v>7.8552507427421592E-2</v>
      </c>
      <c r="G770" s="470"/>
      <c r="H770" s="471"/>
    </row>
    <row r="771" spans="1:8" x14ac:dyDescent="0.35">
      <c r="A771" s="467">
        <v>38762</v>
      </c>
      <c r="B771" s="468">
        <v>6.0812484826085367E-2</v>
      </c>
      <c r="C771" s="468">
        <v>7.1224491079829866E-2</v>
      </c>
      <c r="D771" s="469">
        <v>7.7956464262223468E-2</v>
      </c>
      <c r="G771" s="470"/>
      <c r="H771" s="471"/>
    </row>
    <row r="772" spans="1:8" x14ac:dyDescent="0.35">
      <c r="A772" s="467">
        <v>38763</v>
      </c>
      <c r="B772" s="468">
        <v>6.0700015097626681E-2</v>
      </c>
      <c r="C772" s="468">
        <v>7.1328086487847386E-2</v>
      </c>
      <c r="D772" s="469">
        <v>7.7986696051465687E-2</v>
      </c>
      <c r="G772" s="470"/>
      <c r="H772" s="471"/>
    </row>
    <row r="773" spans="1:8" x14ac:dyDescent="0.35">
      <c r="A773" s="467">
        <v>38764</v>
      </c>
      <c r="B773" s="468">
        <v>6.0358312638238765E-2</v>
      </c>
      <c r="C773" s="468">
        <v>7.1085010418165506E-2</v>
      </c>
      <c r="D773" s="469">
        <v>7.7458198638467923E-2</v>
      </c>
      <c r="G773" s="470"/>
      <c r="H773" s="471"/>
    </row>
    <row r="774" spans="1:8" x14ac:dyDescent="0.35">
      <c r="A774" s="467">
        <v>38765</v>
      </c>
      <c r="B774" s="468">
        <v>6.0287304441515088E-2</v>
      </c>
      <c r="C774" s="468">
        <v>7.0110815660095138E-2</v>
      </c>
      <c r="D774" s="469">
        <v>7.6972918312863348E-2</v>
      </c>
      <c r="G774" s="470"/>
      <c r="H774" s="471"/>
    </row>
    <row r="775" spans="1:8" x14ac:dyDescent="0.35">
      <c r="A775" s="467">
        <v>38768</v>
      </c>
      <c r="B775" s="468">
        <v>6.0288128828172027E-2</v>
      </c>
      <c r="C775" s="468">
        <v>6.9815140899935901E-2</v>
      </c>
      <c r="D775" s="469">
        <v>7.6629247665277678E-2</v>
      </c>
      <c r="G775" s="470"/>
      <c r="H775" s="471"/>
    </row>
    <row r="776" spans="1:8" x14ac:dyDescent="0.35">
      <c r="A776" s="467">
        <v>38769</v>
      </c>
      <c r="B776" s="468">
        <v>6.0172965461096517E-2</v>
      </c>
      <c r="C776" s="468">
        <v>6.9615741127501352E-2</v>
      </c>
      <c r="D776" s="469">
        <v>7.6701831769949047E-2</v>
      </c>
      <c r="G776" s="470"/>
      <c r="H776" s="471"/>
    </row>
    <row r="777" spans="1:8" x14ac:dyDescent="0.35">
      <c r="A777" s="467">
        <v>38770</v>
      </c>
      <c r="B777" s="468">
        <v>6.0092427320640462E-2</v>
      </c>
      <c r="C777" s="468">
        <v>6.9378326202151452E-2</v>
      </c>
      <c r="D777" s="469">
        <v>7.6490141071163809E-2</v>
      </c>
      <c r="G777" s="470"/>
      <c r="H777" s="471"/>
    </row>
    <row r="778" spans="1:8" x14ac:dyDescent="0.35">
      <c r="A778" s="467">
        <v>38771</v>
      </c>
      <c r="B778" s="468">
        <v>6.0072749921540547E-2</v>
      </c>
      <c r="C778" s="468">
        <v>6.8122573705060807E-2</v>
      </c>
      <c r="D778" s="469">
        <v>7.4018667114136516E-2</v>
      </c>
      <c r="G778" s="470"/>
      <c r="H778" s="471"/>
    </row>
    <row r="779" spans="1:8" x14ac:dyDescent="0.35">
      <c r="A779" s="467">
        <v>38772</v>
      </c>
      <c r="B779" s="468">
        <v>5.994903390207762E-2</v>
      </c>
      <c r="C779" s="468">
        <v>6.792424732281277E-2</v>
      </c>
      <c r="D779" s="469">
        <v>7.3400191076227195E-2</v>
      </c>
      <c r="G779" s="470"/>
      <c r="H779" s="471"/>
    </row>
    <row r="780" spans="1:8" x14ac:dyDescent="0.35">
      <c r="A780" s="467">
        <v>38775</v>
      </c>
      <c r="B780" s="468">
        <v>6.0070832568700716E-2</v>
      </c>
      <c r="C780" s="468">
        <v>6.8182860550300983E-2</v>
      </c>
      <c r="D780" s="469">
        <v>7.3170033114201116E-2</v>
      </c>
      <c r="G780" s="470"/>
      <c r="H780" s="471"/>
    </row>
    <row r="781" spans="1:8" x14ac:dyDescent="0.35">
      <c r="A781" s="467">
        <v>38776</v>
      </c>
      <c r="B781" s="468">
        <v>6.0172204936598916E-2</v>
      </c>
      <c r="C781" s="468">
        <v>6.812072469224506E-2</v>
      </c>
      <c r="D781" s="469">
        <v>7.2783680652063643E-2</v>
      </c>
      <c r="G781" s="470"/>
      <c r="H781" s="471"/>
    </row>
    <row r="782" spans="1:8" x14ac:dyDescent="0.35">
      <c r="A782" s="467">
        <v>38777</v>
      </c>
      <c r="B782" s="468">
        <v>6.0725641652167095E-2</v>
      </c>
      <c r="C782" s="468">
        <v>6.8092463603263154E-2</v>
      </c>
      <c r="D782" s="469">
        <v>7.2298289527978676E-2</v>
      </c>
      <c r="G782" s="470"/>
      <c r="H782" s="471"/>
    </row>
    <row r="783" spans="1:8" x14ac:dyDescent="0.35">
      <c r="A783" s="467">
        <v>38778</v>
      </c>
      <c r="B783" s="468">
        <v>6.0685749988882653E-2</v>
      </c>
      <c r="C783" s="468">
        <v>6.8737928306005003E-2</v>
      </c>
      <c r="D783" s="469">
        <v>7.3499035612033081E-2</v>
      </c>
      <c r="G783" s="470"/>
      <c r="H783" s="471"/>
    </row>
    <row r="784" spans="1:8" x14ac:dyDescent="0.35">
      <c r="A784" s="467">
        <v>38779</v>
      </c>
      <c r="B784" s="468">
        <v>6.1064413458578715E-2</v>
      </c>
      <c r="C784" s="468">
        <v>7.0062508585697625E-2</v>
      </c>
      <c r="D784" s="469">
        <v>7.4773883598452828E-2</v>
      </c>
      <c r="G784" s="470"/>
      <c r="H784" s="471"/>
    </row>
    <row r="785" spans="1:8" x14ac:dyDescent="0.35">
      <c r="A785" s="467">
        <v>38782</v>
      </c>
      <c r="B785" s="468">
        <v>6.1836265447239303E-2</v>
      </c>
      <c r="C785" s="468">
        <v>7.118788381316965E-2</v>
      </c>
      <c r="D785" s="469">
        <v>7.6612041538834719E-2</v>
      </c>
      <c r="G785" s="470"/>
      <c r="H785" s="471"/>
    </row>
    <row r="786" spans="1:8" x14ac:dyDescent="0.35">
      <c r="A786" s="467">
        <v>38783</v>
      </c>
      <c r="B786" s="468">
        <v>6.2414444094666344E-2</v>
      </c>
      <c r="C786" s="468">
        <v>7.2122939288690846E-2</v>
      </c>
      <c r="D786" s="469">
        <v>7.7443081813984849E-2</v>
      </c>
      <c r="G786" s="470"/>
      <c r="H786" s="471"/>
    </row>
    <row r="787" spans="1:8" x14ac:dyDescent="0.35">
      <c r="A787" s="467">
        <v>38784</v>
      </c>
      <c r="B787" s="468">
        <v>6.253157862910208E-2</v>
      </c>
      <c r="C787" s="468">
        <v>7.1574797757250286E-2</v>
      </c>
      <c r="D787" s="469">
        <v>7.6306029617757343E-2</v>
      </c>
      <c r="G787" s="470"/>
      <c r="H787" s="471"/>
    </row>
    <row r="788" spans="1:8" x14ac:dyDescent="0.35">
      <c r="A788" s="467">
        <v>38785</v>
      </c>
      <c r="B788" s="468">
        <v>6.2331823600526137E-2</v>
      </c>
      <c r="C788" s="468">
        <v>7.140793743313667E-2</v>
      </c>
      <c r="D788" s="469">
        <v>7.6665819313197492E-2</v>
      </c>
      <c r="G788" s="470"/>
      <c r="H788" s="471"/>
    </row>
    <row r="789" spans="1:8" x14ac:dyDescent="0.35">
      <c r="A789" s="467">
        <v>38786</v>
      </c>
      <c r="B789" s="468">
        <v>6.2423366363451249E-2</v>
      </c>
      <c r="C789" s="468">
        <v>7.2726224906768167E-2</v>
      </c>
      <c r="D789" s="469">
        <v>7.897776050794092E-2</v>
      </c>
      <c r="G789" s="470"/>
      <c r="H789" s="471"/>
    </row>
    <row r="790" spans="1:8" x14ac:dyDescent="0.35">
      <c r="A790" s="467">
        <v>38789</v>
      </c>
      <c r="B790" s="468">
        <v>6.2607240566205924E-2</v>
      </c>
      <c r="C790" s="468">
        <v>7.3444147288410422E-2</v>
      </c>
      <c r="D790" s="469">
        <v>7.8949219271231108E-2</v>
      </c>
      <c r="G790" s="470"/>
      <c r="H790" s="471"/>
    </row>
    <row r="791" spans="1:8" x14ac:dyDescent="0.35">
      <c r="A791" s="467">
        <v>38790</v>
      </c>
      <c r="B791" s="468">
        <v>6.1989548439936204E-2</v>
      </c>
      <c r="C791" s="468">
        <v>7.218636086056307E-2</v>
      </c>
      <c r="D791" s="469">
        <v>7.7482607052796748E-2</v>
      </c>
      <c r="G791" s="470"/>
      <c r="H791" s="471"/>
    </row>
    <row r="792" spans="1:8" x14ac:dyDescent="0.35">
      <c r="A792" s="467">
        <v>38791</v>
      </c>
      <c r="B792" s="468">
        <v>6.2256166798515089E-2</v>
      </c>
      <c r="C792" s="468">
        <v>7.1426184706301132E-2</v>
      </c>
      <c r="D792" s="469">
        <v>7.6293817644923489E-2</v>
      </c>
      <c r="G792" s="470"/>
      <c r="H792" s="471"/>
    </row>
    <row r="793" spans="1:8" x14ac:dyDescent="0.35">
      <c r="A793" s="467">
        <v>38792</v>
      </c>
      <c r="B793" s="468">
        <v>6.2011239150606023E-2</v>
      </c>
      <c r="C793" s="468">
        <v>7.0439193061170524E-2</v>
      </c>
      <c r="D793" s="469">
        <v>7.4923163532512493E-2</v>
      </c>
      <c r="G793" s="470"/>
      <c r="H793" s="471"/>
    </row>
    <row r="794" spans="1:8" x14ac:dyDescent="0.35">
      <c r="A794" s="467">
        <v>38793</v>
      </c>
      <c r="B794" s="468">
        <v>6.2342982003503078E-2</v>
      </c>
      <c r="C794" s="468">
        <v>7.0515226404229026E-2</v>
      </c>
      <c r="D794" s="469">
        <v>7.4632893232087216E-2</v>
      </c>
      <c r="G794" s="470"/>
      <c r="H794" s="471"/>
    </row>
    <row r="795" spans="1:8" x14ac:dyDescent="0.35">
      <c r="A795" s="467">
        <v>38797</v>
      </c>
      <c r="B795" s="468">
        <v>6.2386131563465952E-2</v>
      </c>
      <c r="C795" s="468">
        <v>7.114709126829899E-2</v>
      </c>
      <c r="D795" s="469">
        <v>7.5445807520869712E-2</v>
      </c>
      <c r="G795" s="470"/>
      <c r="H795" s="471"/>
    </row>
    <row r="796" spans="1:8" x14ac:dyDescent="0.35">
      <c r="A796" s="467">
        <v>38798</v>
      </c>
      <c r="B796" s="468">
        <v>6.1904123612381179E-2</v>
      </c>
      <c r="C796" s="468">
        <v>7.2173210674952859E-2</v>
      </c>
      <c r="D796" s="469">
        <v>7.6752849345281593E-2</v>
      </c>
      <c r="G796" s="470"/>
      <c r="H796" s="471"/>
    </row>
    <row r="797" spans="1:8" x14ac:dyDescent="0.35">
      <c r="A797" s="467">
        <v>38799</v>
      </c>
      <c r="B797" s="468">
        <v>6.2184700982226948E-2</v>
      </c>
      <c r="C797" s="468">
        <v>7.237010092374474E-2</v>
      </c>
      <c r="D797" s="469">
        <v>7.7393081468342562E-2</v>
      </c>
      <c r="G797" s="470"/>
      <c r="H797" s="471"/>
    </row>
    <row r="798" spans="1:8" x14ac:dyDescent="0.35">
      <c r="A798" s="467">
        <v>38800</v>
      </c>
      <c r="B798" s="468">
        <v>6.2592834213271109E-2</v>
      </c>
      <c r="C798" s="468">
        <v>7.2508910601879251E-2</v>
      </c>
      <c r="D798" s="469">
        <v>7.7162279468539818E-2</v>
      </c>
      <c r="G798" s="470"/>
      <c r="H798" s="471"/>
    </row>
    <row r="799" spans="1:8" x14ac:dyDescent="0.35">
      <c r="A799" s="467">
        <v>38803</v>
      </c>
      <c r="B799" s="468">
        <v>6.2336702508934305E-2</v>
      </c>
      <c r="C799" s="468">
        <v>7.2703942456412207E-2</v>
      </c>
      <c r="D799" s="469">
        <v>7.6974952345908232E-2</v>
      </c>
      <c r="G799" s="470"/>
      <c r="H799" s="471"/>
    </row>
    <row r="800" spans="1:8" x14ac:dyDescent="0.35">
      <c r="A800" s="467">
        <v>38804</v>
      </c>
      <c r="B800" s="468">
        <v>6.2703244939780189E-2</v>
      </c>
      <c r="C800" s="468">
        <v>7.2726792596365941E-2</v>
      </c>
      <c r="D800" s="469">
        <v>7.7456083890382388E-2</v>
      </c>
      <c r="G800" s="470"/>
      <c r="H800" s="471"/>
    </row>
    <row r="801" spans="1:8" x14ac:dyDescent="0.35">
      <c r="A801" s="467">
        <v>38805</v>
      </c>
      <c r="B801" s="468">
        <v>6.2710747291697677E-2</v>
      </c>
      <c r="C801" s="468">
        <v>7.3088946005407385E-2</v>
      </c>
      <c r="D801" s="469">
        <v>7.761839409650606E-2</v>
      </c>
      <c r="G801" s="470"/>
      <c r="H801" s="471"/>
    </row>
    <row r="802" spans="1:8" x14ac:dyDescent="0.35">
      <c r="A802" s="467">
        <v>38806</v>
      </c>
      <c r="B802" s="468">
        <v>6.2623381323549943E-2</v>
      </c>
      <c r="C802" s="468">
        <v>7.3360465491682625E-2</v>
      </c>
      <c r="D802" s="469">
        <v>7.8570937837733279E-2</v>
      </c>
      <c r="G802" s="470"/>
      <c r="H802" s="471"/>
    </row>
    <row r="803" spans="1:8" x14ac:dyDescent="0.35">
      <c r="A803" s="467">
        <v>38807</v>
      </c>
      <c r="B803" s="468">
        <v>6.2566340641214024E-2</v>
      </c>
      <c r="C803" s="468">
        <v>7.3057603243479319E-2</v>
      </c>
      <c r="D803" s="469">
        <v>7.8608654711656012E-2</v>
      </c>
      <c r="G803" s="470"/>
      <c r="H803" s="471"/>
    </row>
    <row r="804" spans="1:8" x14ac:dyDescent="0.35">
      <c r="A804" s="467">
        <v>38810</v>
      </c>
      <c r="B804" s="468">
        <v>6.2486026873453282E-2</v>
      </c>
      <c r="C804" s="468">
        <v>7.3402374781552426E-2</v>
      </c>
      <c r="D804" s="469">
        <v>7.9723218540823648E-2</v>
      </c>
      <c r="G804" s="470"/>
      <c r="H804" s="471"/>
    </row>
    <row r="805" spans="1:8" x14ac:dyDescent="0.35">
      <c r="A805" s="467">
        <v>38811</v>
      </c>
      <c r="B805" s="468">
        <v>6.2740572865004562E-2</v>
      </c>
      <c r="C805" s="468">
        <v>7.3595370675418215E-2</v>
      </c>
      <c r="D805" s="469">
        <v>7.9556293471752859E-2</v>
      </c>
      <c r="G805" s="470"/>
      <c r="H805" s="471"/>
    </row>
    <row r="806" spans="1:8" x14ac:dyDescent="0.35">
      <c r="A806" s="467">
        <v>38812</v>
      </c>
      <c r="B806" s="468">
        <v>6.2454291801061768E-2</v>
      </c>
      <c r="C806" s="468">
        <v>7.4172565578358274E-2</v>
      </c>
      <c r="D806" s="469">
        <v>8.0134500240944595E-2</v>
      </c>
      <c r="G806" s="470"/>
      <c r="H806" s="471"/>
    </row>
    <row r="807" spans="1:8" x14ac:dyDescent="0.35">
      <c r="A807" s="467">
        <v>38813</v>
      </c>
      <c r="B807" s="468">
        <v>6.3028743342834259E-2</v>
      </c>
      <c r="C807" s="468">
        <v>7.4819143748172445E-2</v>
      </c>
      <c r="D807" s="469">
        <v>8.1780966985310011E-2</v>
      </c>
      <c r="G807" s="470"/>
      <c r="H807" s="471"/>
    </row>
    <row r="808" spans="1:8" x14ac:dyDescent="0.35">
      <c r="A808" s="467">
        <v>38814</v>
      </c>
      <c r="B808" s="468">
        <v>6.2535788836510564E-2</v>
      </c>
      <c r="C808" s="468">
        <v>7.730649768524045E-2</v>
      </c>
      <c r="D808" s="469">
        <v>8.4546648554706394E-2</v>
      </c>
      <c r="G808" s="470"/>
      <c r="H808" s="471"/>
    </row>
    <row r="809" spans="1:8" x14ac:dyDescent="0.35">
      <c r="A809" s="467">
        <v>38817</v>
      </c>
      <c r="B809" s="468">
        <v>6.3364686083347666E-2</v>
      </c>
      <c r="C809" s="468">
        <v>7.9152869716173635E-2</v>
      </c>
      <c r="D809" s="469">
        <v>8.6123433458451082E-2</v>
      </c>
      <c r="G809" s="470"/>
      <c r="H809" s="471"/>
    </row>
    <row r="810" spans="1:8" x14ac:dyDescent="0.35">
      <c r="A810" s="467">
        <v>38818</v>
      </c>
      <c r="B810" s="468">
        <v>6.3198314993456739E-2</v>
      </c>
      <c r="C810" s="468">
        <v>7.9044172444620253E-2</v>
      </c>
      <c r="D810" s="469">
        <v>8.5861477087606497E-2</v>
      </c>
      <c r="G810" s="470"/>
      <c r="H810" s="471"/>
    </row>
    <row r="811" spans="1:8" x14ac:dyDescent="0.35">
      <c r="A811" s="467">
        <v>38819</v>
      </c>
      <c r="B811" s="468">
        <v>6.3223252010062181E-2</v>
      </c>
      <c r="C811" s="468">
        <v>7.9503282132395547E-2</v>
      </c>
      <c r="D811" s="469">
        <v>8.5645334460098033E-2</v>
      </c>
      <c r="G811" s="470"/>
      <c r="H811" s="471"/>
    </row>
    <row r="812" spans="1:8" x14ac:dyDescent="0.35">
      <c r="A812" s="467">
        <v>38824</v>
      </c>
      <c r="B812" s="468">
        <v>6.4154961477890016E-2</v>
      </c>
      <c r="C812" s="468">
        <v>8.3445498487174641E-2</v>
      </c>
      <c r="D812" s="469">
        <v>9.0993346574732792E-2</v>
      </c>
      <c r="G812" s="470"/>
      <c r="H812" s="471"/>
    </row>
    <row r="813" spans="1:8" x14ac:dyDescent="0.35">
      <c r="A813" s="467">
        <v>38825</v>
      </c>
      <c r="B813" s="468">
        <v>6.3997824446701435E-2</v>
      </c>
      <c r="C813" s="468">
        <v>8.3188651052719331E-2</v>
      </c>
      <c r="D813" s="469">
        <v>9.0264334199915641E-2</v>
      </c>
      <c r="G813" s="470"/>
      <c r="H813" s="471"/>
    </row>
    <row r="814" spans="1:8" x14ac:dyDescent="0.35">
      <c r="A814" s="467">
        <v>38826</v>
      </c>
      <c r="B814" s="468">
        <v>6.3623293122527347E-2</v>
      </c>
      <c r="C814" s="468">
        <v>8.1997678184318357E-2</v>
      </c>
      <c r="D814" s="469">
        <v>8.8968043280454712E-2</v>
      </c>
      <c r="G814" s="470"/>
      <c r="H814" s="471"/>
    </row>
    <row r="815" spans="1:8" x14ac:dyDescent="0.35">
      <c r="A815" s="467">
        <v>38828</v>
      </c>
      <c r="B815" s="468">
        <v>6.3495187824368138E-2</v>
      </c>
      <c r="C815" s="468">
        <v>8.0743918260771874E-2</v>
      </c>
      <c r="D815" s="469">
        <v>8.5820023921620248E-2</v>
      </c>
      <c r="G815" s="470"/>
      <c r="H815" s="471"/>
    </row>
    <row r="816" spans="1:8" x14ac:dyDescent="0.35">
      <c r="A816" s="467">
        <v>38831</v>
      </c>
      <c r="B816" s="468">
        <v>6.3300874233646498E-2</v>
      </c>
      <c r="C816" s="468">
        <v>7.9900711847700423E-2</v>
      </c>
      <c r="D816" s="469">
        <v>8.5298248939775112E-2</v>
      </c>
      <c r="G816" s="470"/>
      <c r="H816" s="471"/>
    </row>
    <row r="817" spans="1:8" x14ac:dyDescent="0.35">
      <c r="A817" s="467">
        <v>38832</v>
      </c>
      <c r="B817" s="468">
        <v>6.4080607466195927E-2</v>
      </c>
      <c r="C817" s="468">
        <v>8.2992550793746567E-2</v>
      </c>
      <c r="D817" s="469">
        <v>8.9410644973246134E-2</v>
      </c>
      <c r="G817" s="470"/>
      <c r="H817" s="471"/>
    </row>
    <row r="818" spans="1:8" x14ac:dyDescent="0.35">
      <c r="A818" s="467">
        <v>38833</v>
      </c>
      <c r="B818" s="468">
        <v>6.4737754716728713E-2</v>
      </c>
      <c r="C818" s="468">
        <v>8.4835661993719835E-2</v>
      </c>
      <c r="D818" s="469">
        <v>9.235755909017862E-2</v>
      </c>
      <c r="G818" s="470"/>
      <c r="H818" s="471"/>
    </row>
    <row r="819" spans="1:8" x14ac:dyDescent="0.35">
      <c r="A819" s="467">
        <v>38834</v>
      </c>
      <c r="B819" s="468">
        <v>6.5077090461491238E-2</v>
      </c>
      <c r="C819" s="468">
        <v>8.4319467355026045E-2</v>
      </c>
      <c r="D819" s="469">
        <v>9.1152763941183323E-2</v>
      </c>
      <c r="G819" s="470"/>
      <c r="H819" s="471"/>
    </row>
    <row r="820" spans="1:8" x14ac:dyDescent="0.35">
      <c r="A820" s="467">
        <v>38835</v>
      </c>
      <c r="B820" s="468">
        <v>6.4860362054205645E-2</v>
      </c>
      <c r="C820" s="468">
        <v>8.4873293752885548E-2</v>
      </c>
      <c r="D820" s="469">
        <v>9.1066620043909419E-2</v>
      </c>
      <c r="G820" s="470"/>
      <c r="H820" s="471"/>
    </row>
    <row r="821" spans="1:8" x14ac:dyDescent="0.35">
      <c r="A821" s="467">
        <v>38839</v>
      </c>
      <c r="B821" s="468">
        <v>6.6307463296136238E-2</v>
      </c>
      <c r="C821" s="468">
        <v>8.8336239653318493E-2</v>
      </c>
      <c r="D821" s="469">
        <v>9.3383824018273387E-2</v>
      </c>
      <c r="G821" s="470"/>
      <c r="H821" s="471"/>
    </row>
    <row r="822" spans="1:8" x14ac:dyDescent="0.35">
      <c r="A822" s="467">
        <v>38840</v>
      </c>
      <c r="B822" s="468">
        <v>6.8308862075657784E-2</v>
      </c>
      <c r="C822" s="468">
        <v>8.883159485233838E-2</v>
      </c>
      <c r="D822" s="469">
        <v>9.2610526226051038E-2</v>
      </c>
      <c r="G822" s="470"/>
      <c r="H822" s="471"/>
    </row>
    <row r="823" spans="1:8" x14ac:dyDescent="0.35">
      <c r="A823" s="467">
        <v>38841</v>
      </c>
      <c r="B823" s="468">
        <v>6.9742736670235006E-2</v>
      </c>
      <c r="C823" s="468">
        <v>8.9754718294586366E-2</v>
      </c>
      <c r="D823" s="469">
        <v>9.2459211310423894E-2</v>
      </c>
      <c r="G823" s="470"/>
      <c r="H823" s="471"/>
    </row>
    <row r="824" spans="1:8" x14ac:dyDescent="0.35">
      <c r="A824" s="467">
        <v>38842</v>
      </c>
      <c r="B824" s="468">
        <v>7.0943044501618813E-2</v>
      </c>
      <c r="C824" s="468">
        <v>8.913581121022629E-2</v>
      </c>
      <c r="D824" s="469">
        <v>9.0547171536869309E-2</v>
      </c>
      <c r="G824" s="470"/>
      <c r="H824" s="471"/>
    </row>
    <row r="825" spans="1:8" x14ac:dyDescent="0.35">
      <c r="A825" s="467">
        <v>38845</v>
      </c>
      <c r="B825" s="468">
        <v>7.0601022342771769E-2</v>
      </c>
      <c r="C825" s="468">
        <v>8.6964002612486269E-2</v>
      </c>
      <c r="D825" s="469">
        <v>8.8002635284542441E-2</v>
      </c>
      <c r="G825" s="470"/>
      <c r="H825" s="471"/>
    </row>
    <row r="826" spans="1:8" x14ac:dyDescent="0.35">
      <c r="A826" s="467">
        <v>38846</v>
      </c>
      <c r="B826" s="468">
        <v>7.0738373580644387E-2</v>
      </c>
      <c r="C826" s="468">
        <v>8.8268748333286018E-2</v>
      </c>
      <c r="D826" s="469">
        <v>8.9235601308433665E-2</v>
      </c>
      <c r="G826" s="470"/>
      <c r="H826" s="471"/>
    </row>
    <row r="827" spans="1:8" x14ac:dyDescent="0.35">
      <c r="A827" s="467">
        <v>38847</v>
      </c>
      <c r="B827" s="468">
        <v>7.0799330557731466E-2</v>
      </c>
      <c r="C827" s="468">
        <v>8.6211842894818869E-2</v>
      </c>
      <c r="D827" s="469">
        <v>8.7045115177476262E-2</v>
      </c>
      <c r="G827" s="470"/>
      <c r="H827" s="471"/>
    </row>
    <row r="828" spans="1:8" x14ac:dyDescent="0.35">
      <c r="A828" s="467">
        <v>38848</v>
      </c>
      <c r="B828" s="468">
        <v>7.094524439834915E-2</v>
      </c>
      <c r="C828" s="468">
        <v>8.8116401888471918E-2</v>
      </c>
      <c r="D828" s="469">
        <v>8.8797925673163247E-2</v>
      </c>
      <c r="G828" s="470"/>
      <c r="H828" s="471"/>
    </row>
    <row r="829" spans="1:8" x14ac:dyDescent="0.35">
      <c r="A829" s="467">
        <v>38849</v>
      </c>
      <c r="B829" s="468">
        <v>7.3347019956660597E-2</v>
      </c>
      <c r="C829" s="468">
        <v>8.9173243090988175E-2</v>
      </c>
      <c r="D829" s="469">
        <v>9.1819288806338939E-2</v>
      </c>
      <c r="G829" s="470"/>
      <c r="H829" s="471"/>
    </row>
    <row r="830" spans="1:8" x14ac:dyDescent="0.35">
      <c r="A830" s="467">
        <v>38852</v>
      </c>
      <c r="B830" s="468">
        <v>7.7115097071925431E-2</v>
      </c>
      <c r="C830" s="468">
        <v>9.0782014460707217E-2</v>
      </c>
      <c r="D830" s="469">
        <v>9.2872326647956083E-2</v>
      </c>
      <c r="G830" s="470"/>
      <c r="H830" s="471"/>
    </row>
    <row r="831" spans="1:8" x14ac:dyDescent="0.35">
      <c r="A831" s="467">
        <v>38853</v>
      </c>
      <c r="B831" s="468">
        <v>7.7206586477402084E-2</v>
      </c>
      <c r="C831" s="468">
        <v>8.9744199811524261E-2</v>
      </c>
      <c r="D831" s="469">
        <v>9.187161657117171E-2</v>
      </c>
      <c r="G831" s="470"/>
      <c r="H831" s="471"/>
    </row>
    <row r="832" spans="1:8" x14ac:dyDescent="0.35">
      <c r="A832" s="467">
        <v>38854</v>
      </c>
      <c r="B832" s="468">
        <v>7.7927134331372994E-2</v>
      </c>
      <c r="C832" s="468">
        <v>9.214003649569058E-2</v>
      </c>
      <c r="D832" s="469">
        <v>9.3729599205642833E-2</v>
      </c>
      <c r="G832" s="470"/>
      <c r="H832" s="471"/>
    </row>
    <row r="833" spans="1:8" x14ac:dyDescent="0.35">
      <c r="A833" s="467">
        <v>38855</v>
      </c>
      <c r="B833" s="468">
        <v>8.1952813439333694E-2</v>
      </c>
      <c r="C833" s="468">
        <v>9.2915823697875322E-2</v>
      </c>
      <c r="D833" s="469">
        <v>9.4409131533677249E-2</v>
      </c>
      <c r="G833" s="470"/>
      <c r="H833" s="471"/>
    </row>
    <row r="834" spans="1:8" x14ac:dyDescent="0.35">
      <c r="A834" s="467">
        <v>38856</v>
      </c>
      <c r="B834" s="468">
        <v>8.3045058320502463E-2</v>
      </c>
      <c r="C834" s="468">
        <v>9.2726363475598594E-2</v>
      </c>
      <c r="D834" s="469">
        <v>9.4052983091030828E-2</v>
      </c>
      <c r="G834" s="470"/>
      <c r="H834" s="471"/>
    </row>
    <row r="835" spans="1:8" x14ac:dyDescent="0.35">
      <c r="A835" s="467">
        <v>38859</v>
      </c>
      <c r="B835" s="468">
        <v>8.4535370266794585E-2</v>
      </c>
      <c r="C835" s="468">
        <v>9.5169296275150694E-2</v>
      </c>
      <c r="D835" s="469">
        <v>9.6696457450916373E-2</v>
      </c>
      <c r="G835" s="470"/>
      <c r="H835" s="471"/>
    </row>
    <row r="836" spans="1:8" x14ac:dyDescent="0.35">
      <c r="A836" s="467">
        <v>38860</v>
      </c>
      <c r="B836" s="468">
        <v>8.3807163815361685E-2</v>
      </c>
      <c r="C836" s="468">
        <v>9.4758371236183914E-2</v>
      </c>
      <c r="D836" s="469">
        <v>9.6398942047407399E-2</v>
      </c>
      <c r="G836" s="470"/>
      <c r="H836" s="471"/>
    </row>
    <row r="837" spans="1:8" x14ac:dyDescent="0.35">
      <c r="A837" s="467">
        <v>38861</v>
      </c>
      <c r="B837" s="468">
        <v>8.5151468806874631E-2</v>
      </c>
      <c r="C837" s="468">
        <v>9.8374280850499263E-2</v>
      </c>
      <c r="D837" s="469">
        <v>0.10049320540585605</v>
      </c>
      <c r="G837" s="470"/>
      <c r="H837" s="471"/>
    </row>
    <row r="838" spans="1:8" x14ac:dyDescent="0.35">
      <c r="A838" s="467">
        <v>38862</v>
      </c>
      <c r="B838" s="468">
        <v>8.4860973668482442E-2</v>
      </c>
      <c r="C838" s="468">
        <v>9.791256710803542E-2</v>
      </c>
      <c r="D838" s="469">
        <v>9.9677632666739457E-2</v>
      </c>
      <c r="G838" s="470"/>
      <c r="H838" s="471"/>
    </row>
    <row r="839" spans="1:8" x14ac:dyDescent="0.35">
      <c r="A839" s="467">
        <v>38863</v>
      </c>
      <c r="B839" s="468">
        <v>8.0963479255972137E-2</v>
      </c>
      <c r="C839" s="468">
        <v>9.3879784860044113E-2</v>
      </c>
      <c r="D839" s="469">
        <v>9.6377073819387649E-2</v>
      </c>
      <c r="G839" s="470"/>
      <c r="H839" s="471"/>
    </row>
    <row r="840" spans="1:8" x14ac:dyDescent="0.35">
      <c r="A840" s="467">
        <v>38867</v>
      </c>
      <c r="B840" s="468">
        <v>8.3146923069234768E-2</v>
      </c>
      <c r="C840" s="468">
        <v>9.5421685537960821E-2</v>
      </c>
      <c r="D840" s="469">
        <v>9.7502396204448116E-2</v>
      </c>
      <c r="G840" s="470"/>
      <c r="H840" s="471"/>
    </row>
    <row r="841" spans="1:8" x14ac:dyDescent="0.35">
      <c r="A841" s="467">
        <v>38868</v>
      </c>
      <c r="B841" s="468">
        <v>8.161112287481842E-2</v>
      </c>
      <c r="C841" s="468">
        <v>9.8155103481678996E-2</v>
      </c>
      <c r="D841" s="469">
        <v>9.9372782026779793E-2</v>
      </c>
      <c r="G841" s="470"/>
      <c r="H841" s="471"/>
    </row>
    <row r="842" spans="1:8" x14ac:dyDescent="0.35">
      <c r="A842" s="467">
        <v>38869</v>
      </c>
      <c r="B842" s="468">
        <v>8.0590599096958204E-2</v>
      </c>
      <c r="C842" s="468">
        <v>9.7299252201128894E-2</v>
      </c>
      <c r="D842" s="469">
        <v>9.7088640294957784E-2</v>
      </c>
      <c r="G842" s="470"/>
      <c r="H842" s="471"/>
    </row>
    <row r="843" spans="1:8" x14ac:dyDescent="0.35">
      <c r="A843" s="467">
        <v>38870</v>
      </c>
      <c r="B843" s="468">
        <v>7.9834190262942695E-2</v>
      </c>
      <c r="C843" s="468">
        <v>9.6143983882482464E-2</v>
      </c>
      <c r="D843" s="469">
        <v>9.5035167933211762E-2</v>
      </c>
      <c r="G843" s="470"/>
      <c r="H843" s="471"/>
    </row>
    <row r="844" spans="1:8" x14ac:dyDescent="0.35">
      <c r="A844" s="467">
        <v>38873</v>
      </c>
      <c r="B844" s="468">
        <v>7.75910899976755E-2</v>
      </c>
      <c r="C844" s="468">
        <v>9.5729381822117654E-2</v>
      </c>
      <c r="D844" s="469">
        <v>9.4827339498474439E-2</v>
      </c>
      <c r="G844" s="470"/>
      <c r="H844" s="471"/>
    </row>
    <row r="845" spans="1:8" x14ac:dyDescent="0.35">
      <c r="A845" s="467">
        <v>38874</v>
      </c>
      <c r="B845" s="468">
        <v>8.0150937625713015E-2</v>
      </c>
      <c r="C845" s="468">
        <v>9.7994541682253633E-2</v>
      </c>
      <c r="D845" s="469">
        <v>9.7579224944959186E-2</v>
      </c>
      <c r="G845" s="470"/>
      <c r="H845" s="471"/>
    </row>
    <row r="846" spans="1:8" x14ac:dyDescent="0.35">
      <c r="A846" s="467">
        <v>38877</v>
      </c>
      <c r="B846" s="468">
        <v>8.0744074690467516E-2</v>
      </c>
      <c r="C846" s="468">
        <v>9.9619317254709294E-2</v>
      </c>
      <c r="D846" s="469">
        <v>9.9345281828625787E-2</v>
      </c>
      <c r="G846" s="470"/>
      <c r="H846" s="471"/>
    </row>
    <row r="847" spans="1:8" x14ac:dyDescent="0.35">
      <c r="A847" s="467">
        <v>38880</v>
      </c>
      <c r="B847" s="468">
        <v>8.1943858035847361E-2</v>
      </c>
      <c r="C847" s="468">
        <v>0.10035430513989163</v>
      </c>
      <c r="D847" s="469">
        <v>0.10066454188338358</v>
      </c>
      <c r="G847" s="470"/>
      <c r="H847" s="471"/>
    </row>
    <row r="848" spans="1:8" x14ac:dyDescent="0.35">
      <c r="A848" s="467">
        <v>38881</v>
      </c>
      <c r="B848" s="468">
        <v>8.5397290953267646E-2</v>
      </c>
      <c r="C848" s="468">
        <v>0.10274538923280696</v>
      </c>
      <c r="D848" s="469">
        <v>0.10359086746825374</v>
      </c>
      <c r="G848" s="470"/>
      <c r="H848" s="471"/>
    </row>
    <row r="849" spans="1:8" x14ac:dyDescent="0.35">
      <c r="A849" s="467">
        <v>38882</v>
      </c>
      <c r="B849" s="468">
        <v>8.3982014499915048E-2</v>
      </c>
      <c r="C849" s="468">
        <v>0.10269464614591972</v>
      </c>
      <c r="D849" s="469">
        <v>0.10302735598130397</v>
      </c>
      <c r="G849" s="470"/>
      <c r="H849" s="471"/>
    </row>
    <row r="850" spans="1:8" x14ac:dyDescent="0.35">
      <c r="A850" s="467">
        <v>38883</v>
      </c>
      <c r="B850" s="468">
        <v>8.3966171478639273E-2</v>
      </c>
      <c r="C850" s="468">
        <v>0.10305916379937097</v>
      </c>
      <c r="D850" s="469">
        <v>0.10337396014952649</v>
      </c>
      <c r="G850" s="470"/>
      <c r="H850" s="471"/>
    </row>
    <row r="851" spans="1:8" x14ac:dyDescent="0.35">
      <c r="A851" s="467">
        <v>38884</v>
      </c>
      <c r="B851" s="468">
        <v>8.3557779167102719E-2</v>
      </c>
      <c r="C851" s="468">
        <v>0.10377816233775716</v>
      </c>
      <c r="D851" s="469">
        <v>0.10325752028454649</v>
      </c>
      <c r="G851" s="470"/>
      <c r="H851" s="471"/>
    </row>
    <row r="852" spans="1:8" x14ac:dyDescent="0.35">
      <c r="A852" s="467">
        <v>38888</v>
      </c>
      <c r="B852" s="468">
        <v>8.4414942374528179E-2</v>
      </c>
      <c r="C852" s="468">
        <v>0.1032982378118239</v>
      </c>
      <c r="D852" s="469">
        <v>0.10578291130237361</v>
      </c>
      <c r="G852" s="470"/>
      <c r="H852" s="471"/>
    </row>
    <row r="853" spans="1:8" x14ac:dyDescent="0.35">
      <c r="A853" s="467">
        <v>38889</v>
      </c>
      <c r="B853" s="468">
        <v>8.3044625039051079E-2</v>
      </c>
      <c r="C853" s="468">
        <v>0.10417546067963701</v>
      </c>
      <c r="D853" s="469">
        <v>0.10379463054145099</v>
      </c>
      <c r="G853" s="470"/>
      <c r="H853" s="471"/>
    </row>
    <row r="854" spans="1:8" x14ac:dyDescent="0.35">
      <c r="A854" s="467">
        <v>38890</v>
      </c>
      <c r="B854" s="468">
        <v>8.3428874486773275E-2</v>
      </c>
      <c r="C854" s="468">
        <v>0.10639015801263185</v>
      </c>
      <c r="D854" s="469">
        <v>0.10529965043091782</v>
      </c>
      <c r="G854" s="470"/>
      <c r="H854" s="471"/>
    </row>
    <row r="855" spans="1:8" x14ac:dyDescent="0.35">
      <c r="A855" s="467">
        <v>38891</v>
      </c>
      <c r="B855" s="468">
        <v>8.3438641132165037E-2</v>
      </c>
      <c r="C855" s="468">
        <v>0.10855499847271455</v>
      </c>
      <c r="D855" s="469">
        <v>0.10869624994163551</v>
      </c>
      <c r="G855" s="470"/>
      <c r="H855" s="471"/>
    </row>
    <row r="856" spans="1:8" x14ac:dyDescent="0.35">
      <c r="A856" s="467">
        <v>38895</v>
      </c>
      <c r="B856" s="468">
        <v>8.572087283923735E-2</v>
      </c>
      <c r="C856" s="468">
        <v>0.11343773573475691</v>
      </c>
      <c r="D856" s="469">
        <v>0.1153088596024503</v>
      </c>
      <c r="G856" s="470"/>
      <c r="H856" s="471"/>
    </row>
    <row r="857" spans="1:8" x14ac:dyDescent="0.35">
      <c r="A857" s="467">
        <v>38896</v>
      </c>
      <c r="B857" s="468">
        <v>8.800904436448187E-2</v>
      </c>
      <c r="C857" s="468">
        <v>0.12085943990775916</v>
      </c>
      <c r="D857" s="469">
        <v>0.12178463706360976</v>
      </c>
      <c r="G857" s="470"/>
      <c r="H857" s="471"/>
    </row>
    <row r="858" spans="1:8" x14ac:dyDescent="0.35">
      <c r="A858" s="467">
        <v>38897</v>
      </c>
      <c r="B858" s="468">
        <v>8.8215371012602128E-2</v>
      </c>
      <c r="C858" s="468">
        <v>0.11845551126832521</v>
      </c>
      <c r="D858" s="469">
        <v>0.11846110737689886</v>
      </c>
      <c r="G858" s="470"/>
      <c r="H858" s="471"/>
    </row>
    <row r="859" spans="1:8" x14ac:dyDescent="0.35">
      <c r="A859" s="467">
        <v>38898</v>
      </c>
      <c r="B859" s="468">
        <v>8.371599024736498E-2</v>
      </c>
      <c r="C859" s="468">
        <v>0.10896675667266664</v>
      </c>
      <c r="D859" s="469">
        <v>0.10993757264704374</v>
      </c>
      <c r="G859" s="470"/>
      <c r="H859" s="471"/>
    </row>
    <row r="860" spans="1:8" x14ac:dyDescent="0.35">
      <c r="A860" s="467">
        <v>38902</v>
      </c>
      <c r="B860" s="468">
        <v>8.481096621584383E-2</v>
      </c>
      <c r="C860" s="468">
        <v>0.1067964192198112</v>
      </c>
      <c r="D860" s="469">
        <v>0.10716312458635802</v>
      </c>
      <c r="G860" s="470"/>
      <c r="H860" s="471"/>
    </row>
    <row r="861" spans="1:8" x14ac:dyDescent="0.35">
      <c r="A861" s="467">
        <v>38903</v>
      </c>
      <c r="B861" s="468">
        <v>8.4231384160126987E-2</v>
      </c>
      <c r="C861" s="468">
        <v>0.11105259242417165</v>
      </c>
      <c r="D861" s="469">
        <v>0.11121300979647031</v>
      </c>
      <c r="G861" s="470"/>
      <c r="H861" s="471"/>
    </row>
    <row r="862" spans="1:8" x14ac:dyDescent="0.35">
      <c r="A862" s="467">
        <v>38904</v>
      </c>
      <c r="B862" s="468">
        <v>8.4643566637582213E-2</v>
      </c>
      <c r="C862" s="468">
        <v>0.10794376389684013</v>
      </c>
      <c r="D862" s="469">
        <v>0.10577950191781227</v>
      </c>
      <c r="G862" s="470"/>
      <c r="H862" s="471"/>
    </row>
    <row r="863" spans="1:8" x14ac:dyDescent="0.35">
      <c r="A863" s="467">
        <v>38905</v>
      </c>
      <c r="B863" s="468">
        <v>8.3661553882982131E-2</v>
      </c>
      <c r="C863" s="468">
        <v>0.10617695845066888</v>
      </c>
      <c r="D863" s="469">
        <v>0.10490624027561335</v>
      </c>
      <c r="G863" s="470"/>
      <c r="H863" s="471"/>
    </row>
    <row r="864" spans="1:8" x14ac:dyDescent="0.35">
      <c r="A864" s="467">
        <v>38908</v>
      </c>
      <c r="B864" s="468">
        <v>8.344048624502598E-2</v>
      </c>
      <c r="C864" s="468">
        <v>0.10160145398602793</v>
      </c>
      <c r="D864" s="469">
        <v>0.10120416002033394</v>
      </c>
      <c r="G864" s="470"/>
      <c r="H864" s="471"/>
    </row>
    <row r="865" spans="1:8" x14ac:dyDescent="0.35">
      <c r="A865" s="467">
        <v>38909</v>
      </c>
      <c r="B865" s="468">
        <v>8.3681267297757156E-2</v>
      </c>
      <c r="C865" s="468">
        <v>0.10162460452362043</v>
      </c>
      <c r="D865" s="469">
        <v>0.10166684159649031</v>
      </c>
      <c r="G865" s="470"/>
      <c r="H865" s="471"/>
    </row>
    <row r="866" spans="1:8" x14ac:dyDescent="0.35">
      <c r="A866" s="467">
        <v>38910</v>
      </c>
      <c r="B866" s="468">
        <v>8.5750984653795381E-2</v>
      </c>
      <c r="C866" s="468">
        <v>0.10452002996424148</v>
      </c>
      <c r="D866" s="469">
        <v>0.10500722250770678</v>
      </c>
      <c r="G866" s="470"/>
      <c r="H866" s="471"/>
    </row>
    <row r="867" spans="1:8" x14ac:dyDescent="0.35">
      <c r="A867" s="467">
        <v>38911</v>
      </c>
      <c r="B867" s="468">
        <v>8.4765737680693176E-2</v>
      </c>
      <c r="C867" s="468">
        <v>0.10816298977287064</v>
      </c>
      <c r="D867" s="469">
        <v>0.10951874551150231</v>
      </c>
      <c r="G867" s="470"/>
      <c r="H867" s="471"/>
    </row>
    <row r="868" spans="1:8" x14ac:dyDescent="0.35">
      <c r="A868" s="467">
        <v>38912</v>
      </c>
      <c r="B868" s="468">
        <v>8.5537987310065011E-2</v>
      </c>
      <c r="C868" s="468">
        <v>0.10947470192985853</v>
      </c>
      <c r="D868" s="469">
        <v>0.11014947462159586</v>
      </c>
      <c r="G868" s="470"/>
      <c r="H868" s="471"/>
    </row>
    <row r="869" spans="1:8" x14ac:dyDescent="0.35">
      <c r="A869" s="467">
        <v>38915</v>
      </c>
      <c r="B869" s="468">
        <v>8.414464944715272E-2</v>
      </c>
      <c r="C869" s="468">
        <v>0.10965384104758202</v>
      </c>
      <c r="D869" s="469">
        <v>0.11061479413455544</v>
      </c>
      <c r="G869" s="470"/>
      <c r="H869" s="471"/>
    </row>
    <row r="870" spans="1:8" x14ac:dyDescent="0.35">
      <c r="A870" s="467">
        <v>38916</v>
      </c>
      <c r="B870" s="468">
        <v>8.4570284315849564E-2</v>
      </c>
      <c r="C870" s="468">
        <v>0.10847274283041175</v>
      </c>
      <c r="D870" s="469">
        <v>0.10955335202425132</v>
      </c>
      <c r="G870" s="470"/>
      <c r="H870" s="471"/>
    </row>
    <row r="871" spans="1:8" x14ac:dyDescent="0.35">
      <c r="A871" s="467">
        <v>38917</v>
      </c>
      <c r="B871" s="468">
        <v>8.4858229622151393E-2</v>
      </c>
      <c r="C871" s="468">
        <v>0.10704591594059298</v>
      </c>
      <c r="D871" s="469">
        <v>0.10916912367101417</v>
      </c>
      <c r="G871" s="470"/>
      <c r="H871" s="471"/>
    </row>
    <row r="872" spans="1:8" x14ac:dyDescent="0.35">
      <c r="A872" s="467">
        <v>38919</v>
      </c>
      <c r="B872" s="468">
        <v>8.3455095567164683E-2</v>
      </c>
      <c r="C872" s="468">
        <v>0.10292188018536974</v>
      </c>
      <c r="D872" s="469">
        <v>0.10426895383647317</v>
      </c>
      <c r="G872" s="470"/>
      <c r="H872" s="471"/>
    </row>
    <row r="873" spans="1:8" x14ac:dyDescent="0.35">
      <c r="A873" s="467">
        <v>38922</v>
      </c>
      <c r="B873" s="468">
        <v>8.4330494553739754E-2</v>
      </c>
      <c r="C873" s="468">
        <v>9.9650465446484038E-2</v>
      </c>
      <c r="D873" s="469">
        <v>0.10167153047632005</v>
      </c>
      <c r="G873" s="470"/>
      <c r="H873" s="471"/>
    </row>
    <row r="874" spans="1:8" x14ac:dyDescent="0.35">
      <c r="A874" s="467">
        <v>38923</v>
      </c>
      <c r="B874" s="468">
        <v>8.2071880177154499E-2</v>
      </c>
      <c r="C874" s="468">
        <v>0.10091590052353383</v>
      </c>
      <c r="D874" s="469">
        <v>0.10116854039436629</v>
      </c>
      <c r="G874" s="470"/>
      <c r="H874" s="471"/>
    </row>
    <row r="875" spans="1:8" x14ac:dyDescent="0.35">
      <c r="A875" s="467">
        <v>38924</v>
      </c>
      <c r="B875" s="468">
        <v>8.062053711411088E-2</v>
      </c>
      <c r="C875" s="468">
        <v>0.10092544781669588</v>
      </c>
      <c r="D875" s="469">
        <v>0.10212120143037451</v>
      </c>
      <c r="G875" s="470"/>
      <c r="H875" s="471"/>
    </row>
    <row r="876" spans="1:8" x14ac:dyDescent="0.35">
      <c r="A876" s="467">
        <v>38925</v>
      </c>
      <c r="B876" s="468">
        <v>7.9842109955062801E-2</v>
      </c>
      <c r="C876" s="468">
        <v>9.9598584172840177E-2</v>
      </c>
      <c r="D876" s="469">
        <v>9.9953124056989306E-2</v>
      </c>
      <c r="G876" s="470"/>
      <c r="H876" s="471"/>
    </row>
    <row r="877" spans="1:8" x14ac:dyDescent="0.35">
      <c r="A877" s="467">
        <v>38929</v>
      </c>
      <c r="B877" s="468">
        <v>7.8905019801029486E-2</v>
      </c>
      <c r="C877" s="468">
        <v>9.7241406399078079E-2</v>
      </c>
      <c r="D877" s="469">
        <v>9.6642080165233013E-2</v>
      </c>
      <c r="G877" s="470"/>
      <c r="H877" s="471"/>
    </row>
    <row r="878" spans="1:8" x14ac:dyDescent="0.35">
      <c r="A878" s="467">
        <v>38930</v>
      </c>
      <c r="B878" s="468">
        <v>7.9538497995963908E-2</v>
      </c>
      <c r="C878" s="468">
        <v>9.6559260377057976E-2</v>
      </c>
      <c r="D878" s="469">
        <v>9.8331240973037914E-2</v>
      </c>
      <c r="G878" s="470"/>
      <c r="H878" s="471"/>
    </row>
    <row r="879" spans="1:8" x14ac:dyDescent="0.35">
      <c r="A879" s="467">
        <v>38931</v>
      </c>
      <c r="B879" s="468">
        <v>7.9520746400951303E-2</v>
      </c>
      <c r="C879" s="468">
        <v>9.8510830324492371E-2</v>
      </c>
      <c r="D879" s="469">
        <v>9.8503523305038643E-2</v>
      </c>
      <c r="G879" s="470"/>
      <c r="H879" s="471"/>
    </row>
    <row r="880" spans="1:8" x14ac:dyDescent="0.35">
      <c r="A880" s="467">
        <v>38932</v>
      </c>
      <c r="B880" s="468">
        <v>8.0067341184762553E-2</v>
      </c>
      <c r="C880" s="468">
        <v>9.815068858536824E-2</v>
      </c>
      <c r="D880" s="469">
        <v>9.8900701625223908E-2</v>
      </c>
      <c r="G880" s="470"/>
      <c r="H880" s="471"/>
    </row>
    <row r="881" spans="1:8" x14ac:dyDescent="0.35">
      <c r="A881" s="467">
        <v>38933</v>
      </c>
      <c r="B881" s="468">
        <v>7.8278515544619731E-2</v>
      </c>
      <c r="C881" s="468">
        <v>9.5970986233163469E-2</v>
      </c>
      <c r="D881" s="469">
        <v>9.5626600758514702E-2</v>
      </c>
      <c r="G881" s="470"/>
      <c r="H881" s="471"/>
    </row>
    <row r="882" spans="1:8" x14ac:dyDescent="0.35">
      <c r="A882" s="467">
        <v>38937</v>
      </c>
      <c r="B882" s="468">
        <v>7.8779942387880775E-2</v>
      </c>
      <c r="C882" s="468">
        <v>9.5760368337362012E-2</v>
      </c>
      <c r="D882" s="469">
        <v>9.5777402659311894E-2</v>
      </c>
      <c r="G882" s="470"/>
      <c r="H882" s="471"/>
    </row>
    <row r="883" spans="1:8" x14ac:dyDescent="0.35">
      <c r="A883" s="467">
        <v>38938</v>
      </c>
      <c r="B883" s="468">
        <v>7.88447380226871E-2</v>
      </c>
      <c r="C883" s="468">
        <v>9.4529150221021929E-2</v>
      </c>
      <c r="D883" s="469">
        <v>9.4317463910086552E-2</v>
      </c>
      <c r="G883" s="470"/>
      <c r="H883" s="471"/>
    </row>
    <row r="884" spans="1:8" x14ac:dyDescent="0.35">
      <c r="A884" s="467">
        <v>38939</v>
      </c>
      <c r="B884" s="468">
        <v>7.8636640288991755E-2</v>
      </c>
      <c r="C884" s="468">
        <v>9.414447802574033E-2</v>
      </c>
      <c r="D884" s="469">
        <v>9.4538729003605271E-2</v>
      </c>
      <c r="G884" s="470"/>
      <c r="H884" s="471"/>
    </row>
    <row r="885" spans="1:8" x14ac:dyDescent="0.35">
      <c r="A885" s="467">
        <v>38940</v>
      </c>
      <c r="B885" s="468">
        <v>7.9002064029105146E-2</v>
      </c>
      <c r="C885" s="468">
        <v>9.5365630074014218E-2</v>
      </c>
      <c r="D885" s="469">
        <v>9.5552583955170967E-2</v>
      </c>
      <c r="G885" s="470"/>
      <c r="H885" s="471"/>
    </row>
    <row r="886" spans="1:8" x14ac:dyDescent="0.35">
      <c r="A886" s="467">
        <v>38943</v>
      </c>
      <c r="B886" s="468">
        <v>8.0290144677128472E-2</v>
      </c>
      <c r="C886" s="468">
        <v>9.656496579921825E-2</v>
      </c>
      <c r="D886" s="469">
        <v>9.7488810524896108E-2</v>
      </c>
      <c r="G886" s="470"/>
      <c r="H886" s="471"/>
    </row>
    <row r="887" spans="1:8" x14ac:dyDescent="0.35">
      <c r="A887" s="467">
        <v>38944</v>
      </c>
      <c r="B887" s="468">
        <v>8.0861606809122355E-2</v>
      </c>
      <c r="C887" s="468">
        <v>9.5487371399959553E-2</v>
      </c>
      <c r="D887" s="469">
        <v>9.514040068008911E-2</v>
      </c>
      <c r="G887" s="470"/>
      <c r="H887" s="471"/>
    </row>
    <row r="888" spans="1:8" x14ac:dyDescent="0.35">
      <c r="A888" s="467">
        <v>38945</v>
      </c>
      <c r="B888" s="468">
        <v>8.1173213778351183E-2</v>
      </c>
      <c r="C888" s="468">
        <v>9.37435875447441E-2</v>
      </c>
      <c r="D888" s="469">
        <v>9.4066866265412052E-2</v>
      </c>
      <c r="G888" s="470"/>
      <c r="H888" s="471"/>
    </row>
    <row r="889" spans="1:8" x14ac:dyDescent="0.35">
      <c r="A889" s="467">
        <v>38946</v>
      </c>
      <c r="B889" s="468">
        <v>8.1465081479895174E-2</v>
      </c>
      <c r="C889" s="468">
        <v>9.3727752692998711E-2</v>
      </c>
      <c r="D889" s="469">
        <v>9.377395018644985E-2</v>
      </c>
      <c r="G889" s="470"/>
      <c r="H889" s="471"/>
    </row>
    <row r="890" spans="1:8" x14ac:dyDescent="0.35">
      <c r="A890" s="467">
        <v>38947</v>
      </c>
      <c r="B890" s="468">
        <v>8.2205857437560592E-2</v>
      </c>
      <c r="C890" s="468">
        <v>9.3698585989723693E-2</v>
      </c>
      <c r="D890" s="469">
        <v>9.3067219555012182E-2</v>
      </c>
      <c r="G890" s="470"/>
      <c r="H890" s="471"/>
    </row>
    <row r="891" spans="1:8" x14ac:dyDescent="0.35">
      <c r="A891" s="467">
        <v>38951</v>
      </c>
      <c r="B891" s="468">
        <v>8.1100871676912378E-2</v>
      </c>
      <c r="C891" s="468">
        <v>9.3214917345382897E-2</v>
      </c>
      <c r="D891" s="469">
        <v>9.2873799811879376E-2</v>
      </c>
      <c r="G891" s="470"/>
      <c r="H891" s="471"/>
    </row>
    <row r="892" spans="1:8" x14ac:dyDescent="0.35">
      <c r="A892" s="467">
        <v>38952</v>
      </c>
      <c r="B892" s="468">
        <v>8.2086927559831935E-2</v>
      </c>
      <c r="C892" s="468">
        <v>9.5079301036630426E-2</v>
      </c>
      <c r="D892" s="469">
        <v>9.4511508831901292E-2</v>
      </c>
      <c r="G892" s="470"/>
      <c r="H892" s="471"/>
    </row>
    <row r="893" spans="1:8" x14ac:dyDescent="0.35">
      <c r="A893" s="467">
        <v>38953</v>
      </c>
      <c r="B893" s="468">
        <v>8.3248797970633781E-2</v>
      </c>
      <c r="C893" s="468">
        <v>9.6032065222124929E-2</v>
      </c>
      <c r="D893" s="469">
        <v>9.6089441148227372E-2</v>
      </c>
      <c r="G893" s="470"/>
      <c r="H893" s="471"/>
    </row>
    <row r="894" spans="1:8" x14ac:dyDescent="0.35">
      <c r="A894" s="467">
        <v>38954</v>
      </c>
      <c r="B894" s="468">
        <v>8.3311679906997282E-2</v>
      </c>
      <c r="C894" s="468">
        <v>9.6804693844458001E-2</v>
      </c>
      <c r="D894" s="469">
        <v>9.717076830030047E-2</v>
      </c>
      <c r="G894" s="470"/>
      <c r="H894" s="471"/>
    </row>
    <row r="895" spans="1:8" x14ac:dyDescent="0.35">
      <c r="A895" s="467">
        <v>38957</v>
      </c>
      <c r="B895" s="468">
        <v>8.3032446982269192E-2</v>
      </c>
      <c r="C895" s="468">
        <v>9.584129544117248E-2</v>
      </c>
      <c r="D895" s="469">
        <v>9.6554657286039403E-2</v>
      </c>
      <c r="G895" s="470"/>
      <c r="H895" s="471"/>
    </row>
    <row r="896" spans="1:8" x14ac:dyDescent="0.35">
      <c r="A896" s="467">
        <v>38958</v>
      </c>
      <c r="B896" s="468">
        <v>8.2334017670761206E-2</v>
      </c>
      <c r="C896" s="468">
        <v>9.4715497173822882E-2</v>
      </c>
      <c r="D896" s="469">
        <v>9.513872336969853E-2</v>
      </c>
      <c r="G896" s="470"/>
      <c r="H896" s="471"/>
    </row>
    <row r="897" spans="1:8" x14ac:dyDescent="0.35">
      <c r="A897" s="467">
        <v>38959</v>
      </c>
      <c r="B897" s="468">
        <v>8.2560294396756717E-2</v>
      </c>
      <c r="C897" s="468">
        <v>9.4907981155458288E-2</v>
      </c>
      <c r="D897" s="469">
        <v>9.5157948530989245E-2</v>
      </c>
      <c r="G897" s="470"/>
      <c r="H897" s="471"/>
    </row>
    <row r="898" spans="1:8" x14ac:dyDescent="0.35">
      <c r="A898" s="467">
        <v>38960</v>
      </c>
      <c r="B898" s="468">
        <v>8.2493313409976343E-2</v>
      </c>
      <c r="C898" s="468">
        <v>9.4149957967143205E-2</v>
      </c>
      <c r="D898" s="469">
        <v>9.5055642188891509E-2</v>
      </c>
      <c r="G898" s="470"/>
      <c r="H898" s="471"/>
    </row>
    <row r="899" spans="1:8" x14ac:dyDescent="0.35">
      <c r="A899" s="467">
        <v>38961</v>
      </c>
      <c r="B899" s="468">
        <v>8.2184523765359563E-2</v>
      </c>
      <c r="C899" s="468">
        <v>9.466043350415454E-2</v>
      </c>
      <c r="D899" s="469">
        <v>9.4605907694001568E-2</v>
      </c>
      <c r="G899" s="470"/>
      <c r="H899" s="471"/>
    </row>
    <row r="900" spans="1:8" x14ac:dyDescent="0.35">
      <c r="A900" s="467">
        <v>38964</v>
      </c>
      <c r="B900" s="468">
        <v>8.2804431161302094E-2</v>
      </c>
      <c r="C900" s="468">
        <v>9.4330934376751996E-2</v>
      </c>
      <c r="D900" s="469">
        <v>9.5741965180678568E-2</v>
      </c>
      <c r="G900" s="470"/>
      <c r="H900" s="471"/>
    </row>
    <row r="901" spans="1:8" x14ac:dyDescent="0.35">
      <c r="A901" s="467">
        <v>38965</v>
      </c>
      <c r="B901" s="468">
        <v>8.2385264919904388E-2</v>
      </c>
      <c r="C901" s="468">
        <v>9.4768644908715949E-2</v>
      </c>
      <c r="D901" s="469">
        <v>9.5273082611575965E-2</v>
      </c>
      <c r="G901" s="470"/>
      <c r="H901" s="471"/>
    </row>
    <row r="902" spans="1:8" x14ac:dyDescent="0.35">
      <c r="A902" s="467">
        <v>38966</v>
      </c>
      <c r="B902" s="468">
        <v>8.269717917995334E-2</v>
      </c>
      <c r="C902" s="468">
        <v>9.6180935013205904E-2</v>
      </c>
      <c r="D902" s="469">
        <v>9.6643356091208554E-2</v>
      </c>
      <c r="G902" s="470"/>
      <c r="H902" s="471"/>
    </row>
    <row r="903" spans="1:8" x14ac:dyDescent="0.35">
      <c r="A903" s="467">
        <v>38967</v>
      </c>
      <c r="B903" s="468">
        <v>8.2589628850227248E-2</v>
      </c>
      <c r="C903" s="468">
        <v>9.5544840221197136E-2</v>
      </c>
      <c r="D903" s="469">
        <v>9.6121661053414131E-2</v>
      </c>
      <c r="G903" s="470"/>
      <c r="H903" s="471"/>
    </row>
    <row r="904" spans="1:8" x14ac:dyDescent="0.35">
      <c r="A904" s="467">
        <v>38968</v>
      </c>
      <c r="B904" s="468">
        <v>8.49980702506139E-2</v>
      </c>
      <c r="C904" s="468">
        <v>9.3300439788424727E-2</v>
      </c>
      <c r="D904" s="469">
        <v>9.4342692961941532E-2</v>
      </c>
      <c r="G904" s="470"/>
      <c r="H904" s="471"/>
    </row>
    <row r="905" spans="1:8" x14ac:dyDescent="0.35">
      <c r="A905" s="467">
        <v>38971</v>
      </c>
      <c r="B905" s="468">
        <v>8.0703493968996787E-2</v>
      </c>
      <c r="C905" s="468">
        <v>0.10078864044226643</v>
      </c>
      <c r="D905" s="469">
        <v>0.10179483755607377</v>
      </c>
      <c r="G905" s="470"/>
      <c r="H905" s="471"/>
    </row>
    <row r="906" spans="1:8" x14ac:dyDescent="0.35">
      <c r="A906" s="467">
        <v>38972</v>
      </c>
      <c r="B906" s="468">
        <v>8.1925688576700795E-2</v>
      </c>
      <c r="C906" s="468">
        <v>9.523120036794519E-2</v>
      </c>
      <c r="D906" s="469">
        <v>9.5719849521584077E-2</v>
      </c>
      <c r="G906" s="470"/>
      <c r="H906" s="471"/>
    </row>
    <row r="907" spans="1:8" x14ac:dyDescent="0.35">
      <c r="A907" s="467">
        <v>38973</v>
      </c>
      <c r="B907" s="468">
        <v>8.1267388558075027E-2</v>
      </c>
      <c r="C907" s="468">
        <v>9.5496614032181348E-2</v>
      </c>
      <c r="D907" s="469">
        <v>9.5473447659960575E-2</v>
      </c>
      <c r="G907" s="470"/>
      <c r="H907" s="471"/>
    </row>
    <row r="908" spans="1:8" x14ac:dyDescent="0.35">
      <c r="A908" s="467">
        <v>38974</v>
      </c>
      <c r="B908" s="468">
        <v>8.0596107801341077E-2</v>
      </c>
      <c r="C908" s="468">
        <v>9.4788676506741387E-2</v>
      </c>
      <c r="D908" s="469">
        <v>9.5279688839869037E-2</v>
      </c>
      <c r="G908" s="470"/>
      <c r="H908" s="471"/>
    </row>
    <row r="909" spans="1:8" x14ac:dyDescent="0.35">
      <c r="A909" s="467">
        <v>38975</v>
      </c>
      <c r="B909" s="468">
        <v>8.0373252979343279E-2</v>
      </c>
      <c r="C909" s="468">
        <v>9.4987850970907006E-2</v>
      </c>
      <c r="D909" s="469">
        <v>9.5439476354686636E-2</v>
      </c>
      <c r="G909" s="470"/>
      <c r="H909" s="471"/>
    </row>
    <row r="910" spans="1:8" x14ac:dyDescent="0.35">
      <c r="A910" s="467">
        <v>38978</v>
      </c>
      <c r="B910" s="468">
        <v>7.9650890888249393E-2</v>
      </c>
      <c r="C910" s="468">
        <v>9.547657732911996E-2</v>
      </c>
      <c r="D910" s="469">
        <v>9.6034644193824459E-2</v>
      </c>
      <c r="G910" s="470"/>
      <c r="H910" s="471"/>
    </row>
    <row r="911" spans="1:8" x14ac:dyDescent="0.35">
      <c r="A911" s="467">
        <v>38979</v>
      </c>
      <c r="B911" s="468">
        <v>7.9648182345731122E-2</v>
      </c>
      <c r="C911" s="468">
        <v>9.5088950988365006E-2</v>
      </c>
      <c r="D911" s="469">
        <v>9.5816557708557903E-2</v>
      </c>
      <c r="G911" s="470"/>
      <c r="H911" s="471"/>
    </row>
    <row r="912" spans="1:8" x14ac:dyDescent="0.35">
      <c r="A912" s="467">
        <v>38980</v>
      </c>
      <c r="B912" s="468">
        <v>8.0537507374020212E-2</v>
      </c>
      <c r="C912" s="468">
        <v>9.5037504176156196E-2</v>
      </c>
      <c r="D912" s="469">
        <v>9.6026961758350016E-2</v>
      </c>
      <c r="G912" s="470"/>
      <c r="H912" s="471"/>
    </row>
    <row r="913" spans="1:8" x14ac:dyDescent="0.35">
      <c r="A913" s="467">
        <v>38981</v>
      </c>
      <c r="B913" s="468">
        <v>8.1503466104339672E-2</v>
      </c>
      <c r="C913" s="468">
        <v>9.6169685864891052E-2</v>
      </c>
      <c r="D913" s="469">
        <v>9.7182985595166027E-2</v>
      </c>
      <c r="G913" s="470"/>
      <c r="H913" s="471"/>
    </row>
    <row r="914" spans="1:8" x14ac:dyDescent="0.35">
      <c r="A914" s="467">
        <v>38982</v>
      </c>
      <c r="B914" s="468">
        <v>8.2170426691029474E-2</v>
      </c>
      <c r="C914" s="468">
        <v>9.781376288648036E-2</v>
      </c>
      <c r="D914" s="469">
        <v>9.8676555729052096E-2</v>
      </c>
      <c r="G914" s="470"/>
      <c r="H914" s="471"/>
    </row>
    <row r="915" spans="1:8" x14ac:dyDescent="0.35">
      <c r="A915" s="467">
        <v>38985</v>
      </c>
      <c r="B915" s="468">
        <v>8.2429471725530723E-2</v>
      </c>
      <c r="C915" s="468">
        <v>9.8299590682707549E-2</v>
      </c>
      <c r="D915" s="469">
        <v>9.878251794650561E-2</v>
      </c>
      <c r="G915" s="470"/>
      <c r="H915" s="471"/>
    </row>
    <row r="916" spans="1:8" x14ac:dyDescent="0.35">
      <c r="A916" s="467">
        <v>38986</v>
      </c>
      <c r="B916" s="468">
        <v>8.2410075202080213E-2</v>
      </c>
      <c r="C916" s="468">
        <v>9.796861365628029E-2</v>
      </c>
      <c r="D916" s="469">
        <v>9.8815375468491506E-2</v>
      </c>
      <c r="G916" s="470"/>
      <c r="H916" s="471"/>
    </row>
    <row r="917" spans="1:8" x14ac:dyDescent="0.35">
      <c r="A917" s="467">
        <v>38987</v>
      </c>
      <c r="B917" s="468">
        <v>8.1688454806992494E-2</v>
      </c>
      <c r="C917" s="468">
        <v>9.75769946345455E-2</v>
      </c>
      <c r="D917" s="469">
        <v>9.7913663422067865E-2</v>
      </c>
      <c r="G917" s="470"/>
      <c r="H917" s="471"/>
    </row>
    <row r="918" spans="1:8" x14ac:dyDescent="0.35">
      <c r="A918" s="467">
        <v>38988</v>
      </c>
      <c r="B918" s="468">
        <v>8.1465641951028012E-2</v>
      </c>
      <c r="C918" s="468">
        <v>9.6714182910167645E-2</v>
      </c>
      <c r="D918" s="469">
        <v>9.7181011779814641E-2</v>
      </c>
      <c r="G918" s="470"/>
      <c r="H918" s="471"/>
    </row>
    <row r="919" spans="1:8" x14ac:dyDescent="0.35">
      <c r="A919" s="467">
        <v>38989</v>
      </c>
      <c r="B919" s="468">
        <v>8.211386577189983E-2</v>
      </c>
      <c r="C919" s="468">
        <v>9.5464783310325707E-2</v>
      </c>
      <c r="D919" s="469">
        <v>9.61960843739047E-2</v>
      </c>
      <c r="G919" s="470"/>
      <c r="H919" s="471"/>
    </row>
    <row r="920" spans="1:8" x14ac:dyDescent="0.35">
      <c r="A920" s="467">
        <v>38992</v>
      </c>
      <c r="B920" s="468">
        <v>8.1693394928860963E-2</v>
      </c>
      <c r="C920" s="468">
        <v>9.6141169554443184E-2</v>
      </c>
      <c r="D920" s="469">
        <v>9.7092439841210298E-2</v>
      </c>
      <c r="G920" s="470"/>
      <c r="H920" s="471"/>
    </row>
    <row r="921" spans="1:8" x14ac:dyDescent="0.35">
      <c r="A921" s="467">
        <v>38993</v>
      </c>
      <c r="B921" s="468">
        <v>8.1583196159889848E-2</v>
      </c>
      <c r="C921" s="468">
        <v>9.6092006592812362E-2</v>
      </c>
      <c r="D921" s="469">
        <v>9.7801834336913807E-2</v>
      </c>
      <c r="G921" s="470"/>
      <c r="H921" s="471"/>
    </row>
    <row r="922" spans="1:8" x14ac:dyDescent="0.35">
      <c r="A922" s="467">
        <v>38994</v>
      </c>
      <c r="B922" s="468">
        <v>8.1653230660154286E-2</v>
      </c>
      <c r="C922" s="468">
        <v>9.6571354630969219E-2</v>
      </c>
      <c r="D922" s="469">
        <v>9.7964345998630575E-2</v>
      </c>
      <c r="G922" s="470"/>
      <c r="H922" s="471"/>
    </row>
    <row r="923" spans="1:8" x14ac:dyDescent="0.35">
      <c r="A923" s="467">
        <v>38995</v>
      </c>
      <c r="B923" s="468">
        <v>8.1178763090713257E-2</v>
      </c>
      <c r="C923" s="468">
        <v>9.5877289618231831E-2</v>
      </c>
      <c r="D923" s="469">
        <v>9.6907210875945005E-2</v>
      </c>
      <c r="G923" s="470"/>
      <c r="H923" s="471"/>
    </row>
    <row r="924" spans="1:8" x14ac:dyDescent="0.35">
      <c r="A924" s="467">
        <v>38996</v>
      </c>
      <c r="B924" s="468">
        <v>8.1028813752809459E-2</v>
      </c>
      <c r="C924" s="468">
        <v>9.550707948231496E-2</v>
      </c>
      <c r="D924" s="469">
        <v>9.6472884324206865E-2</v>
      </c>
      <c r="G924" s="470"/>
      <c r="H924" s="471"/>
    </row>
    <row r="925" spans="1:8" x14ac:dyDescent="0.35">
      <c r="A925" s="467">
        <v>38999</v>
      </c>
      <c r="B925" s="468">
        <v>8.0618432223851677E-2</v>
      </c>
      <c r="C925" s="468">
        <v>9.5019520761005616E-2</v>
      </c>
      <c r="D925" s="469">
        <v>9.55703227809519E-2</v>
      </c>
      <c r="G925" s="470"/>
      <c r="H925" s="471"/>
    </row>
    <row r="926" spans="1:8" x14ac:dyDescent="0.35">
      <c r="A926" s="467">
        <v>39000</v>
      </c>
      <c r="B926" s="468">
        <v>8.0790413238592595E-2</v>
      </c>
      <c r="C926" s="468">
        <v>9.4921149526391302E-2</v>
      </c>
      <c r="D926" s="469">
        <v>9.5544932246577785E-2</v>
      </c>
      <c r="G926" s="470"/>
      <c r="H926" s="471"/>
    </row>
    <row r="927" spans="1:8" x14ac:dyDescent="0.35">
      <c r="A927" s="467">
        <v>39001</v>
      </c>
      <c r="B927" s="468">
        <v>8.0833432102885849E-2</v>
      </c>
      <c r="C927" s="468">
        <v>9.5079303232095791E-2</v>
      </c>
      <c r="D927" s="469">
        <v>9.6195129191263495E-2</v>
      </c>
      <c r="G927" s="470"/>
      <c r="H927" s="471"/>
    </row>
    <row r="928" spans="1:8" x14ac:dyDescent="0.35">
      <c r="A928" s="467">
        <v>39002</v>
      </c>
      <c r="B928" s="468">
        <v>8.0744435168947026E-2</v>
      </c>
      <c r="C928" s="468">
        <v>9.5058257951466718E-2</v>
      </c>
      <c r="D928" s="469">
        <v>9.5940685372017498E-2</v>
      </c>
      <c r="G928" s="470"/>
      <c r="H928" s="471"/>
    </row>
    <row r="929" spans="1:8" x14ac:dyDescent="0.35">
      <c r="A929" s="467">
        <v>39003</v>
      </c>
      <c r="B929" s="468">
        <v>8.0132452193429904E-2</v>
      </c>
      <c r="C929" s="468">
        <v>9.4709137338264249E-2</v>
      </c>
      <c r="D929" s="469">
        <v>9.5686453972211094E-2</v>
      </c>
      <c r="G929" s="470"/>
      <c r="H929" s="471"/>
    </row>
    <row r="930" spans="1:8" x14ac:dyDescent="0.35">
      <c r="A930" s="467">
        <v>39007</v>
      </c>
      <c r="B930" s="468">
        <v>8.0724533738948168E-2</v>
      </c>
      <c r="C930" s="468">
        <v>9.5235575841959408E-2</v>
      </c>
      <c r="D930" s="469">
        <v>9.6228952619615837E-2</v>
      </c>
      <c r="G930" s="470"/>
      <c r="H930" s="471"/>
    </row>
    <row r="931" spans="1:8" x14ac:dyDescent="0.35">
      <c r="A931" s="467">
        <v>39008</v>
      </c>
      <c r="B931" s="468">
        <v>7.9898453505292011E-2</v>
      </c>
      <c r="C931" s="468">
        <v>9.4656437081411138E-2</v>
      </c>
      <c r="D931" s="469">
        <v>9.5588276062518185E-2</v>
      </c>
      <c r="G931" s="470"/>
      <c r="H931" s="471"/>
    </row>
    <row r="932" spans="1:8" x14ac:dyDescent="0.35">
      <c r="A932" s="467">
        <v>39009</v>
      </c>
      <c r="B932" s="468">
        <v>8.0043396769703845E-2</v>
      </c>
      <c r="C932" s="468">
        <v>9.4408914725343518E-2</v>
      </c>
      <c r="D932" s="469">
        <v>9.5526305484141982E-2</v>
      </c>
      <c r="G932" s="470"/>
      <c r="H932" s="471"/>
    </row>
    <row r="933" spans="1:8" x14ac:dyDescent="0.35">
      <c r="A933" s="467">
        <v>39010</v>
      </c>
      <c r="B933" s="468">
        <v>8.0649424001867365E-2</v>
      </c>
      <c r="C933" s="468">
        <v>9.4628158512275018E-2</v>
      </c>
      <c r="D933" s="469">
        <v>9.6005256901861236E-2</v>
      </c>
      <c r="G933" s="470"/>
      <c r="H933" s="471"/>
    </row>
    <row r="934" spans="1:8" x14ac:dyDescent="0.35">
      <c r="A934" s="467">
        <v>39013</v>
      </c>
      <c r="B934" s="468">
        <v>8.0968827955391287E-2</v>
      </c>
      <c r="C934" s="468">
        <v>9.4619906780324836E-2</v>
      </c>
      <c r="D934" s="469">
        <v>9.5901183786631039E-2</v>
      </c>
      <c r="G934" s="470"/>
      <c r="H934" s="471"/>
    </row>
    <row r="935" spans="1:8" x14ac:dyDescent="0.35">
      <c r="A935" s="467">
        <v>39014</v>
      </c>
      <c r="B935" s="468">
        <v>8.0736180705807792E-2</v>
      </c>
      <c r="C935" s="468">
        <v>9.5686866036013951E-2</v>
      </c>
      <c r="D935" s="469">
        <v>9.804587087076988E-2</v>
      </c>
      <c r="G935" s="470"/>
      <c r="H935" s="471"/>
    </row>
    <row r="936" spans="1:8" x14ac:dyDescent="0.35">
      <c r="A936" s="467">
        <v>39015</v>
      </c>
      <c r="B936" s="468">
        <v>8.0956066142606309E-2</v>
      </c>
      <c r="C936" s="468">
        <v>9.458179455682858E-2</v>
      </c>
      <c r="D936" s="469">
        <v>9.5793094610014728E-2</v>
      </c>
      <c r="G936" s="470"/>
      <c r="H936" s="471"/>
    </row>
    <row r="937" spans="1:8" x14ac:dyDescent="0.35">
      <c r="A937" s="467">
        <v>39016</v>
      </c>
      <c r="B937" s="468">
        <v>8.0711403984894403E-2</v>
      </c>
      <c r="C937" s="468">
        <v>9.6556758001093534E-2</v>
      </c>
      <c r="D937" s="469">
        <v>9.6076620377985034E-2</v>
      </c>
      <c r="G937" s="470"/>
      <c r="H937" s="471"/>
    </row>
    <row r="938" spans="1:8" x14ac:dyDescent="0.35">
      <c r="A938" s="467">
        <v>39017</v>
      </c>
      <c r="B938" s="468">
        <v>8.102831592742521E-2</v>
      </c>
      <c r="C938" s="468">
        <v>9.2981715170577184E-2</v>
      </c>
      <c r="D938" s="469">
        <v>9.3864463916534024E-2</v>
      </c>
      <c r="G938" s="470"/>
      <c r="H938" s="471"/>
    </row>
    <row r="939" spans="1:8" x14ac:dyDescent="0.35">
      <c r="A939" s="467">
        <v>39020</v>
      </c>
      <c r="B939" s="468">
        <v>8.1108425068989298E-2</v>
      </c>
      <c r="C939" s="468">
        <v>9.2794775200995216E-2</v>
      </c>
      <c r="D939" s="469">
        <v>9.416448752051032E-2</v>
      </c>
      <c r="G939" s="470"/>
      <c r="H939" s="471"/>
    </row>
    <row r="940" spans="1:8" x14ac:dyDescent="0.35">
      <c r="A940" s="467">
        <v>39021</v>
      </c>
      <c r="B940" s="468">
        <v>8.0703360327965434E-2</v>
      </c>
      <c r="C940" s="468">
        <v>9.2145377446980925E-2</v>
      </c>
      <c r="D940" s="469">
        <v>9.3432483501141084E-2</v>
      </c>
      <c r="G940" s="470"/>
      <c r="H940" s="471"/>
    </row>
    <row r="941" spans="1:8" x14ac:dyDescent="0.35">
      <c r="A941" s="467">
        <v>39022</v>
      </c>
      <c r="B941" s="468">
        <v>8.0288808386401289E-2</v>
      </c>
      <c r="C941" s="468">
        <v>9.1466485493983729E-2</v>
      </c>
      <c r="D941" s="469">
        <v>9.3062914007921105E-2</v>
      </c>
      <c r="G941" s="470"/>
      <c r="H941" s="471"/>
    </row>
    <row r="942" spans="1:8" x14ac:dyDescent="0.35">
      <c r="A942" s="467">
        <v>39023</v>
      </c>
      <c r="B942" s="468">
        <v>7.9823972466630755E-2</v>
      </c>
      <c r="C942" s="468">
        <v>9.1414702221992883E-2</v>
      </c>
      <c r="D942" s="469">
        <v>9.2375902207798788E-2</v>
      </c>
      <c r="G942" s="470"/>
      <c r="H942" s="471"/>
    </row>
    <row r="943" spans="1:8" x14ac:dyDescent="0.35">
      <c r="A943" s="467">
        <v>39024</v>
      </c>
      <c r="B943" s="468">
        <v>7.9910214959278747E-2</v>
      </c>
      <c r="C943" s="468">
        <v>9.1461229139154554E-2</v>
      </c>
      <c r="D943" s="469">
        <v>9.2590965611185627E-2</v>
      </c>
      <c r="G943" s="470"/>
      <c r="H943" s="471"/>
    </row>
    <row r="944" spans="1:8" x14ac:dyDescent="0.35">
      <c r="A944" s="467">
        <v>39028</v>
      </c>
      <c r="B944" s="468">
        <v>8.0276918256505514E-2</v>
      </c>
      <c r="C944" s="468">
        <v>9.0634973010504272E-2</v>
      </c>
      <c r="D944" s="469">
        <v>9.159665074463752E-2</v>
      </c>
      <c r="G944" s="470"/>
      <c r="H944" s="471"/>
    </row>
    <row r="945" spans="1:8" x14ac:dyDescent="0.35">
      <c r="A945" s="467">
        <v>39029</v>
      </c>
      <c r="B945" s="468">
        <v>8.1983567588346906E-2</v>
      </c>
      <c r="C945" s="468">
        <v>8.9950860327193904E-2</v>
      </c>
      <c r="D945" s="469">
        <v>9.113526546342654E-2</v>
      </c>
      <c r="G945" s="470"/>
      <c r="H945" s="471"/>
    </row>
    <row r="946" spans="1:8" x14ac:dyDescent="0.35">
      <c r="A946" s="467">
        <v>39030</v>
      </c>
      <c r="B946" s="468">
        <v>7.8890742410112846E-2</v>
      </c>
      <c r="C946" s="468">
        <v>8.9593295643801696E-2</v>
      </c>
      <c r="D946" s="469">
        <v>9.0415118852310128E-2</v>
      </c>
      <c r="G946" s="470"/>
      <c r="H946" s="471"/>
    </row>
    <row r="947" spans="1:8" x14ac:dyDescent="0.35">
      <c r="A947" s="467">
        <v>39031</v>
      </c>
      <c r="B947" s="468">
        <v>7.9159696611498909E-2</v>
      </c>
      <c r="C947" s="468">
        <v>9.0231488845277985E-2</v>
      </c>
      <c r="D947" s="469">
        <v>9.08119493620545E-2</v>
      </c>
      <c r="G947" s="470"/>
      <c r="H947" s="471"/>
    </row>
    <row r="948" spans="1:8" x14ac:dyDescent="0.35">
      <c r="A948" s="467">
        <v>39035</v>
      </c>
      <c r="B948" s="468">
        <v>7.876438369835892E-2</v>
      </c>
      <c r="C948" s="468">
        <v>8.9564269734239144E-2</v>
      </c>
      <c r="D948" s="469">
        <v>9.0442405095144229E-2</v>
      </c>
      <c r="G948" s="470"/>
      <c r="H948" s="471"/>
    </row>
    <row r="949" spans="1:8" x14ac:dyDescent="0.35">
      <c r="A949" s="467">
        <v>39036</v>
      </c>
      <c r="B949" s="468">
        <v>7.8670678243056402E-2</v>
      </c>
      <c r="C949" s="468">
        <v>8.9115657234099199E-2</v>
      </c>
      <c r="D949" s="469">
        <v>8.9940892918008553E-2</v>
      </c>
      <c r="G949" s="470"/>
      <c r="H949" s="471"/>
    </row>
    <row r="950" spans="1:8" x14ac:dyDescent="0.35">
      <c r="A950" s="467">
        <v>39037</v>
      </c>
      <c r="B950" s="468">
        <v>7.9119659695109146E-2</v>
      </c>
      <c r="C950" s="468">
        <v>8.9999186724190716E-2</v>
      </c>
      <c r="D950" s="469">
        <v>8.9803569532251215E-2</v>
      </c>
      <c r="G950" s="470"/>
      <c r="H950" s="471"/>
    </row>
    <row r="951" spans="1:8" x14ac:dyDescent="0.35">
      <c r="A951" s="467">
        <v>39038</v>
      </c>
      <c r="B951" s="468">
        <v>7.9059093828931948E-2</v>
      </c>
      <c r="C951" s="468">
        <v>9.0119079070637431E-2</v>
      </c>
      <c r="D951" s="469">
        <v>9.094531094070013E-2</v>
      </c>
      <c r="G951" s="470"/>
      <c r="H951" s="471"/>
    </row>
    <row r="952" spans="1:8" x14ac:dyDescent="0.35">
      <c r="A952" s="467">
        <v>39041</v>
      </c>
      <c r="B952" s="468">
        <v>7.8984933934418411E-2</v>
      </c>
      <c r="C952" s="468">
        <v>9.01055568231659E-2</v>
      </c>
      <c r="D952" s="469">
        <v>9.1332254408938107E-2</v>
      </c>
      <c r="G952" s="470"/>
      <c r="H952" s="471"/>
    </row>
    <row r="953" spans="1:8" x14ac:dyDescent="0.35">
      <c r="A953" s="467">
        <v>39042</v>
      </c>
      <c r="B953" s="468">
        <v>7.8956484767660262E-2</v>
      </c>
      <c r="C953" s="468">
        <v>9.0039841902819662E-2</v>
      </c>
      <c r="D953" s="469">
        <v>9.0840335107494896E-2</v>
      </c>
      <c r="G953" s="470"/>
      <c r="H953" s="471"/>
    </row>
    <row r="954" spans="1:8" x14ac:dyDescent="0.35">
      <c r="A954" s="467">
        <v>39043</v>
      </c>
      <c r="B954" s="468">
        <v>7.9101645042320756E-2</v>
      </c>
      <c r="C954" s="468">
        <v>9.0569835432625645E-2</v>
      </c>
      <c r="D954" s="469">
        <v>9.1155594460213818E-2</v>
      </c>
      <c r="G954" s="470"/>
      <c r="H954" s="471"/>
    </row>
    <row r="955" spans="1:8" x14ac:dyDescent="0.35">
      <c r="A955" s="467">
        <v>39044</v>
      </c>
      <c r="B955" s="468">
        <v>7.9309452446344242E-2</v>
      </c>
      <c r="C955" s="468">
        <v>9.1067595836946014E-2</v>
      </c>
      <c r="D955" s="469">
        <v>9.1914930869738232E-2</v>
      </c>
      <c r="G955" s="470"/>
      <c r="H955" s="471"/>
    </row>
    <row r="956" spans="1:8" x14ac:dyDescent="0.35">
      <c r="A956" s="467">
        <v>39045</v>
      </c>
      <c r="B956" s="468">
        <v>7.9736231066538377E-2</v>
      </c>
      <c r="C956" s="468">
        <v>9.1698596576688107E-2</v>
      </c>
      <c r="D956" s="469">
        <v>9.1898886651579526E-2</v>
      </c>
      <c r="G956" s="470"/>
      <c r="H956" s="471"/>
    </row>
    <row r="957" spans="1:8" x14ac:dyDescent="0.35">
      <c r="A957" s="467">
        <v>39048</v>
      </c>
      <c r="B957" s="468">
        <v>8.0006994639348239E-2</v>
      </c>
      <c r="C957" s="468">
        <v>9.3651161092974888E-2</v>
      </c>
      <c r="D957" s="469">
        <v>9.4760286248427805E-2</v>
      </c>
      <c r="G957" s="470"/>
      <c r="H957" s="471"/>
    </row>
    <row r="958" spans="1:8" x14ac:dyDescent="0.35">
      <c r="A958" s="467">
        <v>39049</v>
      </c>
      <c r="B958" s="468">
        <v>7.9962160967003371E-2</v>
      </c>
      <c r="C958" s="468">
        <v>9.3771172117383728E-2</v>
      </c>
      <c r="D958" s="469">
        <v>9.4639313513221301E-2</v>
      </c>
      <c r="G958" s="470"/>
      <c r="H958" s="471"/>
    </row>
    <row r="959" spans="1:8" x14ac:dyDescent="0.35">
      <c r="A959" s="467">
        <v>39050</v>
      </c>
      <c r="B959" s="468">
        <v>7.9521427835812064E-2</v>
      </c>
      <c r="C959" s="468">
        <v>9.3174180782132465E-2</v>
      </c>
      <c r="D959" s="469">
        <v>9.3872964033220097E-2</v>
      </c>
      <c r="G959" s="470"/>
      <c r="H959" s="471"/>
    </row>
    <row r="960" spans="1:8" x14ac:dyDescent="0.35">
      <c r="A960" s="467">
        <v>39051</v>
      </c>
      <c r="B960" s="468">
        <v>7.9524386792580781E-2</v>
      </c>
      <c r="C960" s="468">
        <v>9.2852010247385541E-2</v>
      </c>
      <c r="D960" s="469">
        <v>9.341542837463046E-2</v>
      </c>
      <c r="G960" s="470"/>
      <c r="H960" s="471"/>
    </row>
    <row r="961" spans="1:8" x14ac:dyDescent="0.35">
      <c r="A961" s="467">
        <v>39052</v>
      </c>
      <c r="B961" s="468">
        <v>7.9514085738839668E-2</v>
      </c>
      <c r="C961" s="468">
        <v>9.258103288153019E-2</v>
      </c>
      <c r="D961" s="469">
        <v>9.2858187056761743E-2</v>
      </c>
      <c r="G961" s="470"/>
      <c r="H961" s="471"/>
    </row>
    <row r="962" spans="1:8" x14ac:dyDescent="0.35">
      <c r="A962" s="467">
        <v>39055</v>
      </c>
      <c r="B962" s="468">
        <v>7.9590578418198499E-2</v>
      </c>
      <c r="C962" s="468">
        <v>9.2210879713309213E-2</v>
      </c>
      <c r="D962" s="469">
        <v>9.2531473154407573E-2</v>
      </c>
      <c r="G962" s="470"/>
      <c r="H962" s="471"/>
    </row>
    <row r="963" spans="1:8" x14ac:dyDescent="0.35">
      <c r="A963" s="467">
        <v>39056</v>
      </c>
      <c r="B963" s="468">
        <v>7.9245790746891309E-2</v>
      </c>
      <c r="C963" s="468">
        <v>9.1085875701697683E-2</v>
      </c>
      <c r="D963" s="469">
        <v>9.1309616623892031E-2</v>
      </c>
      <c r="G963" s="470"/>
      <c r="H963" s="471"/>
    </row>
    <row r="964" spans="1:8" x14ac:dyDescent="0.35">
      <c r="A964" s="467">
        <v>39057</v>
      </c>
      <c r="B964" s="468">
        <v>7.9249012903203297E-2</v>
      </c>
      <c r="C964" s="468">
        <v>9.1101421454554465E-2</v>
      </c>
      <c r="D964" s="469">
        <v>9.1485712086432081E-2</v>
      </c>
      <c r="G964" s="470"/>
      <c r="H964" s="471"/>
    </row>
    <row r="965" spans="1:8" x14ac:dyDescent="0.35">
      <c r="A965" s="467">
        <v>39058</v>
      </c>
      <c r="B965" s="468">
        <v>7.9408398786535495E-2</v>
      </c>
      <c r="C965" s="468">
        <v>9.1452751027216062E-2</v>
      </c>
      <c r="D965" s="469">
        <v>9.2093039720363867E-2</v>
      </c>
      <c r="G965" s="470"/>
      <c r="H965" s="471"/>
    </row>
    <row r="966" spans="1:8" x14ac:dyDescent="0.35">
      <c r="A966" s="467">
        <v>39062</v>
      </c>
      <c r="B966" s="468">
        <v>7.9312401958842704E-2</v>
      </c>
      <c r="C966" s="468">
        <v>9.1028260528761562E-2</v>
      </c>
      <c r="D966" s="469">
        <v>9.1719298828190521E-2</v>
      </c>
      <c r="G966" s="470"/>
      <c r="H966" s="471"/>
    </row>
    <row r="967" spans="1:8" x14ac:dyDescent="0.35">
      <c r="A967" s="467">
        <v>39063</v>
      </c>
      <c r="B967" s="468">
        <v>7.9355228117417242E-2</v>
      </c>
      <c r="C967" s="468">
        <v>9.0790332648612138E-2</v>
      </c>
      <c r="D967" s="469">
        <v>9.1609706243353406E-2</v>
      </c>
      <c r="G967" s="470"/>
      <c r="H967" s="471"/>
    </row>
    <row r="968" spans="1:8" x14ac:dyDescent="0.35">
      <c r="A968" s="467">
        <v>39064</v>
      </c>
      <c r="B968" s="468">
        <v>7.9354998906339569E-2</v>
      </c>
      <c r="C968" s="468">
        <v>9.0665052317522976E-2</v>
      </c>
      <c r="D968" s="469">
        <v>9.143743126276016E-2</v>
      </c>
      <c r="G968" s="470"/>
      <c r="H968" s="471"/>
    </row>
    <row r="969" spans="1:8" x14ac:dyDescent="0.35">
      <c r="A969" s="467">
        <v>39065</v>
      </c>
      <c r="B969" s="468">
        <v>7.935321768210768E-2</v>
      </c>
      <c r="C969" s="468">
        <v>9.0897900436973877E-2</v>
      </c>
      <c r="D969" s="469">
        <v>9.1848037125511262E-2</v>
      </c>
      <c r="G969" s="470"/>
      <c r="H969" s="471"/>
    </row>
    <row r="970" spans="1:8" x14ac:dyDescent="0.35">
      <c r="A970" s="467">
        <v>39066</v>
      </c>
      <c r="B970" s="468">
        <v>7.9276345678981563E-2</v>
      </c>
      <c r="C970" s="468">
        <v>9.0032561854496373E-2</v>
      </c>
      <c r="D970" s="469">
        <v>9.0975849300129141E-2</v>
      </c>
      <c r="G970" s="470"/>
      <c r="H970" s="471"/>
    </row>
    <row r="971" spans="1:8" x14ac:dyDescent="0.35">
      <c r="A971" s="467">
        <v>39069</v>
      </c>
      <c r="B971" s="468">
        <v>7.9515293616761129E-2</v>
      </c>
      <c r="C971" s="468">
        <v>8.9369351245020656E-2</v>
      </c>
      <c r="D971" s="469">
        <v>9.0619750744422189E-2</v>
      </c>
      <c r="G971" s="470"/>
      <c r="H971" s="471"/>
    </row>
    <row r="972" spans="1:8" x14ac:dyDescent="0.35">
      <c r="A972" s="467">
        <v>39070</v>
      </c>
      <c r="B972" s="468">
        <v>7.9792841948071569E-2</v>
      </c>
      <c r="C972" s="468">
        <v>8.9469343723543204E-2</v>
      </c>
      <c r="D972" s="469">
        <v>9.0533159849380374E-2</v>
      </c>
      <c r="G972" s="470"/>
      <c r="H972" s="471"/>
    </row>
    <row r="973" spans="1:8" x14ac:dyDescent="0.35">
      <c r="A973" s="467">
        <v>39071</v>
      </c>
      <c r="B973" s="468">
        <v>7.9893452550070299E-2</v>
      </c>
      <c r="C973" s="468">
        <v>8.9161380301727267E-2</v>
      </c>
      <c r="D973" s="469">
        <v>9.0267959388273145E-2</v>
      </c>
      <c r="G973" s="470"/>
      <c r="H973" s="471"/>
    </row>
    <row r="974" spans="1:8" x14ac:dyDescent="0.35">
      <c r="A974" s="467">
        <v>39072</v>
      </c>
      <c r="B974" s="468">
        <v>8.0279009577793436E-2</v>
      </c>
      <c r="C974" s="468">
        <v>8.7003499537194218E-2</v>
      </c>
      <c r="D974" s="469">
        <v>8.7615892271824425E-2</v>
      </c>
      <c r="G974" s="470"/>
      <c r="H974" s="471"/>
    </row>
    <row r="975" spans="1:8" x14ac:dyDescent="0.35">
      <c r="A975" s="467">
        <v>39073</v>
      </c>
      <c r="B975" s="468">
        <v>7.960725544374192E-2</v>
      </c>
      <c r="C975" s="468">
        <v>8.9481731387680563E-2</v>
      </c>
      <c r="D975" s="469">
        <v>9.0299467244979503E-2</v>
      </c>
      <c r="G975" s="470"/>
      <c r="H975" s="471"/>
    </row>
    <row r="976" spans="1:8" x14ac:dyDescent="0.35">
      <c r="A976" s="467">
        <v>39077</v>
      </c>
      <c r="B976" s="468">
        <v>7.9703812871649626E-2</v>
      </c>
      <c r="C976" s="468">
        <v>8.9137190231717289E-2</v>
      </c>
      <c r="D976" s="469">
        <v>9.0030772237898793E-2</v>
      </c>
      <c r="G976" s="470"/>
      <c r="H976" s="471"/>
    </row>
    <row r="977" spans="1:8" x14ac:dyDescent="0.35">
      <c r="A977" s="467">
        <v>39078</v>
      </c>
      <c r="B977" s="468">
        <v>7.959880444710854E-2</v>
      </c>
      <c r="C977" s="468">
        <v>8.7208959936098118E-2</v>
      </c>
      <c r="D977" s="469">
        <v>8.9507543908034615E-2</v>
      </c>
      <c r="G977" s="470"/>
      <c r="H977" s="471"/>
    </row>
    <row r="978" spans="1:8" x14ac:dyDescent="0.35">
      <c r="A978" s="467">
        <v>39079</v>
      </c>
      <c r="B978" s="468">
        <v>7.9597195601091464E-2</v>
      </c>
      <c r="C978" s="468">
        <v>8.947994739296905E-2</v>
      </c>
      <c r="D978" s="469">
        <v>9.037260462010499E-2</v>
      </c>
      <c r="G978" s="470"/>
      <c r="H978" s="471"/>
    </row>
    <row r="979" spans="1:8" x14ac:dyDescent="0.35">
      <c r="A979" s="467">
        <v>39084</v>
      </c>
      <c r="B979" s="468">
        <v>7.9782467538455526E-2</v>
      </c>
      <c r="C979" s="468">
        <v>8.914405172633777E-2</v>
      </c>
      <c r="D979" s="469">
        <v>8.9922527835726296E-2</v>
      </c>
      <c r="G979" s="470"/>
      <c r="H979" s="471"/>
    </row>
    <row r="980" spans="1:8" x14ac:dyDescent="0.35">
      <c r="A980" s="467">
        <v>39085</v>
      </c>
      <c r="B980" s="468">
        <v>7.986833608392141E-2</v>
      </c>
      <c r="C980" s="468">
        <v>8.8557438409728739E-2</v>
      </c>
      <c r="D980" s="469">
        <v>8.9356971411744812E-2</v>
      </c>
      <c r="G980" s="470"/>
      <c r="H980" s="471"/>
    </row>
    <row r="981" spans="1:8" x14ac:dyDescent="0.35">
      <c r="A981" s="467">
        <v>39086</v>
      </c>
      <c r="B981" s="468">
        <v>8.0306106107816078E-2</v>
      </c>
      <c r="C981" s="468">
        <v>8.9154639866529051E-2</v>
      </c>
      <c r="D981" s="469">
        <v>8.9503181539541732E-2</v>
      </c>
      <c r="G981" s="470"/>
      <c r="H981" s="471"/>
    </row>
    <row r="982" spans="1:8" x14ac:dyDescent="0.35">
      <c r="A982" s="467">
        <v>39087</v>
      </c>
      <c r="B982" s="468">
        <v>8.0684796919922475E-2</v>
      </c>
      <c r="C982" s="468">
        <v>9.03540191731802E-2</v>
      </c>
      <c r="D982" s="469">
        <v>9.0747020844354598E-2</v>
      </c>
      <c r="G982" s="470"/>
      <c r="H982" s="471"/>
    </row>
    <row r="983" spans="1:8" x14ac:dyDescent="0.35">
      <c r="A983" s="467">
        <v>39091</v>
      </c>
      <c r="B983" s="468">
        <v>8.2235225715972859E-2</v>
      </c>
      <c r="C983" s="468">
        <v>9.2175453816562447E-2</v>
      </c>
      <c r="D983" s="469">
        <v>9.2648816408284373E-2</v>
      </c>
      <c r="G983" s="470"/>
      <c r="H983" s="471"/>
    </row>
    <row r="984" spans="1:8" x14ac:dyDescent="0.35">
      <c r="A984" s="467">
        <v>39092</v>
      </c>
      <c r="B984" s="468">
        <v>8.3119779233906232E-2</v>
      </c>
      <c r="C984" s="468">
        <v>9.5298637689181787E-2</v>
      </c>
      <c r="D984" s="469">
        <v>9.6048616087344385E-2</v>
      </c>
      <c r="G984" s="470"/>
      <c r="H984" s="471"/>
    </row>
    <row r="985" spans="1:8" x14ac:dyDescent="0.35">
      <c r="A985" s="467">
        <v>39093</v>
      </c>
      <c r="B985" s="468">
        <v>8.2357406122998356E-2</v>
      </c>
      <c r="C985" s="468">
        <v>9.304774713445596E-2</v>
      </c>
      <c r="D985" s="469">
        <v>9.3426835555464827E-2</v>
      </c>
      <c r="G985" s="470"/>
      <c r="H985" s="471"/>
    </row>
    <row r="986" spans="1:8" x14ac:dyDescent="0.35">
      <c r="A986" s="467">
        <v>39094</v>
      </c>
      <c r="B986" s="468">
        <v>8.2008300949494517E-2</v>
      </c>
      <c r="C986" s="468">
        <v>9.292213457387466E-2</v>
      </c>
      <c r="D986" s="469">
        <v>9.3211660852423606E-2</v>
      </c>
      <c r="G986" s="470"/>
      <c r="H986" s="471"/>
    </row>
    <row r="987" spans="1:8" x14ac:dyDescent="0.35">
      <c r="A987" s="467">
        <v>39097</v>
      </c>
      <c r="B987" s="468">
        <v>8.1824777356243272E-2</v>
      </c>
      <c r="C987" s="468">
        <v>9.184341113456429E-2</v>
      </c>
      <c r="D987" s="469">
        <v>9.2118033690452794E-2</v>
      </c>
      <c r="G987" s="470"/>
      <c r="H987" s="471"/>
    </row>
    <row r="988" spans="1:8" x14ac:dyDescent="0.35">
      <c r="A988" s="467">
        <v>39098</v>
      </c>
      <c r="B988" s="468">
        <v>8.1890696363069004E-2</v>
      </c>
      <c r="C988" s="468">
        <v>9.2046500691301825E-2</v>
      </c>
      <c r="D988" s="469">
        <v>9.2270957186873392E-2</v>
      </c>
      <c r="G988" s="470"/>
      <c r="H988" s="471"/>
    </row>
    <row r="989" spans="1:8" x14ac:dyDescent="0.35">
      <c r="A989" s="467">
        <v>39099</v>
      </c>
      <c r="B989" s="468">
        <v>8.190094846723861E-2</v>
      </c>
      <c r="C989" s="468">
        <v>9.1589180071357523E-2</v>
      </c>
      <c r="D989" s="469">
        <v>9.1589482283625845E-2</v>
      </c>
      <c r="G989" s="470"/>
      <c r="H989" s="471"/>
    </row>
    <row r="990" spans="1:8" x14ac:dyDescent="0.35">
      <c r="A990" s="467">
        <v>39100</v>
      </c>
      <c r="B990" s="468">
        <v>8.1838873604693552E-2</v>
      </c>
      <c r="C990" s="468">
        <v>9.1259515797364577E-2</v>
      </c>
      <c r="D990" s="469">
        <v>9.1447987549259535E-2</v>
      </c>
      <c r="G990" s="470"/>
      <c r="H990" s="471"/>
    </row>
    <row r="991" spans="1:8" x14ac:dyDescent="0.35">
      <c r="A991" s="467">
        <v>39101</v>
      </c>
      <c r="B991" s="468">
        <v>8.1793987377559274E-2</v>
      </c>
      <c r="C991" s="468">
        <v>9.1722438171102816E-2</v>
      </c>
      <c r="D991" s="469">
        <v>9.2315847933858164E-2</v>
      </c>
      <c r="G991" s="470"/>
      <c r="H991" s="471"/>
    </row>
    <row r="992" spans="1:8" x14ac:dyDescent="0.35">
      <c r="A992" s="467">
        <v>39104</v>
      </c>
      <c r="B992" s="468">
        <v>8.2064885009583755E-2</v>
      </c>
      <c r="C992" s="468">
        <v>9.1883422907088397E-2</v>
      </c>
      <c r="D992" s="469">
        <v>9.1997812999396134E-2</v>
      </c>
      <c r="G992" s="470"/>
      <c r="H992" s="471"/>
    </row>
    <row r="993" spans="1:8" x14ac:dyDescent="0.35">
      <c r="A993" s="467">
        <v>39105</v>
      </c>
      <c r="B993" s="468">
        <v>8.234214293202613E-2</v>
      </c>
      <c r="C993" s="468">
        <v>9.2864006849499692E-2</v>
      </c>
      <c r="D993" s="469">
        <v>9.3695842079052793E-2</v>
      </c>
      <c r="G993" s="470"/>
      <c r="H993" s="471"/>
    </row>
    <row r="994" spans="1:8" x14ac:dyDescent="0.35">
      <c r="A994" s="467">
        <v>39106</v>
      </c>
      <c r="B994" s="468">
        <v>8.2788525461190865E-2</v>
      </c>
      <c r="C994" s="468">
        <v>9.2827896719518854E-2</v>
      </c>
      <c r="D994" s="469">
        <v>9.3089943700406907E-2</v>
      </c>
      <c r="G994" s="470"/>
      <c r="H994" s="471"/>
    </row>
    <row r="995" spans="1:8" x14ac:dyDescent="0.35">
      <c r="A995" s="467">
        <v>39107</v>
      </c>
      <c r="B995" s="468">
        <v>8.3018438759192792E-2</v>
      </c>
      <c r="C995" s="468">
        <v>9.2835019147890829E-2</v>
      </c>
      <c r="D995" s="469">
        <v>9.3325179176655171E-2</v>
      </c>
      <c r="G995" s="470"/>
      <c r="H995" s="471"/>
    </row>
    <row r="996" spans="1:8" x14ac:dyDescent="0.35">
      <c r="A996" s="467">
        <v>39108</v>
      </c>
      <c r="B996" s="468">
        <v>8.3775048578235145E-2</v>
      </c>
      <c r="C996" s="468">
        <v>9.4760275277927519E-2</v>
      </c>
      <c r="D996" s="469">
        <v>9.4928240817503617E-2</v>
      </c>
      <c r="G996" s="470"/>
      <c r="H996" s="471"/>
    </row>
    <row r="997" spans="1:8" x14ac:dyDescent="0.35">
      <c r="A997" s="467">
        <v>39111</v>
      </c>
      <c r="B997" s="468">
        <v>8.4138578665051034E-2</v>
      </c>
      <c r="C997" s="468">
        <v>9.4755449905461697E-2</v>
      </c>
      <c r="D997" s="469">
        <v>9.4897390196148068E-2</v>
      </c>
      <c r="G997" s="470"/>
      <c r="H997" s="471"/>
    </row>
    <row r="998" spans="1:8" x14ac:dyDescent="0.35">
      <c r="A998" s="467">
        <v>39112</v>
      </c>
      <c r="B998" s="468">
        <v>8.4100807390634635E-2</v>
      </c>
      <c r="C998" s="468">
        <v>9.4749378375514448E-2</v>
      </c>
      <c r="D998" s="469">
        <v>9.5053300351077619E-2</v>
      </c>
      <c r="G998" s="470"/>
      <c r="H998" s="471"/>
    </row>
    <row r="999" spans="1:8" x14ac:dyDescent="0.35">
      <c r="A999" s="467">
        <v>39113</v>
      </c>
      <c r="B999" s="468">
        <v>8.3825015751307852E-2</v>
      </c>
      <c r="C999" s="468">
        <v>9.4499096125241433E-2</v>
      </c>
      <c r="D999" s="469">
        <v>9.4504021633604163E-2</v>
      </c>
      <c r="G999" s="470"/>
      <c r="H999" s="471"/>
    </row>
    <row r="1000" spans="1:8" x14ac:dyDescent="0.35">
      <c r="A1000" s="467">
        <v>39114</v>
      </c>
      <c r="B1000" s="468">
        <v>8.3561537745298509E-2</v>
      </c>
      <c r="C1000" s="468">
        <v>9.3940069806908166E-2</v>
      </c>
      <c r="D1000" s="469">
        <v>9.3654058601086998E-2</v>
      </c>
      <c r="G1000" s="470"/>
      <c r="H1000" s="471"/>
    </row>
    <row r="1001" spans="1:8" x14ac:dyDescent="0.35">
      <c r="A1001" s="467">
        <v>39115</v>
      </c>
      <c r="B1001" s="468">
        <v>8.3782843433995557E-2</v>
      </c>
      <c r="C1001" s="468">
        <v>9.4074000877561126E-2</v>
      </c>
      <c r="D1001" s="469">
        <v>9.4063690990580318E-2</v>
      </c>
      <c r="G1001" s="470"/>
      <c r="H1001" s="471"/>
    </row>
    <row r="1002" spans="1:8" x14ac:dyDescent="0.35">
      <c r="A1002" s="467">
        <v>39118</v>
      </c>
      <c r="B1002" s="468">
        <v>8.4012110649162253E-2</v>
      </c>
      <c r="C1002" s="468">
        <v>9.3867668511735225E-2</v>
      </c>
      <c r="D1002" s="469">
        <v>9.3884272449257233E-2</v>
      </c>
      <c r="G1002" s="470"/>
      <c r="H1002" s="471"/>
    </row>
    <row r="1003" spans="1:8" x14ac:dyDescent="0.35">
      <c r="A1003" s="467">
        <v>39119</v>
      </c>
      <c r="B1003" s="468">
        <v>8.4343312200877874E-2</v>
      </c>
      <c r="C1003" s="468">
        <v>9.4262469076807465E-2</v>
      </c>
      <c r="D1003" s="469">
        <v>9.4511252188574257E-2</v>
      </c>
      <c r="G1003" s="470"/>
      <c r="H1003" s="471"/>
    </row>
    <row r="1004" spans="1:8" x14ac:dyDescent="0.35">
      <c r="A1004" s="467">
        <v>39120</v>
      </c>
      <c r="B1004" s="468">
        <v>8.4787713506232487E-2</v>
      </c>
      <c r="C1004" s="468">
        <v>9.5471319671176946E-2</v>
      </c>
      <c r="D1004" s="469">
        <v>9.5269334512072756E-2</v>
      </c>
      <c r="G1004" s="470"/>
      <c r="H1004" s="471"/>
    </row>
    <row r="1005" spans="1:8" x14ac:dyDescent="0.35">
      <c r="A1005" s="467">
        <v>39121</v>
      </c>
      <c r="B1005" s="468">
        <v>8.6395022033891156E-2</v>
      </c>
      <c r="C1005" s="468">
        <v>9.7833585635914266E-2</v>
      </c>
      <c r="D1005" s="469">
        <v>9.5269077897109256E-2</v>
      </c>
      <c r="G1005" s="470"/>
      <c r="H1005" s="471"/>
    </row>
    <row r="1006" spans="1:8" x14ac:dyDescent="0.35">
      <c r="A1006" s="467">
        <v>39122</v>
      </c>
      <c r="B1006" s="468">
        <v>8.6031053229089549E-2</v>
      </c>
      <c r="C1006" s="468">
        <v>9.6993127097371845E-2</v>
      </c>
      <c r="D1006" s="469">
        <v>9.505085269733371E-2</v>
      </c>
      <c r="G1006" s="470"/>
      <c r="H1006" s="471"/>
    </row>
    <row r="1007" spans="1:8" x14ac:dyDescent="0.35">
      <c r="A1007" s="467">
        <v>39125</v>
      </c>
      <c r="B1007" s="468">
        <v>8.5648599320882646E-2</v>
      </c>
      <c r="C1007" s="468">
        <v>9.625016450119217E-2</v>
      </c>
      <c r="D1007" s="469">
        <v>9.642098408000499E-2</v>
      </c>
      <c r="G1007" s="470"/>
      <c r="H1007" s="471"/>
    </row>
    <row r="1008" spans="1:8" x14ac:dyDescent="0.35">
      <c r="A1008" s="467">
        <v>39126</v>
      </c>
      <c r="B1008" s="468">
        <v>8.6040480356464055E-2</v>
      </c>
      <c r="C1008" s="468">
        <v>9.5748210275516055E-2</v>
      </c>
      <c r="D1008" s="469">
        <v>9.5672469119926884E-2</v>
      </c>
      <c r="G1008" s="470"/>
      <c r="H1008" s="471"/>
    </row>
    <row r="1009" spans="1:8" x14ac:dyDescent="0.35">
      <c r="A1009" s="467">
        <v>39127</v>
      </c>
      <c r="B1009" s="468">
        <v>8.5336343881917687E-2</v>
      </c>
      <c r="C1009" s="468">
        <v>9.4703646375221773E-2</v>
      </c>
      <c r="D1009" s="469">
        <v>9.475834849892073E-2</v>
      </c>
      <c r="G1009" s="470"/>
      <c r="H1009" s="471"/>
    </row>
    <row r="1010" spans="1:8" x14ac:dyDescent="0.35">
      <c r="A1010" s="467">
        <v>39128</v>
      </c>
      <c r="B1010" s="468">
        <v>8.5276385062907023E-2</v>
      </c>
      <c r="C1010" s="468">
        <v>9.4501204281601359E-2</v>
      </c>
      <c r="D1010" s="469">
        <v>9.4396318118910694E-2</v>
      </c>
      <c r="G1010" s="470"/>
      <c r="H1010" s="471"/>
    </row>
    <row r="1011" spans="1:8" x14ac:dyDescent="0.35">
      <c r="A1011" s="467">
        <v>39129</v>
      </c>
      <c r="B1011" s="468">
        <v>8.5849476992099882E-2</v>
      </c>
      <c r="C1011" s="468">
        <v>9.3378906747920709E-2</v>
      </c>
      <c r="D1011" s="469">
        <v>9.4152143908201813E-2</v>
      </c>
      <c r="G1011" s="470"/>
      <c r="H1011" s="471"/>
    </row>
    <row r="1012" spans="1:8" x14ac:dyDescent="0.35">
      <c r="A1012" s="467">
        <v>39132</v>
      </c>
      <c r="B1012" s="468">
        <v>8.553523865143009E-2</v>
      </c>
      <c r="C1012" s="468">
        <v>9.5105240164633065E-2</v>
      </c>
      <c r="D1012" s="469">
        <v>9.5178319029683323E-2</v>
      </c>
      <c r="G1012" s="470"/>
      <c r="H1012" s="471"/>
    </row>
    <row r="1013" spans="1:8" x14ac:dyDescent="0.35">
      <c r="A1013" s="467">
        <v>39133</v>
      </c>
      <c r="B1013" s="468">
        <v>8.6178820854280191E-2</v>
      </c>
      <c r="C1013" s="468">
        <v>9.4305651364907428E-2</v>
      </c>
      <c r="D1013" s="469">
        <v>9.5834714640593788E-2</v>
      </c>
      <c r="G1013" s="470"/>
      <c r="H1013" s="471"/>
    </row>
    <row r="1014" spans="1:8" x14ac:dyDescent="0.35">
      <c r="A1014" s="467">
        <v>39134</v>
      </c>
      <c r="B1014" s="468">
        <v>8.5984188812528339E-2</v>
      </c>
      <c r="C1014" s="468">
        <v>9.568968775204012E-2</v>
      </c>
      <c r="D1014" s="469">
        <v>9.5551289824540087E-2</v>
      </c>
      <c r="G1014" s="470"/>
      <c r="H1014" s="471"/>
    </row>
    <row r="1015" spans="1:8" x14ac:dyDescent="0.35">
      <c r="A1015" s="467">
        <v>39135</v>
      </c>
      <c r="B1015" s="468">
        <v>8.6957163218991163E-2</v>
      </c>
      <c r="C1015" s="468">
        <v>9.4409274990184811E-2</v>
      </c>
      <c r="D1015" s="469">
        <v>9.5544358020460241E-2</v>
      </c>
      <c r="G1015" s="470"/>
      <c r="H1015" s="471"/>
    </row>
    <row r="1016" spans="1:8" x14ac:dyDescent="0.35">
      <c r="A1016" s="467">
        <v>39136</v>
      </c>
      <c r="B1016" s="468">
        <v>8.7567495420581842E-2</v>
      </c>
      <c r="C1016" s="468">
        <v>9.419726920167526E-2</v>
      </c>
      <c r="D1016" s="469">
        <v>9.5305582775291997E-2</v>
      </c>
      <c r="G1016" s="470"/>
      <c r="H1016" s="471"/>
    </row>
    <row r="1017" spans="1:8" x14ac:dyDescent="0.35">
      <c r="A1017" s="467">
        <v>39139</v>
      </c>
      <c r="B1017" s="468">
        <v>8.7537897774002671E-2</v>
      </c>
      <c r="C1017" s="468">
        <v>9.4258774641308163E-2</v>
      </c>
      <c r="D1017" s="469">
        <v>9.5170320327945257E-2</v>
      </c>
      <c r="G1017" s="470"/>
      <c r="H1017" s="471"/>
    </row>
    <row r="1018" spans="1:8" x14ac:dyDescent="0.35">
      <c r="A1018" s="467">
        <v>39140</v>
      </c>
      <c r="B1018" s="468">
        <v>8.8148656410542925E-2</v>
      </c>
      <c r="C1018" s="468">
        <v>9.6176020517297012E-2</v>
      </c>
      <c r="D1018" s="469">
        <v>9.7520526605812785E-2</v>
      </c>
      <c r="G1018" s="470"/>
      <c r="H1018" s="471"/>
    </row>
    <row r="1019" spans="1:8" x14ac:dyDescent="0.35">
      <c r="A1019" s="467">
        <v>39141</v>
      </c>
      <c r="B1019" s="468">
        <v>8.8431043352281913E-2</v>
      </c>
      <c r="C1019" s="468">
        <v>9.6756339520459367E-2</v>
      </c>
      <c r="D1019" s="469">
        <v>9.8304361247959493E-2</v>
      </c>
      <c r="G1019" s="470"/>
      <c r="H1019" s="471"/>
    </row>
    <row r="1020" spans="1:8" x14ac:dyDescent="0.35">
      <c r="A1020" s="467">
        <v>39142</v>
      </c>
      <c r="B1020" s="468">
        <v>8.9066914595021807E-2</v>
      </c>
      <c r="C1020" s="468">
        <v>9.9963283784374912E-2</v>
      </c>
      <c r="D1020" s="469">
        <v>9.9637547497565038E-2</v>
      </c>
      <c r="G1020" s="470"/>
      <c r="H1020" s="471"/>
    </row>
    <row r="1021" spans="1:8" x14ac:dyDescent="0.35">
      <c r="A1021" s="467">
        <v>39143</v>
      </c>
      <c r="B1021" s="468">
        <v>8.9426170787770376E-2</v>
      </c>
      <c r="C1021" s="468">
        <v>9.9728275497306562E-2</v>
      </c>
      <c r="D1021" s="469">
        <v>9.9590783131461524E-2</v>
      </c>
      <c r="G1021" s="470"/>
      <c r="H1021" s="471"/>
    </row>
    <row r="1022" spans="1:8" x14ac:dyDescent="0.35">
      <c r="A1022" s="467">
        <v>39146</v>
      </c>
      <c r="B1022" s="468">
        <v>9.0309572906120295E-2</v>
      </c>
      <c r="C1022" s="468">
        <v>0.10009587710464185</v>
      </c>
      <c r="D1022" s="469">
        <v>9.9826351011828907E-2</v>
      </c>
      <c r="G1022" s="470"/>
      <c r="H1022" s="471"/>
    </row>
    <row r="1023" spans="1:8" x14ac:dyDescent="0.35">
      <c r="A1023" s="467">
        <v>39147</v>
      </c>
      <c r="B1023" s="468">
        <v>8.9137337778600889E-2</v>
      </c>
      <c r="C1023" s="468">
        <v>9.8779065589031489E-2</v>
      </c>
      <c r="D1023" s="469">
        <v>9.7981177476596182E-2</v>
      </c>
      <c r="G1023" s="470"/>
      <c r="H1023" s="471"/>
    </row>
    <row r="1024" spans="1:8" x14ac:dyDescent="0.35">
      <c r="A1024" s="467">
        <v>39148</v>
      </c>
      <c r="B1024" s="468">
        <v>8.9399038905243255E-2</v>
      </c>
      <c r="C1024" s="468">
        <v>9.7690144845969495E-2</v>
      </c>
      <c r="D1024" s="469">
        <v>9.7685447209236775E-2</v>
      </c>
      <c r="G1024" s="470"/>
      <c r="H1024" s="471"/>
    </row>
    <row r="1025" spans="1:8" x14ac:dyDescent="0.35">
      <c r="A1025" s="467">
        <v>39149</v>
      </c>
      <c r="B1025" s="468">
        <v>8.8939513940618831E-2</v>
      </c>
      <c r="C1025" s="468">
        <v>9.8018163341144326E-2</v>
      </c>
      <c r="D1025" s="469">
        <v>9.8019857445889036E-2</v>
      </c>
      <c r="G1025" s="470"/>
      <c r="H1025" s="471"/>
    </row>
    <row r="1026" spans="1:8" x14ac:dyDescent="0.35">
      <c r="A1026" s="467">
        <v>39150</v>
      </c>
      <c r="B1026" s="468">
        <v>8.926330093936774E-2</v>
      </c>
      <c r="C1026" s="468">
        <v>9.7673133131001011E-2</v>
      </c>
      <c r="D1026" s="469">
        <v>9.8778708157667205E-2</v>
      </c>
      <c r="G1026" s="470"/>
      <c r="H1026" s="471"/>
    </row>
    <row r="1027" spans="1:8" x14ac:dyDescent="0.35">
      <c r="A1027" s="467">
        <v>39153</v>
      </c>
      <c r="B1027" s="468">
        <v>8.8411993277415446E-2</v>
      </c>
      <c r="C1027" s="468">
        <v>9.8447159373291404E-2</v>
      </c>
      <c r="D1027" s="469">
        <v>9.8037553439624281E-2</v>
      </c>
      <c r="G1027" s="470"/>
      <c r="H1027" s="471"/>
    </row>
    <row r="1028" spans="1:8" x14ac:dyDescent="0.35">
      <c r="A1028" s="467">
        <v>39154</v>
      </c>
      <c r="B1028" s="468">
        <v>8.8477291792723234E-2</v>
      </c>
      <c r="C1028" s="468">
        <v>9.848918777314819E-2</v>
      </c>
      <c r="D1028" s="469">
        <v>9.8996760279039142E-2</v>
      </c>
      <c r="G1028" s="470"/>
      <c r="H1028" s="471"/>
    </row>
    <row r="1029" spans="1:8" x14ac:dyDescent="0.35">
      <c r="A1029" s="467">
        <v>39155</v>
      </c>
      <c r="B1029" s="468">
        <v>8.8190566101505663E-2</v>
      </c>
      <c r="C1029" s="468">
        <v>9.9472438697490118E-2</v>
      </c>
      <c r="D1029" s="469">
        <v>9.9826025972569843E-2</v>
      </c>
      <c r="G1029" s="470"/>
      <c r="H1029" s="471"/>
    </row>
    <row r="1030" spans="1:8" x14ac:dyDescent="0.35">
      <c r="A1030" s="467">
        <v>39156</v>
      </c>
      <c r="B1030" s="468">
        <v>8.7699337092252527E-2</v>
      </c>
      <c r="C1030" s="468">
        <v>9.9194864233189461E-2</v>
      </c>
      <c r="D1030" s="469">
        <v>9.9193761303820738E-2</v>
      </c>
      <c r="G1030" s="470"/>
      <c r="H1030" s="471"/>
    </row>
    <row r="1031" spans="1:8" x14ac:dyDescent="0.35">
      <c r="A1031" s="467">
        <v>39157</v>
      </c>
      <c r="B1031" s="468">
        <v>8.7680178431607025E-2</v>
      </c>
      <c r="C1031" s="468">
        <v>9.9244429955661628E-2</v>
      </c>
      <c r="D1031" s="469">
        <v>9.8941065997997457E-2</v>
      </c>
      <c r="G1031" s="470"/>
      <c r="H1031" s="471"/>
    </row>
    <row r="1032" spans="1:8" x14ac:dyDescent="0.35">
      <c r="A1032" s="467">
        <v>39161</v>
      </c>
      <c r="B1032" s="468">
        <v>8.7806482574958711E-2</v>
      </c>
      <c r="C1032" s="468">
        <v>9.9392226385208726E-2</v>
      </c>
      <c r="D1032" s="469">
        <v>9.8756232815622846E-2</v>
      </c>
      <c r="G1032" s="470"/>
      <c r="H1032" s="471"/>
    </row>
    <row r="1033" spans="1:8" x14ac:dyDescent="0.35">
      <c r="A1033" s="467">
        <v>39162</v>
      </c>
      <c r="B1033" s="468">
        <v>8.8131306808989285E-2</v>
      </c>
      <c r="C1033" s="468">
        <v>9.9050445905744411E-2</v>
      </c>
      <c r="D1033" s="469">
        <v>9.813659927345264E-2</v>
      </c>
      <c r="G1033" s="470"/>
      <c r="H1033" s="471"/>
    </row>
    <row r="1034" spans="1:8" x14ac:dyDescent="0.35">
      <c r="A1034" s="467">
        <v>39163</v>
      </c>
      <c r="B1034" s="468">
        <v>8.8228940376787524E-2</v>
      </c>
      <c r="C1034" s="468">
        <v>9.8944595077115283E-2</v>
      </c>
      <c r="D1034" s="469">
        <v>9.85498957500337E-2</v>
      </c>
      <c r="G1034" s="470"/>
      <c r="H1034" s="471"/>
    </row>
    <row r="1035" spans="1:8" x14ac:dyDescent="0.35">
      <c r="A1035" s="467">
        <v>39164</v>
      </c>
      <c r="B1035" s="468">
        <v>8.8217740033872616E-2</v>
      </c>
      <c r="C1035" s="468">
        <v>9.9299778973472419E-2</v>
      </c>
      <c r="D1035" s="469">
        <v>9.883330620529418E-2</v>
      </c>
      <c r="G1035" s="470"/>
      <c r="H1035" s="471"/>
    </row>
    <row r="1036" spans="1:8" x14ac:dyDescent="0.35">
      <c r="A1036" s="467">
        <v>39167</v>
      </c>
      <c r="B1036" s="468">
        <v>8.8338056572874191E-2</v>
      </c>
      <c r="C1036" s="468">
        <v>9.9788842646542086E-2</v>
      </c>
      <c r="D1036" s="469">
        <v>9.8625172108988135E-2</v>
      </c>
      <c r="G1036" s="470"/>
      <c r="H1036" s="471"/>
    </row>
    <row r="1037" spans="1:8" x14ac:dyDescent="0.35">
      <c r="A1037" s="467">
        <v>39168</v>
      </c>
      <c r="B1037" s="468">
        <v>8.8280178557341493E-2</v>
      </c>
      <c r="C1037" s="468">
        <v>9.9427368251922221E-2</v>
      </c>
      <c r="D1037" s="469">
        <v>9.8087682774230744E-2</v>
      </c>
      <c r="G1037" s="470"/>
      <c r="H1037" s="471"/>
    </row>
    <row r="1038" spans="1:8" x14ac:dyDescent="0.35">
      <c r="A1038" s="467">
        <v>39169</v>
      </c>
      <c r="B1038" s="468">
        <v>8.7891398018756783E-2</v>
      </c>
      <c r="C1038" s="468">
        <v>9.9494535378880533E-2</v>
      </c>
      <c r="D1038" s="469">
        <v>9.8700830265392225E-2</v>
      </c>
      <c r="G1038" s="470"/>
      <c r="H1038" s="471"/>
    </row>
    <row r="1039" spans="1:8" x14ac:dyDescent="0.35">
      <c r="A1039" s="467">
        <v>39170</v>
      </c>
      <c r="B1039" s="468">
        <v>8.7828008630648879E-2</v>
      </c>
      <c r="C1039" s="468">
        <v>9.9381662284050432E-2</v>
      </c>
      <c r="D1039" s="469">
        <v>9.8257355293353887E-2</v>
      </c>
      <c r="G1039" s="470"/>
      <c r="H1039" s="471"/>
    </row>
    <row r="1040" spans="1:8" x14ac:dyDescent="0.35">
      <c r="A1040" s="467">
        <v>39171</v>
      </c>
      <c r="B1040" s="468">
        <v>8.7736365325224996E-2</v>
      </c>
      <c r="C1040" s="468">
        <v>9.9866163631371352E-2</v>
      </c>
      <c r="D1040" s="469">
        <v>9.8788271988160536E-2</v>
      </c>
      <c r="G1040" s="470"/>
      <c r="H1040" s="471"/>
    </row>
    <row r="1041" spans="1:8" x14ac:dyDescent="0.35">
      <c r="A1041" s="467">
        <v>39174</v>
      </c>
      <c r="B1041" s="468">
        <v>8.8659845318569852E-2</v>
      </c>
      <c r="C1041" s="468">
        <v>0.10192452519053474</v>
      </c>
      <c r="D1041" s="469">
        <v>0.10102768504641002</v>
      </c>
      <c r="G1041" s="470"/>
      <c r="H1041" s="471"/>
    </row>
    <row r="1042" spans="1:8" x14ac:dyDescent="0.35">
      <c r="A1042" s="467">
        <v>39175</v>
      </c>
      <c r="B1042" s="468">
        <v>8.860926847827777E-2</v>
      </c>
      <c r="C1042" s="468">
        <v>0.10098761034424708</v>
      </c>
      <c r="D1042" s="469">
        <v>0.10033685593811548</v>
      </c>
      <c r="G1042" s="470"/>
      <c r="H1042" s="471"/>
    </row>
    <row r="1043" spans="1:8" x14ac:dyDescent="0.35">
      <c r="A1043" s="467">
        <v>39176</v>
      </c>
      <c r="B1043" s="468">
        <v>8.8331668772497762E-2</v>
      </c>
      <c r="C1043" s="468">
        <v>0.10084586116504868</v>
      </c>
      <c r="D1043" s="469">
        <v>9.9930093712799817E-2</v>
      </c>
      <c r="G1043" s="470"/>
      <c r="H1043" s="471"/>
    </row>
    <row r="1044" spans="1:8" x14ac:dyDescent="0.35">
      <c r="A1044" s="467">
        <v>39181</v>
      </c>
      <c r="B1044" s="468">
        <v>8.8724854656773156E-2</v>
      </c>
      <c r="C1044" s="468">
        <v>0.10049300525924054</v>
      </c>
      <c r="D1044" s="469">
        <v>9.9840313006067438E-2</v>
      </c>
      <c r="G1044" s="470"/>
      <c r="H1044" s="471"/>
    </row>
    <row r="1045" spans="1:8" x14ac:dyDescent="0.35">
      <c r="A1045" s="467">
        <v>39182</v>
      </c>
      <c r="B1045" s="468">
        <v>8.9886877417519884E-2</v>
      </c>
      <c r="C1045" s="468">
        <v>0.10028653157930445</v>
      </c>
      <c r="D1045" s="469">
        <v>0.10013051907258985</v>
      </c>
      <c r="G1045" s="470"/>
      <c r="H1045" s="471"/>
    </row>
    <row r="1046" spans="1:8" x14ac:dyDescent="0.35">
      <c r="A1046" s="467">
        <v>39183</v>
      </c>
      <c r="B1046" s="468">
        <v>8.9283327596714201E-2</v>
      </c>
      <c r="C1046" s="468">
        <v>0.101286920791271</v>
      </c>
      <c r="D1046" s="469">
        <v>0.10015271322712227</v>
      </c>
      <c r="G1046" s="470"/>
      <c r="H1046" s="471"/>
    </row>
    <row r="1047" spans="1:8" x14ac:dyDescent="0.35">
      <c r="A1047" s="467">
        <v>39184</v>
      </c>
      <c r="B1047" s="468">
        <v>8.9598285105886966E-2</v>
      </c>
      <c r="C1047" s="468">
        <v>0.10153867270745809</v>
      </c>
      <c r="D1047" s="469">
        <v>0.10024160123225334</v>
      </c>
      <c r="G1047" s="470"/>
      <c r="H1047" s="471"/>
    </row>
    <row r="1048" spans="1:8" x14ac:dyDescent="0.35">
      <c r="A1048" s="467">
        <v>39185</v>
      </c>
      <c r="B1048" s="468">
        <v>8.9436515097260916E-2</v>
      </c>
      <c r="C1048" s="468">
        <v>0.10087124962859173</v>
      </c>
      <c r="D1048" s="469">
        <v>9.9610701685606928E-2</v>
      </c>
      <c r="G1048" s="470"/>
      <c r="H1048" s="471"/>
    </row>
    <row r="1049" spans="1:8" x14ac:dyDescent="0.35">
      <c r="A1049" s="467">
        <v>39188</v>
      </c>
      <c r="B1049" s="468">
        <v>8.9648356066088564E-2</v>
      </c>
      <c r="C1049" s="468">
        <v>0.10101120920618567</v>
      </c>
      <c r="D1049" s="469">
        <v>9.9813625821339347E-2</v>
      </c>
      <c r="G1049" s="470"/>
      <c r="H1049" s="471"/>
    </row>
    <row r="1050" spans="1:8" x14ac:dyDescent="0.35">
      <c r="A1050" s="467">
        <v>39189</v>
      </c>
      <c r="B1050" s="468">
        <v>9.0025004189333568E-2</v>
      </c>
      <c r="C1050" s="468">
        <v>0.10257897617769429</v>
      </c>
      <c r="D1050" s="469">
        <v>0.10029910137667586</v>
      </c>
      <c r="G1050" s="470"/>
      <c r="H1050" s="471"/>
    </row>
    <row r="1051" spans="1:8" x14ac:dyDescent="0.35">
      <c r="A1051" s="467">
        <v>39190</v>
      </c>
      <c r="B1051" s="468">
        <v>9.1620959146395453E-2</v>
      </c>
      <c r="C1051" s="468">
        <v>0.10173023555210481</v>
      </c>
      <c r="D1051" s="469">
        <v>0.10125471712550271</v>
      </c>
      <c r="G1051" s="470"/>
      <c r="H1051" s="471"/>
    </row>
    <row r="1052" spans="1:8" x14ac:dyDescent="0.35">
      <c r="A1052" s="467">
        <v>39191</v>
      </c>
      <c r="B1052" s="468">
        <v>9.1537822025742788E-2</v>
      </c>
      <c r="C1052" s="468">
        <v>0.10209379742434277</v>
      </c>
      <c r="D1052" s="469">
        <v>0.10128072174377012</v>
      </c>
      <c r="G1052" s="470"/>
      <c r="H1052" s="471"/>
    </row>
    <row r="1053" spans="1:8" x14ac:dyDescent="0.35">
      <c r="A1053" s="467">
        <v>39192</v>
      </c>
      <c r="B1053" s="468">
        <v>9.0874882372623089E-2</v>
      </c>
      <c r="C1053" s="468">
        <v>0.10163414852350283</v>
      </c>
      <c r="D1053" s="469">
        <v>0.10079151690060884</v>
      </c>
      <c r="G1053" s="470"/>
      <c r="H1053" s="471"/>
    </row>
    <row r="1054" spans="1:8" x14ac:dyDescent="0.35">
      <c r="A1054" s="467">
        <v>39195</v>
      </c>
      <c r="B1054" s="468">
        <v>9.1045380360609274E-2</v>
      </c>
      <c r="C1054" s="468">
        <v>0.10164196956884708</v>
      </c>
      <c r="D1054" s="469">
        <v>0.10025178031316906</v>
      </c>
      <c r="G1054" s="470"/>
      <c r="H1054" s="471"/>
    </row>
    <row r="1055" spans="1:8" x14ac:dyDescent="0.35">
      <c r="A1055" s="467">
        <v>39196</v>
      </c>
      <c r="B1055" s="468">
        <v>9.1354284727855672E-2</v>
      </c>
      <c r="C1055" s="468">
        <v>0.10259716886453352</v>
      </c>
      <c r="D1055" s="469">
        <v>0.10087253993847112</v>
      </c>
      <c r="G1055" s="470"/>
      <c r="H1055" s="471"/>
    </row>
    <row r="1056" spans="1:8" x14ac:dyDescent="0.35">
      <c r="A1056" s="467">
        <v>39197</v>
      </c>
      <c r="B1056" s="468">
        <v>9.1697627483860122E-2</v>
      </c>
      <c r="C1056" s="468">
        <v>0.10122449826363855</v>
      </c>
      <c r="D1056" s="469">
        <v>0.10047155927288443</v>
      </c>
      <c r="G1056" s="470"/>
      <c r="H1056" s="471"/>
    </row>
    <row r="1057" spans="1:8" x14ac:dyDescent="0.35">
      <c r="A1057" s="467">
        <v>39198</v>
      </c>
      <c r="B1057" s="468">
        <v>9.143246504991609E-2</v>
      </c>
      <c r="C1057" s="468">
        <v>0.10192679080187306</v>
      </c>
      <c r="D1057" s="469">
        <v>0.100297468925306</v>
      </c>
      <c r="G1057" s="470"/>
      <c r="H1057" s="471"/>
    </row>
    <row r="1058" spans="1:8" x14ac:dyDescent="0.35">
      <c r="A1058" s="467">
        <v>39199</v>
      </c>
      <c r="B1058" s="468">
        <v>9.2015944687984685E-2</v>
      </c>
      <c r="C1058" s="468">
        <v>0.10156370191615904</v>
      </c>
      <c r="D1058" s="469">
        <v>0.10054701075908135</v>
      </c>
      <c r="G1058" s="470"/>
      <c r="H1058" s="471"/>
    </row>
    <row r="1059" spans="1:8" x14ac:dyDescent="0.35">
      <c r="A1059" s="467">
        <v>39202</v>
      </c>
      <c r="B1059" s="468">
        <v>9.1483445006470543E-2</v>
      </c>
      <c r="C1059" s="468">
        <v>0.10165235740009293</v>
      </c>
      <c r="D1059" s="469">
        <v>0.1001496780160227</v>
      </c>
      <c r="G1059" s="470"/>
      <c r="H1059" s="471"/>
    </row>
    <row r="1060" spans="1:8" x14ac:dyDescent="0.35">
      <c r="A1060" s="467">
        <v>39204</v>
      </c>
      <c r="B1060" s="468">
        <v>9.2850400842074743E-2</v>
      </c>
      <c r="C1060" s="468">
        <v>0.10273887882682331</v>
      </c>
      <c r="D1060" s="469">
        <v>0.10146958663793582</v>
      </c>
      <c r="G1060" s="470"/>
      <c r="H1060" s="471"/>
    </row>
    <row r="1061" spans="1:8" x14ac:dyDescent="0.35">
      <c r="A1061" s="467">
        <v>39205</v>
      </c>
      <c r="B1061" s="468">
        <v>9.1812558028691482E-2</v>
      </c>
      <c r="C1061" s="468">
        <v>0.10289763001400987</v>
      </c>
      <c r="D1061" s="469">
        <v>0.1017798818023623</v>
      </c>
      <c r="G1061" s="470"/>
      <c r="H1061" s="471"/>
    </row>
    <row r="1062" spans="1:8" x14ac:dyDescent="0.35">
      <c r="A1062" s="467">
        <v>39206</v>
      </c>
      <c r="B1062" s="468">
        <v>9.145034685398179E-2</v>
      </c>
      <c r="C1062" s="468">
        <v>0.10360532724077709</v>
      </c>
      <c r="D1062" s="469">
        <v>0.10192065172627585</v>
      </c>
      <c r="G1062" s="470"/>
      <c r="H1062" s="471"/>
    </row>
    <row r="1063" spans="1:8" x14ac:dyDescent="0.35">
      <c r="A1063" s="467">
        <v>39209</v>
      </c>
      <c r="B1063" s="468">
        <v>9.2166323273236817E-2</v>
      </c>
      <c r="C1063" s="468">
        <v>0.10354823135426106</v>
      </c>
      <c r="D1063" s="469">
        <v>0.10243865393424967</v>
      </c>
      <c r="G1063" s="470"/>
      <c r="H1063" s="471"/>
    </row>
    <row r="1064" spans="1:8" x14ac:dyDescent="0.35">
      <c r="A1064" s="467">
        <v>39210</v>
      </c>
      <c r="B1064" s="468">
        <v>9.2239111198223922E-2</v>
      </c>
      <c r="C1064" s="468">
        <v>0.10300333658045568</v>
      </c>
      <c r="D1064" s="469">
        <v>0.10236497295731506</v>
      </c>
      <c r="G1064" s="470"/>
      <c r="H1064" s="471"/>
    </row>
    <row r="1065" spans="1:8" x14ac:dyDescent="0.35">
      <c r="A1065" s="467">
        <v>39211</v>
      </c>
      <c r="B1065" s="468">
        <v>9.1859637622312196E-2</v>
      </c>
      <c r="C1065" s="468">
        <v>0.10214663891788978</v>
      </c>
      <c r="D1065" s="469">
        <v>0.1016805757230963</v>
      </c>
      <c r="G1065" s="470"/>
      <c r="H1065" s="471"/>
    </row>
    <row r="1066" spans="1:8" x14ac:dyDescent="0.35">
      <c r="A1066" s="467">
        <v>39212</v>
      </c>
      <c r="B1066" s="468">
        <v>9.2619439261798719E-2</v>
      </c>
      <c r="C1066" s="468">
        <v>9.9368209940069008E-2</v>
      </c>
      <c r="D1066" s="469">
        <v>0.10010853303454792</v>
      </c>
      <c r="G1066" s="470"/>
      <c r="H1066" s="471"/>
    </row>
    <row r="1067" spans="1:8" x14ac:dyDescent="0.35">
      <c r="A1067" s="467">
        <v>39213</v>
      </c>
      <c r="B1067" s="468">
        <v>9.1698022304023352E-2</v>
      </c>
      <c r="C1067" s="468">
        <v>0.10198639609301474</v>
      </c>
      <c r="D1067" s="469">
        <v>0.10111035856427675</v>
      </c>
      <c r="G1067" s="470"/>
      <c r="H1067" s="471"/>
    </row>
    <row r="1068" spans="1:8" x14ac:dyDescent="0.35">
      <c r="A1068" s="467">
        <v>39216</v>
      </c>
      <c r="B1068" s="468">
        <v>9.2462486185053372E-2</v>
      </c>
      <c r="C1068" s="468">
        <v>0.10221611830937283</v>
      </c>
      <c r="D1068" s="469">
        <v>0.10116528988250018</v>
      </c>
      <c r="G1068" s="470"/>
      <c r="H1068" s="471"/>
    </row>
    <row r="1069" spans="1:8" x14ac:dyDescent="0.35">
      <c r="A1069" s="467">
        <v>39217</v>
      </c>
      <c r="B1069" s="468">
        <v>9.2576086808039193E-2</v>
      </c>
      <c r="C1069" s="468">
        <v>0.1025625636737395</v>
      </c>
      <c r="D1069" s="469">
        <v>0.10124110023670552</v>
      </c>
      <c r="G1069" s="470"/>
      <c r="H1069" s="471"/>
    </row>
    <row r="1070" spans="1:8" x14ac:dyDescent="0.35">
      <c r="A1070" s="467">
        <v>39218</v>
      </c>
      <c r="B1070" s="468">
        <v>9.2825945591837211E-2</v>
      </c>
      <c r="C1070" s="468">
        <v>0.10233152830047465</v>
      </c>
      <c r="D1070" s="469">
        <v>0.10108752112521824</v>
      </c>
      <c r="G1070" s="470"/>
      <c r="H1070" s="471"/>
    </row>
    <row r="1071" spans="1:8" x14ac:dyDescent="0.35">
      <c r="A1071" s="467">
        <v>39219</v>
      </c>
      <c r="B1071" s="468">
        <v>9.2527265153288241E-2</v>
      </c>
      <c r="C1071" s="468">
        <v>0.10221215972028364</v>
      </c>
      <c r="D1071" s="469">
        <v>0.10105407550107359</v>
      </c>
      <c r="G1071" s="470"/>
      <c r="H1071" s="471"/>
    </row>
    <row r="1072" spans="1:8" x14ac:dyDescent="0.35">
      <c r="A1072" s="467">
        <v>39220</v>
      </c>
      <c r="B1072" s="468">
        <v>9.2851161384643666E-2</v>
      </c>
      <c r="C1072" s="468">
        <v>9.9114262219207383E-2</v>
      </c>
      <c r="D1072" s="469">
        <v>9.983061591298048E-2</v>
      </c>
      <c r="G1072" s="470"/>
      <c r="H1072" s="471"/>
    </row>
    <row r="1073" spans="1:8" x14ac:dyDescent="0.35">
      <c r="A1073" s="467">
        <v>39224</v>
      </c>
      <c r="B1073" s="468">
        <v>9.2357696200178863E-2</v>
      </c>
      <c r="C1073" s="468">
        <v>0.10098508433675102</v>
      </c>
      <c r="D1073" s="469">
        <v>9.979759904333152E-2</v>
      </c>
      <c r="G1073" s="470"/>
      <c r="H1073" s="471"/>
    </row>
    <row r="1074" spans="1:8" x14ac:dyDescent="0.35">
      <c r="A1074" s="467">
        <v>39225</v>
      </c>
      <c r="B1074" s="468">
        <v>9.2455029690467816E-2</v>
      </c>
      <c r="C1074" s="468">
        <v>0.10096070914155875</v>
      </c>
      <c r="D1074" s="469">
        <v>9.9775500325674615E-2</v>
      </c>
      <c r="G1074" s="470"/>
      <c r="H1074" s="471"/>
    </row>
    <row r="1075" spans="1:8" x14ac:dyDescent="0.35">
      <c r="A1075" s="467">
        <v>39226</v>
      </c>
      <c r="B1075" s="468">
        <v>9.2542811878038922E-2</v>
      </c>
      <c r="C1075" s="468">
        <v>0.10141267630406103</v>
      </c>
      <c r="D1075" s="469">
        <v>0.1000982608093377</v>
      </c>
      <c r="G1075" s="470"/>
      <c r="H1075" s="471"/>
    </row>
    <row r="1076" spans="1:8" x14ac:dyDescent="0.35">
      <c r="A1076" s="467">
        <v>39227</v>
      </c>
      <c r="B1076" s="468">
        <v>9.2271191910097361E-2</v>
      </c>
      <c r="C1076" s="468">
        <v>0.1007796201527229</v>
      </c>
      <c r="D1076" s="469">
        <v>9.9362185303716988E-2</v>
      </c>
      <c r="G1076" s="470"/>
      <c r="H1076" s="471"/>
    </row>
    <row r="1077" spans="1:8" x14ac:dyDescent="0.35">
      <c r="A1077" s="467">
        <v>39230</v>
      </c>
      <c r="B1077" s="468">
        <v>9.2437306685662302E-2</v>
      </c>
      <c r="C1077" s="468">
        <v>0.10011973696817988</v>
      </c>
      <c r="D1077" s="469">
        <v>9.8928762932059211E-2</v>
      </c>
      <c r="G1077" s="470"/>
      <c r="H1077" s="471"/>
    </row>
    <row r="1078" spans="1:8" x14ac:dyDescent="0.35">
      <c r="A1078" s="467">
        <v>39231</v>
      </c>
      <c r="B1078" s="468">
        <v>9.1680058505814621E-2</v>
      </c>
      <c r="C1078" s="468">
        <v>9.9841300028006508E-2</v>
      </c>
      <c r="D1078" s="469">
        <v>9.8318564500242012E-2</v>
      </c>
      <c r="G1078" s="470"/>
      <c r="H1078" s="471"/>
    </row>
    <row r="1079" spans="1:8" x14ac:dyDescent="0.35">
      <c r="A1079" s="467">
        <v>39232</v>
      </c>
      <c r="B1079" s="468">
        <v>9.1660632943574072E-2</v>
      </c>
      <c r="C1079" s="468">
        <v>9.9528221193396549E-2</v>
      </c>
      <c r="D1079" s="469">
        <v>9.8494258831439696E-2</v>
      </c>
      <c r="G1079" s="470"/>
      <c r="H1079" s="471"/>
    </row>
    <row r="1080" spans="1:8" x14ac:dyDescent="0.35">
      <c r="A1080" s="467">
        <v>39233</v>
      </c>
      <c r="B1080" s="468">
        <v>9.151843962758166E-2</v>
      </c>
      <c r="C1080" s="468">
        <v>9.954899701647002E-2</v>
      </c>
      <c r="D1080" s="469">
        <v>9.8392369856555417E-2</v>
      </c>
      <c r="G1080" s="470"/>
      <c r="H1080" s="471"/>
    </row>
    <row r="1081" spans="1:8" x14ac:dyDescent="0.35">
      <c r="A1081" s="467">
        <v>39234</v>
      </c>
      <c r="B1081" s="468">
        <v>9.1465095173973943E-2</v>
      </c>
      <c r="C1081" s="468">
        <v>9.9560308586212454E-2</v>
      </c>
      <c r="D1081" s="469">
        <v>9.8622499617516679E-2</v>
      </c>
      <c r="G1081" s="470"/>
      <c r="H1081" s="471"/>
    </row>
    <row r="1082" spans="1:8" x14ac:dyDescent="0.35">
      <c r="A1082" s="467">
        <v>39237</v>
      </c>
      <c r="B1082" s="468">
        <v>9.1161449786188342E-2</v>
      </c>
      <c r="C1082" s="468">
        <v>9.861676328802349E-2</v>
      </c>
      <c r="D1082" s="469">
        <v>9.7805464896212779E-2</v>
      </c>
      <c r="G1082" s="470"/>
      <c r="H1082" s="471"/>
    </row>
    <row r="1083" spans="1:8" x14ac:dyDescent="0.35">
      <c r="A1083" s="467">
        <v>39238</v>
      </c>
      <c r="B1083" s="468">
        <v>9.1340776784345712E-2</v>
      </c>
      <c r="C1083" s="468">
        <v>9.8651527087186608E-2</v>
      </c>
      <c r="D1083" s="469">
        <v>9.7659367047129741E-2</v>
      </c>
      <c r="G1083" s="470"/>
      <c r="H1083" s="471"/>
    </row>
    <row r="1084" spans="1:8" x14ac:dyDescent="0.35">
      <c r="A1084" s="467">
        <v>39239</v>
      </c>
      <c r="B1084" s="468">
        <v>9.1195470198567108E-2</v>
      </c>
      <c r="C1084" s="468">
        <v>9.8629651401427987E-2</v>
      </c>
      <c r="D1084" s="469">
        <v>9.8044303860833848E-2</v>
      </c>
      <c r="G1084" s="470"/>
      <c r="H1084" s="471"/>
    </row>
    <row r="1085" spans="1:8" x14ac:dyDescent="0.35">
      <c r="A1085" s="467">
        <v>39240</v>
      </c>
      <c r="B1085" s="468">
        <v>9.194422592773499E-2</v>
      </c>
      <c r="C1085" s="468">
        <v>9.9726561754346132E-2</v>
      </c>
      <c r="D1085" s="469">
        <v>9.8726382211895336E-2</v>
      </c>
      <c r="G1085" s="470"/>
      <c r="H1085" s="471"/>
    </row>
    <row r="1086" spans="1:8" x14ac:dyDescent="0.35">
      <c r="A1086" s="467">
        <v>39241</v>
      </c>
      <c r="B1086" s="468">
        <v>9.1835828263900243E-2</v>
      </c>
      <c r="C1086" s="468">
        <v>9.9986221855137281E-2</v>
      </c>
      <c r="D1086" s="469">
        <v>9.9082150683500014E-2</v>
      </c>
      <c r="G1086" s="470"/>
      <c r="H1086" s="471"/>
    </row>
    <row r="1087" spans="1:8" x14ac:dyDescent="0.35">
      <c r="A1087" s="467">
        <v>39245</v>
      </c>
      <c r="B1087" s="468">
        <v>9.2081502334141474E-2</v>
      </c>
      <c r="C1087" s="468">
        <v>9.9316996335575336E-2</v>
      </c>
      <c r="D1087" s="469">
        <v>9.865738489640985E-2</v>
      </c>
      <c r="G1087" s="470"/>
      <c r="H1087" s="471"/>
    </row>
    <row r="1088" spans="1:8" x14ac:dyDescent="0.35">
      <c r="A1088" s="467">
        <v>39246</v>
      </c>
      <c r="B1088" s="468">
        <v>9.1678377181925841E-2</v>
      </c>
      <c r="C1088" s="468">
        <v>9.9119672962654448E-2</v>
      </c>
      <c r="D1088" s="469">
        <v>9.8406289557722681E-2</v>
      </c>
      <c r="G1088" s="470"/>
      <c r="H1088" s="471"/>
    </row>
    <row r="1089" spans="1:8" x14ac:dyDescent="0.35">
      <c r="A1089" s="467">
        <v>39247</v>
      </c>
      <c r="B1089" s="468">
        <v>9.1675463840612315E-2</v>
      </c>
      <c r="C1089" s="468">
        <v>9.8837054709161265E-2</v>
      </c>
      <c r="D1089" s="469">
        <v>9.8039256572331368E-2</v>
      </c>
      <c r="G1089" s="470"/>
      <c r="H1089" s="471"/>
    </row>
    <row r="1090" spans="1:8" x14ac:dyDescent="0.35">
      <c r="A1090" s="467">
        <v>39248</v>
      </c>
      <c r="B1090" s="468">
        <v>9.1299861453910891E-2</v>
      </c>
      <c r="C1090" s="468">
        <v>9.8214985097563989E-2</v>
      </c>
      <c r="D1090" s="469">
        <v>9.7183071074650185E-2</v>
      </c>
      <c r="G1090" s="470"/>
      <c r="H1090" s="471"/>
    </row>
    <row r="1091" spans="1:8" x14ac:dyDescent="0.35">
      <c r="A1091" s="467">
        <v>39252</v>
      </c>
      <c r="B1091" s="468">
        <v>9.1902629495387966E-2</v>
      </c>
      <c r="C1091" s="468">
        <v>9.8567925774830423E-2</v>
      </c>
      <c r="D1091" s="469">
        <v>9.7304253345444902E-2</v>
      </c>
      <c r="G1091" s="470"/>
      <c r="H1091" s="471"/>
    </row>
    <row r="1092" spans="1:8" x14ac:dyDescent="0.35">
      <c r="A1092" s="467">
        <v>39253</v>
      </c>
      <c r="B1092" s="468">
        <v>9.2792861793101311E-2</v>
      </c>
      <c r="C1092" s="468">
        <v>9.8858530930352684E-2</v>
      </c>
      <c r="D1092" s="469">
        <v>9.7829013828902633E-2</v>
      </c>
      <c r="G1092" s="470"/>
      <c r="H1092" s="471"/>
    </row>
    <row r="1093" spans="1:8" x14ac:dyDescent="0.35">
      <c r="A1093" s="467">
        <v>39254</v>
      </c>
      <c r="B1093" s="468">
        <v>9.386496516906262E-2</v>
      </c>
      <c r="C1093" s="468">
        <v>9.9771631116725157E-2</v>
      </c>
      <c r="D1093" s="469">
        <v>9.8654700529786421E-2</v>
      </c>
      <c r="G1093" s="470"/>
      <c r="H1093" s="471"/>
    </row>
    <row r="1094" spans="1:8" x14ac:dyDescent="0.35">
      <c r="A1094" s="467">
        <v>39255</v>
      </c>
      <c r="B1094" s="468">
        <v>9.4325180859675894E-2</v>
      </c>
      <c r="C1094" s="468">
        <v>0.10065948644684974</v>
      </c>
      <c r="D1094" s="469">
        <v>9.9049885581087738E-2</v>
      </c>
      <c r="G1094" s="470"/>
      <c r="H1094" s="471"/>
    </row>
    <row r="1095" spans="1:8" x14ac:dyDescent="0.35">
      <c r="A1095" s="467">
        <v>39258</v>
      </c>
      <c r="B1095" s="468">
        <v>9.4647876678681353E-2</v>
      </c>
      <c r="C1095" s="468">
        <v>0.10069513241439942</v>
      </c>
      <c r="D1095" s="469">
        <v>9.9462249581869999E-2</v>
      </c>
      <c r="G1095" s="470"/>
      <c r="H1095" s="471"/>
    </row>
    <row r="1096" spans="1:8" x14ac:dyDescent="0.35">
      <c r="A1096" s="467">
        <v>39259</v>
      </c>
      <c r="B1096" s="468">
        <v>9.4760577888711506E-2</v>
      </c>
      <c r="C1096" s="468">
        <v>0.10065672335989939</v>
      </c>
      <c r="D1096" s="469">
        <v>9.9102021632581971E-2</v>
      </c>
      <c r="G1096" s="470"/>
      <c r="H1096" s="471"/>
    </row>
    <row r="1097" spans="1:8" x14ac:dyDescent="0.35">
      <c r="A1097" s="467">
        <v>39260</v>
      </c>
      <c r="B1097" s="468">
        <v>9.44984868679275E-2</v>
      </c>
      <c r="C1097" s="468">
        <v>0.10052574525299707</v>
      </c>
      <c r="D1097" s="469">
        <v>9.9862563706335949E-2</v>
      </c>
      <c r="G1097" s="470"/>
      <c r="H1097" s="471"/>
    </row>
    <row r="1098" spans="1:8" x14ac:dyDescent="0.35">
      <c r="A1098" s="467">
        <v>39261</v>
      </c>
      <c r="B1098" s="468">
        <v>9.4544904968843824E-2</v>
      </c>
      <c r="C1098" s="468">
        <v>9.999966557930362E-2</v>
      </c>
      <c r="D1098" s="469">
        <v>9.8966768346073097E-2</v>
      </c>
      <c r="G1098" s="470"/>
      <c r="H1098" s="471"/>
    </row>
    <row r="1099" spans="1:8" x14ac:dyDescent="0.35">
      <c r="A1099" s="467">
        <v>39262</v>
      </c>
      <c r="B1099" s="468">
        <v>9.6279648280394481E-2</v>
      </c>
      <c r="C1099" s="468">
        <v>9.8793172288125231E-2</v>
      </c>
      <c r="D1099" s="469">
        <v>9.9107767725711948E-2</v>
      </c>
      <c r="G1099" s="470"/>
      <c r="H1099" s="471"/>
    </row>
    <row r="1100" spans="1:8" x14ac:dyDescent="0.35">
      <c r="A1100" s="467">
        <v>39266</v>
      </c>
      <c r="B1100" s="468">
        <v>9.4760093679246982E-2</v>
      </c>
      <c r="C1100" s="468">
        <v>9.9767045017021161E-2</v>
      </c>
      <c r="D1100" s="469">
        <v>9.8602372159863449E-2</v>
      </c>
      <c r="G1100" s="470"/>
      <c r="H1100" s="471"/>
    </row>
    <row r="1101" spans="1:8" x14ac:dyDescent="0.35">
      <c r="A1101" s="467">
        <v>39267</v>
      </c>
      <c r="B1101" s="468">
        <v>9.5546434917152867E-2</v>
      </c>
      <c r="C1101" s="468">
        <v>0.1002629966015407</v>
      </c>
      <c r="D1101" s="469">
        <v>9.9202606888940004E-2</v>
      </c>
      <c r="G1101" s="470"/>
      <c r="H1101" s="471"/>
    </row>
    <row r="1102" spans="1:8" x14ac:dyDescent="0.35">
      <c r="A1102" s="467">
        <v>39268</v>
      </c>
      <c r="B1102" s="468">
        <v>9.5815782678390304E-2</v>
      </c>
      <c r="C1102" s="468">
        <v>0.10041237893760413</v>
      </c>
      <c r="D1102" s="469">
        <v>9.9063242894406267E-2</v>
      </c>
      <c r="G1102" s="470"/>
      <c r="H1102" s="471"/>
    </row>
    <row r="1103" spans="1:8" x14ac:dyDescent="0.35">
      <c r="A1103" s="467">
        <v>39269</v>
      </c>
      <c r="B1103" s="468">
        <v>9.586125458736805E-2</v>
      </c>
      <c r="C1103" s="468">
        <v>0.100267833583499</v>
      </c>
      <c r="D1103" s="469">
        <v>9.9037464913011686E-2</v>
      </c>
      <c r="G1103" s="470"/>
      <c r="H1103" s="471"/>
    </row>
    <row r="1104" spans="1:8" x14ac:dyDescent="0.35">
      <c r="A1104" s="467">
        <v>39272</v>
      </c>
      <c r="B1104" s="468">
        <v>9.8551809117239708E-2</v>
      </c>
      <c r="C1104" s="468">
        <v>0.10147160338691652</v>
      </c>
      <c r="D1104" s="469">
        <v>9.7671357271789994E-2</v>
      </c>
      <c r="G1104" s="470"/>
      <c r="H1104" s="471"/>
    </row>
    <row r="1105" spans="1:8" x14ac:dyDescent="0.35">
      <c r="A1105" s="467">
        <v>39273</v>
      </c>
      <c r="B1105" s="468">
        <v>9.6438679690334039E-2</v>
      </c>
      <c r="C1105" s="468">
        <v>9.9876820286390666E-2</v>
      </c>
      <c r="D1105" s="469">
        <v>9.906527544099486E-2</v>
      </c>
      <c r="G1105" s="470"/>
      <c r="H1105" s="471"/>
    </row>
    <row r="1106" spans="1:8" x14ac:dyDescent="0.35">
      <c r="A1106" s="467">
        <v>39274</v>
      </c>
      <c r="B1106" s="468">
        <v>9.6448940226878221E-2</v>
      </c>
      <c r="C1106" s="468">
        <v>0.10011382338623176</v>
      </c>
      <c r="D1106" s="469">
        <v>9.9078272787650912E-2</v>
      </c>
      <c r="G1106" s="470"/>
      <c r="H1106" s="471"/>
    </row>
    <row r="1107" spans="1:8" x14ac:dyDescent="0.35">
      <c r="A1107" s="467">
        <v>39275</v>
      </c>
      <c r="B1107" s="468">
        <v>9.6285869585564621E-2</v>
      </c>
      <c r="C1107" s="468">
        <v>9.9366360694620459E-2</v>
      </c>
      <c r="D1107" s="469">
        <v>9.8347958606112895E-2</v>
      </c>
      <c r="G1107" s="470"/>
      <c r="H1107" s="471"/>
    </row>
    <row r="1108" spans="1:8" x14ac:dyDescent="0.35">
      <c r="A1108" s="467">
        <v>39276</v>
      </c>
      <c r="B1108" s="468">
        <v>9.5559405475421855E-2</v>
      </c>
      <c r="C1108" s="468">
        <v>9.9472586866875323E-2</v>
      </c>
      <c r="D1108" s="469">
        <v>9.8206448636420918E-2</v>
      </c>
      <c r="G1108" s="470"/>
      <c r="H1108" s="471"/>
    </row>
    <row r="1109" spans="1:8" x14ac:dyDescent="0.35">
      <c r="A1109" s="467">
        <v>39279</v>
      </c>
      <c r="B1109" s="468">
        <v>9.5578954334116339E-2</v>
      </c>
      <c r="C1109" s="468">
        <v>9.9072246447825751E-2</v>
      </c>
      <c r="D1109" s="469">
        <v>9.8060840902921553E-2</v>
      </c>
      <c r="G1109" s="470"/>
      <c r="H1109" s="471"/>
    </row>
    <row r="1110" spans="1:8" x14ac:dyDescent="0.35">
      <c r="A1110" s="467">
        <v>39280</v>
      </c>
      <c r="B1110" s="468">
        <v>9.5200916856972961E-2</v>
      </c>
      <c r="C1110" s="468">
        <v>9.9864589883351673E-2</v>
      </c>
      <c r="D1110" s="469">
        <v>9.8157698732868948E-2</v>
      </c>
      <c r="G1110" s="470"/>
      <c r="H1110" s="471"/>
    </row>
    <row r="1111" spans="1:8" x14ac:dyDescent="0.35">
      <c r="A1111" s="467">
        <v>39281</v>
      </c>
      <c r="B1111" s="468">
        <v>9.5384009831643857E-2</v>
      </c>
      <c r="C1111" s="468">
        <v>0.1000618678245222</v>
      </c>
      <c r="D1111" s="469">
        <v>0.10136110631495376</v>
      </c>
      <c r="G1111" s="470"/>
      <c r="H1111" s="471"/>
    </row>
    <row r="1112" spans="1:8" x14ac:dyDescent="0.35">
      <c r="A1112" s="467">
        <v>39282</v>
      </c>
      <c r="B1112" s="468">
        <v>9.5320202179973057E-2</v>
      </c>
      <c r="C1112" s="468">
        <v>9.9594645530604264E-2</v>
      </c>
      <c r="D1112" s="469">
        <v>9.8470658073744666E-2</v>
      </c>
      <c r="G1112" s="470"/>
      <c r="H1112" s="471"/>
    </row>
    <row r="1113" spans="1:8" x14ac:dyDescent="0.35">
      <c r="A1113" s="467">
        <v>39286</v>
      </c>
      <c r="B1113" s="468">
        <v>9.5429252369649609E-2</v>
      </c>
      <c r="C1113" s="468">
        <v>9.9534843532008477E-2</v>
      </c>
      <c r="D1113" s="469">
        <v>9.873008174613207E-2</v>
      </c>
      <c r="G1113" s="470"/>
      <c r="H1113" s="471"/>
    </row>
    <row r="1114" spans="1:8" x14ac:dyDescent="0.35">
      <c r="A1114" s="467">
        <v>39287</v>
      </c>
      <c r="B1114" s="468">
        <v>9.5656260816017857E-2</v>
      </c>
      <c r="C1114" s="468">
        <v>9.9834552539850741E-2</v>
      </c>
      <c r="D1114" s="469">
        <v>9.8251057234990613E-2</v>
      </c>
      <c r="G1114" s="470"/>
      <c r="H1114" s="471"/>
    </row>
    <row r="1115" spans="1:8" x14ac:dyDescent="0.35">
      <c r="A1115" s="467">
        <v>39288</v>
      </c>
      <c r="B1115" s="468">
        <v>9.5991256664053282E-2</v>
      </c>
      <c r="C1115" s="468">
        <v>9.9960507725265879E-2</v>
      </c>
      <c r="D1115" s="469">
        <v>9.8537315397514424E-2</v>
      </c>
      <c r="G1115" s="470"/>
      <c r="H1115" s="471"/>
    </row>
    <row r="1116" spans="1:8" x14ac:dyDescent="0.35">
      <c r="A1116" s="467">
        <v>39289</v>
      </c>
      <c r="B1116" s="468">
        <v>9.6579790291854595E-2</v>
      </c>
      <c r="C1116" s="468">
        <v>0.10061244067666109</v>
      </c>
      <c r="D1116" s="469">
        <v>9.9092890071049711E-2</v>
      </c>
      <c r="G1116" s="470"/>
      <c r="H1116" s="471"/>
    </row>
    <row r="1117" spans="1:8" x14ac:dyDescent="0.35">
      <c r="A1117" s="467">
        <v>39290</v>
      </c>
      <c r="B1117" s="468">
        <v>9.6412561964508203E-2</v>
      </c>
      <c r="C1117" s="468">
        <v>0.10006238795606626</v>
      </c>
      <c r="D1117" s="469">
        <v>9.9000684974275277E-2</v>
      </c>
      <c r="G1117" s="470"/>
      <c r="H1117" s="471"/>
    </row>
    <row r="1118" spans="1:8" x14ac:dyDescent="0.35">
      <c r="A1118" s="467">
        <v>39293</v>
      </c>
      <c r="B1118" s="468">
        <v>9.5891230200062294E-2</v>
      </c>
      <c r="C1118" s="468">
        <v>0.10051871761848319</v>
      </c>
      <c r="D1118" s="469">
        <v>9.9430255095363629E-2</v>
      </c>
      <c r="G1118" s="470"/>
      <c r="H1118" s="471"/>
    </row>
    <row r="1119" spans="1:8" x14ac:dyDescent="0.35">
      <c r="A1119" s="467">
        <v>39294</v>
      </c>
      <c r="B1119" s="468">
        <v>9.5576828537021541E-2</v>
      </c>
      <c r="C1119" s="468">
        <v>0.10011579161554818</v>
      </c>
      <c r="D1119" s="469">
        <v>9.9136999391488567E-2</v>
      </c>
      <c r="G1119" s="470"/>
      <c r="H1119" s="471"/>
    </row>
    <row r="1120" spans="1:8" x14ac:dyDescent="0.35">
      <c r="A1120" s="467">
        <v>39295</v>
      </c>
      <c r="B1120" s="468">
        <v>9.5243429584109585E-2</v>
      </c>
      <c r="C1120" s="468">
        <v>9.9877196406502389E-2</v>
      </c>
      <c r="D1120" s="469">
        <v>9.9489190165606978E-2</v>
      </c>
      <c r="G1120" s="470"/>
      <c r="H1120" s="471"/>
    </row>
    <row r="1121" spans="1:8" x14ac:dyDescent="0.35">
      <c r="A1121" s="467">
        <v>39296</v>
      </c>
      <c r="B1121" s="468">
        <v>9.5355391095318653E-2</v>
      </c>
      <c r="C1121" s="468">
        <v>9.9915378987704084E-2</v>
      </c>
      <c r="D1121" s="469">
        <v>9.9176441779958768E-2</v>
      </c>
      <c r="G1121" s="470"/>
      <c r="H1121" s="471"/>
    </row>
    <row r="1122" spans="1:8" x14ac:dyDescent="0.35">
      <c r="A1122" s="467">
        <v>39297</v>
      </c>
      <c r="B1122" s="468">
        <v>9.5308945017491764E-2</v>
      </c>
      <c r="C1122" s="468">
        <v>0.10019138480504219</v>
      </c>
      <c r="D1122" s="469">
        <v>9.9760350629944483E-2</v>
      </c>
      <c r="G1122" s="470"/>
      <c r="H1122" s="471"/>
    </row>
    <row r="1123" spans="1:8" x14ac:dyDescent="0.35">
      <c r="A1123" s="467">
        <v>39300</v>
      </c>
      <c r="B1123" s="468">
        <v>9.4295736665636953E-2</v>
      </c>
      <c r="C1123" s="468">
        <v>9.9592840441371067E-2</v>
      </c>
      <c r="D1123" s="469">
        <v>0.10077795954743496</v>
      </c>
      <c r="G1123" s="470"/>
      <c r="H1123" s="471"/>
    </row>
    <row r="1124" spans="1:8" x14ac:dyDescent="0.35">
      <c r="A1124" s="467">
        <v>39302</v>
      </c>
      <c r="B1124" s="468">
        <v>9.5544868015430051E-2</v>
      </c>
      <c r="C1124" s="468">
        <v>0.1004038627528554</v>
      </c>
      <c r="D1124" s="469">
        <v>9.9761247489614124E-2</v>
      </c>
      <c r="G1124" s="470"/>
      <c r="H1124" s="471"/>
    </row>
    <row r="1125" spans="1:8" x14ac:dyDescent="0.35">
      <c r="A1125" s="467">
        <v>39303</v>
      </c>
      <c r="B1125" s="468">
        <v>9.6438620752639093E-2</v>
      </c>
      <c r="C1125" s="468">
        <v>0.10196331628126987</v>
      </c>
      <c r="D1125" s="469">
        <v>0.10055130287084202</v>
      </c>
      <c r="G1125" s="470"/>
      <c r="H1125" s="471"/>
    </row>
    <row r="1126" spans="1:8" x14ac:dyDescent="0.35">
      <c r="A1126" s="467">
        <v>39304</v>
      </c>
      <c r="B1126" s="468">
        <v>9.6861524533550236E-2</v>
      </c>
      <c r="C1126" s="468">
        <v>0.10203090227477851</v>
      </c>
      <c r="D1126" s="469">
        <v>0.10161912994659028</v>
      </c>
      <c r="G1126" s="470"/>
      <c r="H1126" s="471"/>
    </row>
    <row r="1127" spans="1:8" x14ac:dyDescent="0.35">
      <c r="A1127" s="467">
        <v>39307</v>
      </c>
      <c r="B1127" s="468">
        <v>9.7115295668426471E-2</v>
      </c>
      <c r="C1127" s="468">
        <v>0.10267674469276256</v>
      </c>
      <c r="D1127" s="469">
        <v>0.10157257422616306</v>
      </c>
      <c r="G1127" s="470"/>
      <c r="H1127" s="471"/>
    </row>
    <row r="1128" spans="1:8" x14ac:dyDescent="0.35">
      <c r="A1128" s="467">
        <v>39308</v>
      </c>
      <c r="B1128" s="468">
        <v>9.7378618191187094E-2</v>
      </c>
      <c r="C1128" s="468">
        <v>0.10316479704694381</v>
      </c>
      <c r="D1128" s="469">
        <v>0.10198609222622324</v>
      </c>
      <c r="G1128" s="470"/>
      <c r="H1128" s="471"/>
    </row>
    <row r="1129" spans="1:8" x14ac:dyDescent="0.35">
      <c r="A1129" s="467">
        <v>39309</v>
      </c>
      <c r="B1129" s="468">
        <v>9.8286613983298077E-2</v>
      </c>
      <c r="C1129" s="468">
        <v>0.1044377798614573</v>
      </c>
      <c r="D1129" s="469">
        <v>0.10335825218138561</v>
      </c>
      <c r="G1129" s="470"/>
      <c r="H1129" s="471"/>
    </row>
    <row r="1130" spans="1:8" x14ac:dyDescent="0.35">
      <c r="A1130" s="467">
        <v>39310</v>
      </c>
      <c r="B1130" s="468">
        <v>0.10004857816213697</v>
      </c>
      <c r="C1130" s="468">
        <v>0.10754479719575061</v>
      </c>
      <c r="D1130" s="469">
        <v>0.10570134862580005</v>
      </c>
      <c r="G1130" s="470"/>
      <c r="H1130" s="471"/>
    </row>
    <row r="1131" spans="1:8" x14ac:dyDescent="0.35">
      <c r="A1131" s="467">
        <v>39311</v>
      </c>
      <c r="B1131" s="468">
        <v>9.9001217893766036E-2</v>
      </c>
      <c r="C1131" s="468">
        <v>0.10754470955717554</v>
      </c>
      <c r="D1131" s="469">
        <v>0.10589496274200272</v>
      </c>
      <c r="G1131" s="470"/>
      <c r="H1131" s="471"/>
    </row>
    <row r="1132" spans="1:8" x14ac:dyDescent="0.35">
      <c r="A1132" s="467">
        <v>39315</v>
      </c>
      <c r="B1132" s="468">
        <v>9.9359238395765548E-2</v>
      </c>
      <c r="C1132" s="468">
        <v>0.10780936342336611</v>
      </c>
      <c r="D1132" s="469">
        <v>0.10664920727376326</v>
      </c>
      <c r="G1132" s="470"/>
      <c r="H1132" s="471"/>
    </row>
    <row r="1133" spans="1:8" x14ac:dyDescent="0.35">
      <c r="A1133" s="467">
        <v>39316</v>
      </c>
      <c r="B1133" s="468">
        <v>9.8874284127721479E-2</v>
      </c>
      <c r="C1133" s="468">
        <v>0.10734243164039503</v>
      </c>
      <c r="D1133" s="469">
        <v>0.1061719386345199</v>
      </c>
      <c r="G1133" s="470"/>
      <c r="H1133" s="471"/>
    </row>
    <row r="1134" spans="1:8" x14ac:dyDescent="0.35">
      <c r="A1134" s="467">
        <v>39317</v>
      </c>
      <c r="B1134" s="468">
        <v>9.9139675719823073E-2</v>
      </c>
      <c r="C1134" s="468">
        <v>0.10707821067086787</v>
      </c>
      <c r="D1134" s="469">
        <v>0.10609827073796518</v>
      </c>
      <c r="G1134" s="470"/>
      <c r="H1134" s="471"/>
    </row>
    <row r="1135" spans="1:8" x14ac:dyDescent="0.35">
      <c r="A1135" s="467">
        <v>39318</v>
      </c>
      <c r="B1135" s="468">
        <v>9.8689466748610899E-2</v>
      </c>
      <c r="C1135" s="468">
        <v>0.10708817239229296</v>
      </c>
      <c r="D1135" s="469">
        <v>0.10546404116735264</v>
      </c>
      <c r="G1135" s="470"/>
      <c r="H1135" s="471"/>
    </row>
    <row r="1136" spans="1:8" x14ac:dyDescent="0.35">
      <c r="A1136" s="467">
        <v>39321</v>
      </c>
      <c r="B1136" s="468">
        <v>9.7983371662881513E-2</v>
      </c>
      <c r="C1136" s="468">
        <v>0.10607877392905385</v>
      </c>
      <c r="D1136" s="469">
        <v>0.10532154721416909</v>
      </c>
      <c r="G1136" s="470"/>
      <c r="H1136" s="471"/>
    </row>
    <row r="1137" spans="1:8" x14ac:dyDescent="0.35">
      <c r="A1137" s="467">
        <v>39322</v>
      </c>
      <c r="B1137" s="468">
        <v>9.8814245996932337E-2</v>
      </c>
      <c r="C1137" s="468">
        <v>0.10468457961099875</v>
      </c>
      <c r="D1137" s="469">
        <v>0.10416833385612922</v>
      </c>
      <c r="G1137" s="470"/>
      <c r="H1137" s="471"/>
    </row>
    <row r="1138" spans="1:8" x14ac:dyDescent="0.35">
      <c r="A1138" s="467">
        <v>39323</v>
      </c>
      <c r="B1138" s="468">
        <v>9.8609980129368724E-2</v>
      </c>
      <c r="C1138" s="468">
        <v>0.10821050735239734</v>
      </c>
      <c r="D1138" s="469">
        <v>0.10743005354598467</v>
      </c>
      <c r="G1138" s="470"/>
      <c r="H1138" s="471"/>
    </row>
    <row r="1139" spans="1:8" x14ac:dyDescent="0.35">
      <c r="A1139" s="467">
        <v>39324</v>
      </c>
      <c r="B1139" s="468">
        <v>9.9358347022680871E-2</v>
      </c>
      <c r="C1139" s="468">
        <v>0.10888378986609393</v>
      </c>
      <c r="D1139" s="469">
        <v>0.10721523933395405</v>
      </c>
      <c r="G1139" s="470"/>
      <c r="H1139" s="471"/>
    </row>
    <row r="1140" spans="1:8" x14ac:dyDescent="0.35">
      <c r="A1140" s="467">
        <v>39325</v>
      </c>
      <c r="B1140" s="468">
        <v>9.8263245936263344E-2</v>
      </c>
      <c r="C1140" s="468">
        <v>0.10765039731627968</v>
      </c>
      <c r="D1140" s="469">
        <v>0.10598032026863158</v>
      </c>
      <c r="G1140" s="470"/>
      <c r="H1140" s="471"/>
    </row>
    <row r="1141" spans="1:8" x14ac:dyDescent="0.35">
      <c r="A1141" s="467">
        <v>39328</v>
      </c>
      <c r="B1141" s="468">
        <v>9.7711982814886467E-2</v>
      </c>
      <c r="C1141" s="468">
        <v>0.10608088392277626</v>
      </c>
      <c r="D1141" s="469">
        <v>0.10523020739572519</v>
      </c>
      <c r="G1141" s="470"/>
      <c r="H1141" s="471"/>
    </row>
    <row r="1142" spans="1:8" x14ac:dyDescent="0.35">
      <c r="A1142" s="467">
        <v>39329</v>
      </c>
      <c r="B1142" s="468">
        <v>9.7521196811818811E-2</v>
      </c>
      <c r="C1142" s="468">
        <v>0.1072048910012775</v>
      </c>
      <c r="D1142" s="469">
        <v>0.10570804800612499</v>
      </c>
      <c r="G1142" s="470"/>
      <c r="H1142" s="471"/>
    </row>
    <row r="1143" spans="1:8" x14ac:dyDescent="0.35">
      <c r="A1143" s="467">
        <v>39330</v>
      </c>
      <c r="B1143" s="468">
        <v>9.7165515045544826E-2</v>
      </c>
      <c r="C1143" s="468">
        <v>0.10710595660003341</v>
      </c>
      <c r="D1143" s="469">
        <v>0.10643703712941832</v>
      </c>
      <c r="G1143" s="470"/>
      <c r="H1143" s="471"/>
    </row>
    <row r="1144" spans="1:8" x14ac:dyDescent="0.35">
      <c r="A1144" s="467">
        <v>39331</v>
      </c>
      <c r="B1144" s="468">
        <v>9.7443734953042593E-2</v>
      </c>
      <c r="C1144" s="468">
        <v>0.10649957223901541</v>
      </c>
      <c r="D1144" s="469">
        <v>0.10603378327016078</v>
      </c>
      <c r="G1144" s="470"/>
      <c r="H1144" s="471"/>
    </row>
    <row r="1145" spans="1:8" x14ac:dyDescent="0.35">
      <c r="A1145" s="467">
        <v>39332</v>
      </c>
      <c r="B1145" s="468">
        <v>9.8415039500305612E-2</v>
      </c>
      <c r="C1145" s="468">
        <v>0.10831133123424408</v>
      </c>
      <c r="D1145" s="469">
        <v>0.10644874277109917</v>
      </c>
      <c r="G1145" s="470"/>
      <c r="H1145" s="471"/>
    </row>
    <row r="1146" spans="1:8" x14ac:dyDescent="0.35">
      <c r="A1146" s="467">
        <v>39335</v>
      </c>
      <c r="B1146" s="468">
        <v>9.80541170860596E-2</v>
      </c>
      <c r="C1146" s="468">
        <v>0.11234625148358712</v>
      </c>
      <c r="D1146" s="469">
        <v>0.11039715756818946</v>
      </c>
      <c r="G1146" s="470"/>
      <c r="H1146" s="471"/>
    </row>
    <row r="1147" spans="1:8" x14ac:dyDescent="0.35">
      <c r="A1147" s="467">
        <v>39336</v>
      </c>
      <c r="B1147" s="468">
        <v>9.8028021537240884E-2</v>
      </c>
      <c r="C1147" s="468">
        <v>0.11189685637082736</v>
      </c>
      <c r="D1147" s="469">
        <v>0.10913860692785238</v>
      </c>
      <c r="G1147" s="470"/>
      <c r="H1147" s="471"/>
    </row>
    <row r="1148" spans="1:8" x14ac:dyDescent="0.35">
      <c r="A1148" s="467">
        <v>39337</v>
      </c>
      <c r="B1148" s="468">
        <v>9.8075372804060645E-2</v>
      </c>
      <c r="C1148" s="468">
        <v>0.1081633046691941</v>
      </c>
      <c r="D1148" s="469">
        <v>0.10591266552314815</v>
      </c>
      <c r="G1148" s="470"/>
      <c r="H1148" s="471"/>
    </row>
    <row r="1149" spans="1:8" x14ac:dyDescent="0.35">
      <c r="A1149" s="467">
        <v>39338</v>
      </c>
      <c r="B1149" s="468">
        <v>9.7710901280870566E-2</v>
      </c>
      <c r="C1149" s="468">
        <v>0.1073935958806671</v>
      </c>
      <c r="D1149" s="469">
        <v>0.10529817345138026</v>
      </c>
      <c r="G1149" s="470"/>
      <c r="H1149" s="471"/>
    </row>
    <row r="1150" spans="1:8" x14ac:dyDescent="0.35">
      <c r="A1150" s="467">
        <v>39339</v>
      </c>
      <c r="B1150" s="468">
        <v>9.7261398956991485E-2</v>
      </c>
      <c r="C1150" s="468">
        <v>0.10631993329737988</v>
      </c>
      <c r="D1150" s="469">
        <v>0.10452317832778979</v>
      </c>
      <c r="G1150" s="470"/>
      <c r="H1150" s="471"/>
    </row>
    <row r="1151" spans="1:8" x14ac:dyDescent="0.35">
      <c r="A1151" s="467">
        <v>39342</v>
      </c>
      <c r="B1151" s="468">
        <v>9.7124683540736001E-2</v>
      </c>
      <c r="C1151" s="468">
        <v>0.1059080600156006</v>
      </c>
      <c r="D1151" s="469">
        <v>0.10367735437772962</v>
      </c>
      <c r="G1151" s="470"/>
      <c r="H1151" s="471"/>
    </row>
    <row r="1152" spans="1:8" x14ac:dyDescent="0.35">
      <c r="A1152" s="467">
        <v>39343</v>
      </c>
      <c r="B1152" s="468">
        <v>9.679768879430406E-2</v>
      </c>
      <c r="C1152" s="468">
        <v>0.10543077463824946</v>
      </c>
      <c r="D1152" s="469">
        <v>0.10317961417812982</v>
      </c>
      <c r="G1152" s="470"/>
      <c r="H1152" s="471"/>
    </row>
    <row r="1153" spans="1:8" x14ac:dyDescent="0.35">
      <c r="A1153" s="467">
        <v>39344</v>
      </c>
      <c r="B1153" s="468">
        <v>9.6869799294617698E-2</v>
      </c>
      <c r="C1153" s="468">
        <v>0.10310490128108496</v>
      </c>
      <c r="D1153" s="469">
        <v>0.10107043366730473</v>
      </c>
      <c r="G1153" s="470"/>
      <c r="H1153" s="471"/>
    </row>
    <row r="1154" spans="1:8" x14ac:dyDescent="0.35">
      <c r="A1154" s="467">
        <v>39345</v>
      </c>
      <c r="B1154" s="468">
        <v>9.6687109296847984E-2</v>
      </c>
      <c r="C1154" s="468">
        <v>0.10441425570294038</v>
      </c>
      <c r="D1154" s="469">
        <v>0.10217844481218386</v>
      </c>
      <c r="G1154" s="470"/>
      <c r="H1154" s="471"/>
    </row>
    <row r="1155" spans="1:8" x14ac:dyDescent="0.35">
      <c r="A1155" s="467">
        <v>39346</v>
      </c>
      <c r="B1155" s="468">
        <v>9.6410301776429508E-2</v>
      </c>
      <c r="C1155" s="468">
        <v>0.1037598359302303</v>
      </c>
      <c r="D1155" s="469">
        <v>0.10145428138865253</v>
      </c>
      <c r="G1155" s="470"/>
      <c r="H1155" s="471"/>
    </row>
    <row r="1156" spans="1:8" x14ac:dyDescent="0.35">
      <c r="A1156" s="467">
        <v>39349</v>
      </c>
      <c r="B1156" s="468">
        <v>9.6864029226511716E-2</v>
      </c>
      <c r="C1156" s="468">
        <v>0.10496601637165215</v>
      </c>
      <c r="D1156" s="469">
        <v>0.10244195742895901</v>
      </c>
      <c r="G1156" s="470"/>
      <c r="H1156" s="471"/>
    </row>
    <row r="1157" spans="1:8" x14ac:dyDescent="0.35">
      <c r="A1157" s="467">
        <v>39350</v>
      </c>
      <c r="B1157" s="468">
        <v>9.6718721463231017E-2</v>
      </c>
      <c r="C1157" s="468">
        <v>0.10463310432769979</v>
      </c>
      <c r="D1157" s="469">
        <v>0.10253681047855912</v>
      </c>
      <c r="G1157" s="470"/>
      <c r="H1157" s="471"/>
    </row>
    <row r="1158" spans="1:8" x14ac:dyDescent="0.35">
      <c r="A1158" s="467">
        <v>39351</v>
      </c>
      <c r="B1158" s="468">
        <v>9.6940497192927966E-2</v>
      </c>
      <c r="C1158" s="468">
        <v>0.10372509869535906</v>
      </c>
      <c r="D1158" s="469">
        <v>0.10107594514223273</v>
      </c>
      <c r="G1158" s="470"/>
      <c r="H1158" s="471"/>
    </row>
    <row r="1159" spans="1:8" x14ac:dyDescent="0.35">
      <c r="A1159" s="467">
        <v>39352</v>
      </c>
      <c r="B1159" s="468">
        <v>9.6503197700209986E-2</v>
      </c>
      <c r="C1159" s="468">
        <v>0.10398250437941847</v>
      </c>
      <c r="D1159" s="469">
        <v>0.10166803702052829</v>
      </c>
      <c r="G1159" s="470"/>
      <c r="H1159" s="471"/>
    </row>
    <row r="1160" spans="1:8" x14ac:dyDescent="0.35">
      <c r="A1160" s="467">
        <v>39353</v>
      </c>
      <c r="B1160" s="468">
        <v>9.5870433911833919E-2</v>
      </c>
      <c r="C1160" s="468">
        <v>0.10354186922481134</v>
      </c>
      <c r="D1160" s="469">
        <v>0.10182599849806961</v>
      </c>
      <c r="G1160" s="470"/>
      <c r="H1160" s="471"/>
    </row>
    <row r="1161" spans="1:8" x14ac:dyDescent="0.35">
      <c r="A1161" s="467">
        <v>39356</v>
      </c>
      <c r="B1161" s="468">
        <v>9.6278038176244474E-2</v>
      </c>
      <c r="C1161" s="468">
        <v>0.10310289720012822</v>
      </c>
      <c r="D1161" s="469">
        <v>0.10161627659779549</v>
      </c>
      <c r="G1161" s="470"/>
      <c r="H1161" s="471"/>
    </row>
    <row r="1162" spans="1:8" x14ac:dyDescent="0.35">
      <c r="A1162" s="467">
        <v>39357</v>
      </c>
      <c r="B1162" s="468">
        <v>9.6403730446888769E-2</v>
      </c>
      <c r="C1162" s="468">
        <v>0.10273293771009473</v>
      </c>
      <c r="D1162" s="469">
        <v>0.10142390619307307</v>
      </c>
      <c r="G1162" s="470"/>
      <c r="H1162" s="471"/>
    </row>
    <row r="1163" spans="1:8" x14ac:dyDescent="0.35">
      <c r="A1163" s="467">
        <v>39358</v>
      </c>
      <c r="B1163" s="468">
        <v>9.5491729613482956E-2</v>
      </c>
      <c r="C1163" s="468">
        <v>0.10290597059514606</v>
      </c>
      <c r="D1163" s="469">
        <v>0.10094520131198204</v>
      </c>
      <c r="G1163" s="470"/>
      <c r="H1163" s="471"/>
    </row>
    <row r="1164" spans="1:8" x14ac:dyDescent="0.35">
      <c r="A1164" s="467">
        <v>39359</v>
      </c>
      <c r="B1164" s="468">
        <v>9.5807187276699013E-2</v>
      </c>
      <c r="C1164" s="468">
        <v>0.10330355333978813</v>
      </c>
      <c r="D1164" s="469">
        <v>0.10135719167295432</v>
      </c>
      <c r="G1164" s="470"/>
      <c r="H1164" s="471"/>
    </row>
    <row r="1165" spans="1:8" x14ac:dyDescent="0.35">
      <c r="A1165" s="467">
        <v>39360</v>
      </c>
      <c r="B1165" s="468">
        <v>9.5309927414595652E-2</v>
      </c>
      <c r="C1165" s="468">
        <v>0.10306016591250766</v>
      </c>
      <c r="D1165" s="469">
        <v>0.10101906391766446</v>
      </c>
      <c r="G1165" s="470"/>
      <c r="H1165" s="471"/>
    </row>
    <row r="1166" spans="1:8" x14ac:dyDescent="0.35">
      <c r="A1166" s="467">
        <v>39363</v>
      </c>
      <c r="B1166" s="468">
        <v>9.6427714748865689E-2</v>
      </c>
      <c r="C1166" s="468">
        <v>0.10330789909620774</v>
      </c>
      <c r="D1166" s="469">
        <v>0.10144861222305868</v>
      </c>
      <c r="G1166" s="470"/>
      <c r="H1166" s="471"/>
    </row>
    <row r="1167" spans="1:8" x14ac:dyDescent="0.35">
      <c r="A1167" s="467">
        <v>39364</v>
      </c>
      <c r="B1167" s="468">
        <v>9.5910646535785071E-2</v>
      </c>
      <c r="C1167" s="468">
        <v>0.10342279634926754</v>
      </c>
      <c r="D1167" s="469">
        <v>0.10201854769532281</v>
      </c>
      <c r="G1167" s="470"/>
      <c r="H1167" s="471"/>
    </row>
    <row r="1168" spans="1:8" x14ac:dyDescent="0.35">
      <c r="A1168" s="467">
        <v>39365</v>
      </c>
      <c r="B1168" s="468">
        <v>9.6024695248061898E-2</v>
      </c>
      <c r="C1168" s="468">
        <v>0.10342903011326698</v>
      </c>
      <c r="D1168" s="469">
        <v>0.10215274068886471</v>
      </c>
      <c r="G1168" s="470"/>
      <c r="H1168" s="471"/>
    </row>
    <row r="1169" spans="1:8" x14ac:dyDescent="0.35">
      <c r="A1169" s="467">
        <v>39366</v>
      </c>
      <c r="B1169" s="468">
        <v>9.5931692987506256E-2</v>
      </c>
      <c r="C1169" s="468">
        <v>0.10327995942431945</v>
      </c>
      <c r="D1169" s="469">
        <v>0.10178085664693093</v>
      </c>
      <c r="G1169" s="470"/>
      <c r="H1169" s="471"/>
    </row>
    <row r="1170" spans="1:8" x14ac:dyDescent="0.35">
      <c r="A1170" s="467">
        <v>39367</v>
      </c>
      <c r="B1170" s="468">
        <v>9.595747090952611E-2</v>
      </c>
      <c r="C1170" s="468">
        <v>0.10334858590793439</v>
      </c>
      <c r="D1170" s="469">
        <v>0.10207278595562075</v>
      </c>
      <c r="G1170" s="470"/>
      <c r="H1170" s="471"/>
    </row>
    <row r="1171" spans="1:8" x14ac:dyDescent="0.35">
      <c r="A1171" s="467">
        <v>39371</v>
      </c>
      <c r="B1171" s="468">
        <v>9.6141066856696655E-2</v>
      </c>
      <c r="C1171" s="468">
        <v>0.10386737205879792</v>
      </c>
      <c r="D1171" s="469">
        <v>0.10262383813700571</v>
      </c>
      <c r="G1171" s="470"/>
      <c r="H1171" s="471"/>
    </row>
    <row r="1172" spans="1:8" x14ac:dyDescent="0.35">
      <c r="A1172" s="467">
        <v>39372</v>
      </c>
      <c r="B1172" s="468">
        <v>9.6084652557093087E-2</v>
      </c>
      <c r="C1172" s="468">
        <v>0.10434114038125508</v>
      </c>
      <c r="D1172" s="469">
        <v>0.10254091773149399</v>
      </c>
      <c r="G1172" s="470"/>
      <c r="H1172" s="471"/>
    </row>
    <row r="1173" spans="1:8" x14ac:dyDescent="0.35">
      <c r="A1173" s="467">
        <v>39373</v>
      </c>
      <c r="B1173" s="468">
        <v>9.6034158742560605E-2</v>
      </c>
      <c r="C1173" s="468">
        <v>0.10359636291793195</v>
      </c>
      <c r="D1173" s="469">
        <v>0.10268483307705867</v>
      </c>
      <c r="G1173" s="470"/>
      <c r="H1173" s="471"/>
    </row>
    <row r="1174" spans="1:8" x14ac:dyDescent="0.35">
      <c r="A1174" s="467">
        <v>39374</v>
      </c>
      <c r="B1174" s="468">
        <v>9.6367006646234765E-2</v>
      </c>
      <c r="C1174" s="468">
        <v>0.10403031498411286</v>
      </c>
      <c r="D1174" s="469">
        <v>0.10243853800039782</v>
      </c>
      <c r="G1174" s="470"/>
      <c r="H1174" s="471"/>
    </row>
    <row r="1175" spans="1:8" x14ac:dyDescent="0.35">
      <c r="A1175" s="467">
        <v>39377</v>
      </c>
      <c r="B1175" s="468">
        <v>9.6088006524919445E-2</v>
      </c>
      <c r="C1175" s="468">
        <v>0.10369510374976887</v>
      </c>
      <c r="D1175" s="469">
        <v>0.10292478519825199</v>
      </c>
      <c r="G1175" s="470"/>
      <c r="H1175" s="471"/>
    </row>
    <row r="1176" spans="1:8" x14ac:dyDescent="0.35">
      <c r="A1176" s="467">
        <v>39378</v>
      </c>
      <c r="B1176" s="468">
        <v>9.6108277847731571E-2</v>
      </c>
      <c r="C1176" s="468">
        <v>0.10371091165351021</v>
      </c>
      <c r="D1176" s="469">
        <v>0.10287635739318501</v>
      </c>
      <c r="G1176" s="470"/>
      <c r="H1176" s="471"/>
    </row>
    <row r="1177" spans="1:8" x14ac:dyDescent="0.35">
      <c r="A1177" s="467">
        <v>39379</v>
      </c>
      <c r="B1177" s="468">
        <v>9.5584487224251502E-2</v>
      </c>
      <c r="C1177" s="468">
        <v>0.10367067953415932</v>
      </c>
      <c r="D1177" s="469">
        <v>0.10379093965839958</v>
      </c>
      <c r="G1177" s="470"/>
      <c r="H1177" s="471"/>
    </row>
    <row r="1178" spans="1:8" x14ac:dyDescent="0.35">
      <c r="A1178" s="467">
        <v>39380</v>
      </c>
      <c r="B1178" s="468">
        <v>9.6296988988375798E-2</v>
      </c>
      <c r="C1178" s="468">
        <v>0.10454453163368016</v>
      </c>
      <c r="D1178" s="469">
        <v>0.10359433689637298</v>
      </c>
      <c r="G1178" s="470"/>
      <c r="H1178" s="471"/>
    </row>
    <row r="1179" spans="1:8" x14ac:dyDescent="0.35">
      <c r="A1179" s="467">
        <v>39381</v>
      </c>
      <c r="B1179" s="468">
        <v>9.5652295342831373E-2</v>
      </c>
      <c r="C1179" s="468">
        <v>0.10398673580335527</v>
      </c>
      <c r="D1179" s="469">
        <v>0.10275507817004126</v>
      </c>
      <c r="G1179" s="470"/>
      <c r="H1179" s="471"/>
    </row>
    <row r="1180" spans="1:8" x14ac:dyDescent="0.35">
      <c r="A1180" s="467">
        <v>39384</v>
      </c>
      <c r="B1180" s="468">
        <v>9.6075036264663405E-2</v>
      </c>
      <c r="C1180" s="468">
        <v>0.10378126158509549</v>
      </c>
      <c r="D1180" s="469">
        <v>0.1025658847399753</v>
      </c>
      <c r="G1180" s="470"/>
      <c r="H1180" s="471"/>
    </row>
    <row r="1181" spans="1:8" x14ac:dyDescent="0.35">
      <c r="A1181" s="467">
        <v>39385</v>
      </c>
      <c r="B1181" s="468">
        <v>9.5990384554427655E-2</v>
      </c>
      <c r="C1181" s="468">
        <v>0.10385495662441646</v>
      </c>
      <c r="D1181" s="469">
        <v>0.10241619618975006</v>
      </c>
      <c r="G1181" s="470"/>
      <c r="H1181" s="471"/>
    </row>
    <row r="1182" spans="1:8" x14ac:dyDescent="0.35">
      <c r="A1182" s="467">
        <v>39386</v>
      </c>
      <c r="B1182" s="468">
        <v>9.5557095531194403E-2</v>
      </c>
      <c r="C1182" s="468">
        <v>0.10348142203059263</v>
      </c>
      <c r="D1182" s="469">
        <v>0.10167761524777763</v>
      </c>
      <c r="G1182" s="470"/>
      <c r="H1182" s="471"/>
    </row>
    <row r="1183" spans="1:8" x14ac:dyDescent="0.35">
      <c r="A1183" s="467">
        <v>39387</v>
      </c>
      <c r="B1183" s="468">
        <v>9.6041458289044757E-2</v>
      </c>
      <c r="C1183" s="468">
        <v>0.1013306608523652</v>
      </c>
      <c r="D1183" s="469">
        <v>0.10206687507034462</v>
      </c>
      <c r="G1183" s="470"/>
      <c r="H1183" s="471"/>
    </row>
    <row r="1184" spans="1:8" x14ac:dyDescent="0.35">
      <c r="A1184" s="467">
        <v>39388</v>
      </c>
      <c r="B1184" s="468">
        <v>9.6024781894675337E-2</v>
      </c>
      <c r="C1184" s="468">
        <v>0.10216488119351408</v>
      </c>
      <c r="D1184" s="469">
        <v>0.10169923635239564</v>
      </c>
      <c r="G1184" s="470"/>
      <c r="H1184" s="471"/>
    </row>
    <row r="1185" spans="1:8" x14ac:dyDescent="0.35">
      <c r="A1185" s="467">
        <v>39392</v>
      </c>
      <c r="B1185" s="468">
        <v>9.5461486920490168E-2</v>
      </c>
      <c r="C1185" s="468">
        <v>0.10281839804357085</v>
      </c>
      <c r="D1185" s="469">
        <v>0.10213718710371822</v>
      </c>
      <c r="G1185" s="470"/>
      <c r="H1185" s="471"/>
    </row>
    <row r="1186" spans="1:8" x14ac:dyDescent="0.35">
      <c r="A1186" s="467">
        <v>39393</v>
      </c>
      <c r="B1186" s="468">
        <v>9.4997881655574989E-2</v>
      </c>
      <c r="C1186" s="468">
        <v>0.10354618398828275</v>
      </c>
      <c r="D1186" s="469">
        <v>0.10211731990247586</v>
      </c>
      <c r="G1186" s="470"/>
      <c r="H1186" s="471"/>
    </row>
    <row r="1187" spans="1:8" x14ac:dyDescent="0.35">
      <c r="A1187" s="467">
        <v>39394</v>
      </c>
      <c r="B1187" s="468">
        <v>9.4724125778248291E-2</v>
      </c>
      <c r="C1187" s="468">
        <v>0.10182387759895395</v>
      </c>
      <c r="D1187" s="469">
        <v>0.10273755945539786</v>
      </c>
      <c r="G1187" s="470"/>
      <c r="H1187" s="471"/>
    </row>
    <row r="1188" spans="1:8" x14ac:dyDescent="0.35">
      <c r="A1188" s="467">
        <v>39395</v>
      </c>
      <c r="B1188" s="468">
        <v>9.4868215782464294E-2</v>
      </c>
      <c r="C1188" s="468">
        <v>0.10326232080478093</v>
      </c>
      <c r="D1188" s="469">
        <v>0.10267446684457271</v>
      </c>
      <c r="G1188" s="470"/>
      <c r="H1188" s="471"/>
    </row>
    <row r="1189" spans="1:8" x14ac:dyDescent="0.35">
      <c r="A1189" s="467">
        <v>39399</v>
      </c>
      <c r="B1189" s="468">
        <v>9.4457360012604852E-2</v>
      </c>
      <c r="C1189" s="468">
        <v>0.10297686308248966</v>
      </c>
      <c r="D1189" s="469">
        <v>0.10252593437939561</v>
      </c>
      <c r="G1189" s="470"/>
      <c r="H1189" s="471"/>
    </row>
    <row r="1190" spans="1:8" x14ac:dyDescent="0.35">
      <c r="A1190" s="467">
        <v>39400</v>
      </c>
      <c r="B1190" s="468">
        <v>9.4144013237254187E-2</v>
      </c>
      <c r="C1190" s="468">
        <v>0.10262205673642422</v>
      </c>
      <c r="D1190" s="469">
        <v>0.10215760686280451</v>
      </c>
      <c r="G1190" s="470"/>
      <c r="H1190" s="471"/>
    </row>
    <row r="1191" spans="1:8" x14ac:dyDescent="0.35">
      <c r="A1191" s="467">
        <v>39401</v>
      </c>
      <c r="B1191" s="468">
        <v>9.4027464523654736E-2</v>
      </c>
      <c r="C1191" s="468">
        <v>0.10311837542775359</v>
      </c>
      <c r="D1191" s="469">
        <v>0.10223728471732407</v>
      </c>
      <c r="G1191" s="470"/>
      <c r="H1191" s="471"/>
    </row>
    <row r="1192" spans="1:8" x14ac:dyDescent="0.35">
      <c r="A1192" s="467">
        <v>39402</v>
      </c>
      <c r="B1192" s="468">
        <v>9.3755275874824351E-2</v>
      </c>
      <c r="C1192" s="468">
        <v>0.10234845855263197</v>
      </c>
      <c r="D1192" s="469">
        <v>0.10207713834991483</v>
      </c>
      <c r="G1192" s="470"/>
      <c r="H1192" s="471"/>
    </row>
    <row r="1193" spans="1:8" x14ac:dyDescent="0.35">
      <c r="A1193" s="467">
        <v>39405</v>
      </c>
      <c r="B1193" s="468">
        <v>9.3929881850568053E-2</v>
      </c>
      <c r="C1193" s="468">
        <v>0.1022147004380094</v>
      </c>
      <c r="D1193" s="469">
        <v>0.10153982529681049</v>
      </c>
      <c r="G1193" s="470"/>
      <c r="H1193" s="471"/>
    </row>
    <row r="1194" spans="1:8" x14ac:dyDescent="0.35">
      <c r="A1194" s="467">
        <v>39406</v>
      </c>
      <c r="B1194" s="468">
        <v>9.38533763765248E-2</v>
      </c>
      <c r="C1194" s="468">
        <v>0.1025418971324723</v>
      </c>
      <c r="D1194" s="469">
        <v>0.10167932667041457</v>
      </c>
      <c r="G1194" s="470"/>
      <c r="H1194" s="471"/>
    </row>
    <row r="1195" spans="1:8" x14ac:dyDescent="0.35">
      <c r="A1195" s="467">
        <v>39407</v>
      </c>
      <c r="B1195" s="468">
        <v>9.4414504286496337E-2</v>
      </c>
      <c r="C1195" s="468">
        <v>0.10275809092727584</v>
      </c>
      <c r="D1195" s="469">
        <v>0.10218015876469466</v>
      </c>
      <c r="G1195" s="470"/>
      <c r="H1195" s="471"/>
    </row>
    <row r="1196" spans="1:8" x14ac:dyDescent="0.35">
      <c r="A1196" s="467">
        <v>39408</v>
      </c>
      <c r="B1196" s="468">
        <v>9.4652682756676265E-2</v>
      </c>
      <c r="C1196" s="468">
        <v>0.10287823439746058</v>
      </c>
      <c r="D1196" s="469">
        <v>0.10232911520034382</v>
      </c>
      <c r="G1196" s="470"/>
      <c r="H1196" s="471"/>
    </row>
    <row r="1197" spans="1:8" x14ac:dyDescent="0.35">
      <c r="A1197" s="467">
        <v>39409</v>
      </c>
      <c r="B1197" s="468">
        <v>9.4923062037153949E-2</v>
      </c>
      <c r="C1197" s="468">
        <v>0.10295094186317311</v>
      </c>
      <c r="D1197" s="469">
        <v>0.10200118563573812</v>
      </c>
      <c r="G1197" s="470"/>
      <c r="H1197" s="471"/>
    </row>
    <row r="1198" spans="1:8" x14ac:dyDescent="0.35">
      <c r="A1198" s="467">
        <v>39412</v>
      </c>
      <c r="B1198" s="468">
        <v>9.6004224329120369E-2</v>
      </c>
      <c r="C1198" s="468">
        <v>0.1029437989538331</v>
      </c>
      <c r="D1198" s="469">
        <v>0.10225960683644564</v>
      </c>
      <c r="G1198" s="470"/>
      <c r="H1198" s="471"/>
    </row>
    <row r="1199" spans="1:8" x14ac:dyDescent="0.35">
      <c r="A1199" s="467">
        <v>39413</v>
      </c>
      <c r="B1199" s="468">
        <v>9.5861726437571626E-2</v>
      </c>
      <c r="C1199" s="468">
        <v>0.10337233815898506</v>
      </c>
      <c r="D1199" s="469">
        <v>0.10273703815678603</v>
      </c>
      <c r="G1199" s="470"/>
      <c r="H1199" s="471"/>
    </row>
    <row r="1200" spans="1:8" x14ac:dyDescent="0.35">
      <c r="A1200" s="467">
        <v>39414</v>
      </c>
      <c r="B1200" s="468">
        <v>9.5560511910581347E-2</v>
      </c>
      <c r="C1200" s="468">
        <v>0.1028974690357638</v>
      </c>
      <c r="D1200" s="469">
        <v>0.1025464430008054</v>
      </c>
      <c r="G1200" s="470"/>
      <c r="H1200" s="471"/>
    </row>
    <row r="1201" spans="1:8" x14ac:dyDescent="0.35">
      <c r="A1201" s="467">
        <v>39415</v>
      </c>
      <c r="B1201" s="468">
        <v>9.5166691126902681E-2</v>
      </c>
      <c r="C1201" s="468">
        <v>0.10260517424326809</v>
      </c>
      <c r="D1201" s="469">
        <v>0.10239395149270369</v>
      </c>
      <c r="G1201" s="470"/>
      <c r="H1201" s="471"/>
    </row>
    <row r="1202" spans="1:8" x14ac:dyDescent="0.35">
      <c r="A1202" s="467">
        <v>39416</v>
      </c>
      <c r="B1202" s="468">
        <v>9.4654962931666864E-2</v>
      </c>
      <c r="C1202" s="468">
        <v>0.10232952493566483</v>
      </c>
      <c r="D1202" s="469">
        <v>0.10204943743642492</v>
      </c>
      <c r="G1202" s="470"/>
      <c r="H1202" s="471"/>
    </row>
    <row r="1203" spans="1:8" x14ac:dyDescent="0.35">
      <c r="A1203" s="467">
        <v>39419</v>
      </c>
      <c r="B1203" s="468">
        <v>9.4862408558733957E-2</v>
      </c>
      <c r="C1203" s="468">
        <v>0.10231199524037171</v>
      </c>
      <c r="D1203" s="469">
        <v>0.10381096987052452</v>
      </c>
      <c r="G1203" s="470"/>
      <c r="H1203" s="471"/>
    </row>
    <row r="1204" spans="1:8" x14ac:dyDescent="0.35">
      <c r="A1204" s="467">
        <v>39420</v>
      </c>
      <c r="B1204" s="468">
        <v>9.5380970367408224E-2</v>
      </c>
      <c r="C1204" s="468">
        <v>0.10267610269947069</v>
      </c>
      <c r="D1204" s="469">
        <v>0.10310472427530981</v>
      </c>
      <c r="G1204" s="470"/>
      <c r="H1204" s="471"/>
    </row>
    <row r="1205" spans="1:8" x14ac:dyDescent="0.35">
      <c r="A1205" s="467">
        <v>39421</v>
      </c>
      <c r="B1205" s="468">
        <v>9.5196786495664432E-2</v>
      </c>
      <c r="C1205" s="468">
        <v>0.10251419819725505</v>
      </c>
      <c r="D1205" s="469">
        <v>0.10247865617006613</v>
      </c>
      <c r="G1205" s="470"/>
      <c r="H1205" s="471"/>
    </row>
    <row r="1206" spans="1:8" x14ac:dyDescent="0.35">
      <c r="A1206" s="467">
        <v>39422</v>
      </c>
      <c r="B1206" s="468">
        <v>9.5210453943786799E-2</v>
      </c>
      <c r="C1206" s="468">
        <v>0.10235850171928051</v>
      </c>
      <c r="D1206" s="469">
        <v>0.10240555243173577</v>
      </c>
      <c r="G1206" s="470"/>
      <c r="H1206" s="471"/>
    </row>
    <row r="1207" spans="1:8" x14ac:dyDescent="0.35">
      <c r="A1207" s="467">
        <v>39423</v>
      </c>
      <c r="B1207" s="468">
        <v>9.5378229140728354E-2</v>
      </c>
      <c r="C1207" s="468">
        <v>0.10250743353721825</v>
      </c>
      <c r="D1207" s="469">
        <v>0.1024485890198914</v>
      </c>
      <c r="G1207" s="470"/>
      <c r="H1207" s="471"/>
    </row>
    <row r="1208" spans="1:8" x14ac:dyDescent="0.35">
      <c r="A1208" s="467">
        <v>39426</v>
      </c>
      <c r="B1208" s="468">
        <v>9.5608161948191439E-2</v>
      </c>
      <c r="C1208" s="468">
        <v>0.10273183493503746</v>
      </c>
      <c r="D1208" s="469">
        <v>0.10306833309596342</v>
      </c>
      <c r="G1208" s="470"/>
      <c r="H1208" s="471"/>
    </row>
    <row r="1209" spans="1:8" x14ac:dyDescent="0.35">
      <c r="A1209" s="467">
        <v>39427</v>
      </c>
      <c r="B1209" s="468">
        <v>9.6150281004521609E-2</v>
      </c>
      <c r="C1209" s="468">
        <v>0.1020250623427843</v>
      </c>
      <c r="D1209" s="469">
        <v>0.1024805302358538</v>
      </c>
      <c r="G1209" s="470"/>
      <c r="H1209" s="471"/>
    </row>
    <row r="1210" spans="1:8" x14ac:dyDescent="0.35">
      <c r="A1210" s="467">
        <v>39428</v>
      </c>
      <c r="B1210" s="468">
        <v>9.6237945454842322E-2</v>
      </c>
      <c r="C1210" s="468">
        <v>0.10224909846941621</v>
      </c>
      <c r="D1210" s="469">
        <v>0.10231527967330689</v>
      </c>
      <c r="G1210" s="470"/>
      <c r="H1210" s="471"/>
    </row>
    <row r="1211" spans="1:8" x14ac:dyDescent="0.35">
      <c r="A1211" s="467">
        <v>39430</v>
      </c>
      <c r="B1211" s="468">
        <v>9.6740032682627541E-2</v>
      </c>
      <c r="C1211" s="468">
        <v>0.10250920615989334</v>
      </c>
      <c r="D1211" s="469">
        <v>0.10267464062639498</v>
      </c>
      <c r="G1211" s="470"/>
      <c r="H1211" s="471"/>
    </row>
    <row r="1212" spans="1:8" x14ac:dyDescent="0.35">
      <c r="A1212" s="467">
        <v>39433</v>
      </c>
      <c r="B1212" s="468">
        <v>9.7512519899502381E-2</v>
      </c>
      <c r="C1212" s="468">
        <v>0.10252893363279947</v>
      </c>
      <c r="D1212" s="469">
        <v>0.10315771005216035</v>
      </c>
      <c r="G1212" s="470"/>
      <c r="H1212" s="471"/>
    </row>
    <row r="1213" spans="1:8" x14ac:dyDescent="0.35">
      <c r="A1213" s="467">
        <v>39434</v>
      </c>
      <c r="B1213" s="468">
        <v>9.807960971790175E-2</v>
      </c>
      <c r="C1213" s="468">
        <v>0.10351817184185452</v>
      </c>
      <c r="D1213" s="469">
        <v>0.1034282467377865</v>
      </c>
      <c r="G1213" s="470"/>
      <c r="H1213" s="471"/>
    </row>
    <row r="1214" spans="1:8" x14ac:dyDescent="0.35">
      <c r="A1214" s="467">
        <v>39435</v>
      </c>
      <c r="B1214" s="468">
        <v>9.7769175921543994E-2</v>
      </c>
      <c r="C1214" s="468">
        <v>0.10301402441764518</v>
      </c>
      <c r="D1214" s="469">
        <v>0.10330028967269178</v>
      </c>
      <c r="G1214" s="470"/>
      <c r="H1214" s="471"/>
    </row>
    <row r="1215" spans="1:8" x14ac:dyDescent="0.35">
      <c r="A1215" s="467">
        <v>39436</v>
      </c>
      <c r="B1215" s="468">
        <v>9.8196370906601604E-2</v>
      </c>
      <c r="C1215" s="468">
        <v>0.10276063958701975</v>
      </c>
      <c r="D1215" s="469">
        <v>0.1031396466793788</v>
      </c>
      <c r="G1215" s="470"/>
      <c r="H1215" s="471"/>
    </row>
    <row r="1216" spans="1:8" x14ac:dyDescent="0.35">
      <c r="A1216" s="467">
        <v>39437</v>
      </c>
      <c r="B1216" s="468">
        <v>9.8681693596788467E-2</v>
      </c>
      <c r="C1216" s="468">
        <v>0.10347734408314557</v>
      </c>
      <c r="D1216" s="469">
        <v>0.10304696086273579</v>
      </c>
      <c r="G1216" s="470"/>
      <c r="H1216" s="471"/>
    </row>
    <row r="1217" spans="1:8" x14ac:dyDescent="0.35">
      <c r="A1217" s="467">
        <v>39451</v>
      </c>
      <c r="B1217" s="468">
        <v>9.9769329359047143E-2</v>
      </c>
      <c r="C1217" s="468">
        <v>0.10422001988196095</v>
      </c>
      <c r="D1217" s="469">
        <v>0.1047776211485405</v>
      </c>
      <c r="G1217" s="470"/>
      <c r="H1217" s="471"/>
    </row>
    <row r="1218" spans="1:8" x14ac:dyDescent="0.35">
      <c r="A1218" s="467">
        <v>39455</v>
      </c>
      <c r="B1218" s="468">
        <v>9.9536567647309449E-2</v>
      </c>
      <c r="C1218" s="468">
        <v>0.10399532674780776</v>
      </c>
      <c r="D1218" s="469">
        <v>0.10445639305913046</v>
      </c>
      <c r="G1218" s="470"/>
      <c r="H1218" s="471"/>
    </row>
    <row r="1219" spans="1:8" x14ac:dyDescent="0.35">
      <c r="A1219" s="467">
        <v>39456</v>
      </c>
      <c r="B1219" s="468">
        <v>9.9906254744973166E-2</v>
      </c>
      <c r="C1219" s="468">
        <v>0.10478901410605368</v>
      </c>
      <c r="D1219" s="469">
        <v>0.10510478840416471</v>
      </c>
      <c r="G1219" s="470"/>
      <c r="H1219" s="471"/>
    </row>
    <row r="1220" spans="1:8" x14ac:dyDescent="0.35">
      <c r="A1220" s="467">
        <v>39457</v>
      </c>
      <c r="B1220" s="468">
        <v>0.10008967159217241</v>
      </c>
      <c r="C1220" s="468">
        <v>0.10484707983567199</v>
      </c>
      <c r="D1220" s="469">
        <v>0.10532022822475806</v>
      </c>
      <c r="G1220" s="470"/>
      <c r="H1220" s="471"/>
    </row>
    <row r="1221" spans="1:8" x14ac:dyDescent="0.35">
      <c r="A1221" s="467">
        <v>39458</v>
      </c>
      <c r="B1221" s="468">
        <v>0.10001222351604255</v>
      </c>
      <c r="C1221" s="468">
        <v>0.10461583518950857</v>
      </c>
      <c r="D1221" s="469">
        <v>0.1050412765030182</v>
      </c>
      <c r="G1221" s="470"/>
      <c r="H1221" s="471"/>
    </row>
    <row r="1222" spans="1:8" x14ac:dyDescent="0.35">
      <c r="A1222" s="467">
        <v>39461</v>
      </c>
      <c r="B1222" s="468">
        <v>9.9809922278351504E-2</v>
      </c>
      <c r="C1222" s="468">
        <v>0.10424246459803399</v>
      </c>
      <c r="D1222" s="469">
        <v>0.10481931098266295</v>
      </c>
      <c r="G1222" s="470"/>
      <c r="H1222" s="471"/>
    </row>
    <row r="1223" spans="1:8" x14ac:dyDescent="0.35">
      <c r="A1223" s="467">
        <v>39462</v>
      </c>
      <c r="B1223" s="468">
        <v>0.10003214012429362</v>
      </c>
      <c r="C1223" s="468">
        <v>0.10471223026462573</v>
      </c>
      <c r="D1223" s="469">
        <v>0.10529708647844926</v>
      </c>
      <c r="G1223" s="470"/>
      <c r="H1223" s="471"/>
    </row>
    <row r="1224" spans="1:8" x14ac:dyDescent="0.35">
      <c r="A1224" s="467">
        <v>39463</v>
      </c>
      <c r="B1224" s="468">
        <v>0.10068809852792548</v>
      </c>
      <c r="C1224" s="468">
        <v>0.10563725650212485</v>
      </c>
      <c r="D1224" s="469">
        <v>0.10608629019063565</v>
      </c>
      <c r="G1224" s="470"/>
      <c r="H1224" s="471"/>
    </row>
    <row r="1225" spans="1:8" x14ac:dyDescent="0.35">
      <c r="A1225" s="467">
        <v>39464</v>
      </c>
      <c r="B1225" s="468">
        <v>0.10058111827310867</v>
      </c>
      <c r="C1225" s="468">
        <v>0.10567421979723535</v>
      </c>
      <c r="D1225" s="469">
        <v>0.10636073716912886</v>
      </c>
      <c r="G1225" s="470"/>
      <c r="H1225" s="471"/>
    </row>
    <row r="1226" spans="1:8" x14ac:dyDescent="0.35">
      <c r="A1226" s="467">
        <v>39465</v>
      </c>
      <c r="B1226" s="468">
        <v>0.10089705204725097</v>
      </c>
      <c r="C1226" s="468">
        <v>0.10674779003845924</v>
      </c>
      <c r="D1226" s="469">
        <v>0.10761897892274996</v>
      </c>
      <c r="G1226" s="470"/>
      <c r="H1226" s="471"/>
    </row>
    <row r="1227" spans="1:8" x14ac:dyDescent="0.35">
      <c r="A1227" s="467">
        <v>39468</v>
      </c>
      <c r="B1227" s="468">
        <v>0.10429412404990157</v>
      </c>
      <c r="C1227" s="468">
        <v>0.1106670956804563</v>
      </c>
      <c r="D1227" s="469">
        <v>0.11146629881236469</v>
      </c>
      <c r="G1227" s="470"/>
      <c r="H1227" s="471"/>
    </row>
    <row r="1228" spans="1:8" x14ac:dyDescent="0.35">
      <c r="A1228" s="467">
        <v>39469</v>
      </c>
      <c r="B1228" s="468">
        <v>0.10368792670866966</v>
      </c>
      <c r="C1228" s="468">
        <v>0.11173862474478469</v>
      </c>
      <c r="D1228" s="469">
        <v>0.11293468385910965</v>
      </c>
      <c r="G1228" s="470"/>
      <c r="H1228" s="471"/>
    </row>
    <row r="1229" spans="1:8" x14ac:dyDescent="0.35">
      <c r="A1229" s="467">
        <v>39470</v>
      </c>
      <c r="B1229" s="468">
        <v>0.10391033119652038</v>
      </c>
      <c r="C1229" s="468">
        <v>0.11188842520850351</v>
      </c>
      <c r="D1229" s="469">
        <v>0.11321824283788251</v>
      </c>
      <c r="G1229" s="470"/>
      <c r="H1229" s="471"/>
    </row>
    <row r="1230" spans="1:8" x14ac:dyDescent="0.35">
      <c r="A1230" s="467">
        <v>39471</v>
      </c>
      <c r="B1230" s="468">
        <v>0.10231574450709369</v>
      </c>
      <c r="C1230" s="468">
        <v>0.11143861549230838</v>
      </c>
      <c r="D1230" s="469">
        <v>0.1105482754417606</v>
      </c>
      <c r="G1230" s="470"/>
      <c r="H1230" s="471"/>
    </row>
    <row r="1231" spans="1:8" x14ac:dyDescent="0.35">
      <c r="A1231" s="467">
        <v>39472</v>
      </c>
      <c r="B1231" s="468">
        <v>0.10182710370266768</v>
      </c>
      <c r="C1231" s="468">
        <v>0.10974176054510809</v>
      </c>
      <c r="D1231" s="469">
        <v>0.11059102593852832</v>
      </c>
      <c r="G1231" s="470"/>
      <c r="H1231" s="471"/>
    </row>
    <row r="1232" spans="1:8" x14ac:dyDescent="0.35">
      <c r="A1232" s="467">
        <v>39475</v>
      </c>
      <c r="B1232" s="468">
        <v>0.10257597975745147</v>
      </c>
      <c r="C1232" s="468">
        <v>0.11196784651653657</v>
      </c>
      <c r="D1232" s="469">
        <v>0.11255545162567171</v>
      </c>
      <c r="G1232" s="470"/>
      <c r="H1232" s="471"/>
    </row>
    <row r="1233" spans="1:8" x14ac:dyDescent="0.35">
      <c r="A1233" s="467">
        <v>39477</v>
      </c>
      <c r="B1233" s="468">
        <v>0.10242688864619831</v>
      </c>
      <c r="C1233" s="468">
        <v>0.11136487723300981</v>
      </c>
      <c r="D1233" s="469">
        <v>0.11082541175233551</v>
      </c>
      <c r="G1233" s="470"/>
      <c r="H1233" s="471"/>
    </row>
    <row r="1234" spans="1:8" x14ac:dyDescent="0.35">
      <c r="A1234" s="467">
        <v>39478</v>
      </c>
      <c r="B1234" s="468">
        <v>0.10257241350968149</v>
      </c>
      <c r="C1234" s="468">
        <v>0.11054625075031455</v>
      </c>
      <c r="D1234" s="469">
        <v>0.11161653544101036</v>
      </c>
      <c r="G1234" s="470"/>
      <c r="H1234" s="471"/>
    </row>
    <row r="1235" spans="1:8" x14ac:dyDescent="0.35">
      <c r="A1235" s="467">
        <v>39479</v>
      </c>
      <c r="B1235" s="468">
        <v>0.10151016517106837</v>
      </c>
      <c r="C1235" s="468">
        <v>0.1113827318483267</v>
      </c>
      <c r="D1235" s="469">
        <v>0.11072355508798992</v>
      </c>
      <c r="G1235" s="470"/>
      <c r="H1235" s="471"/>
    </row>
    <row r="1236" spans="1:8" x14ac:dyDescent="0.35">
      <c r="A1236" s="467">
        <v>39482</v>
      </c>
      <c r="B1236" s="468">
        <v>0.10340010362736485</v>
      </c>
      <c r="C1236" s="468">
        <v>0.11086375373342561</v>
      </c>
      <c r="D1236" s="469">
        <v>0.11188607160119135</v>
      </c>
      <c r="G1236" s="470"/>
      <c r="H1236" s="471"/>
    </row>
    <row r="1237" spans="1:8" x14ac:dyDescent="0.35">
      <c r="A1237" s="467">
        <v>39483</v>
      </c>
      <c r="B1237" s="468">
        <v>0.10295239459216932</v>
      </c>
      <c r="C1237" s="468">
        <v>0.11287149699272314</v>
      </c>
      <c r="D1237" s="469">
        <v>0.11354398989297776</v>
      </c>
      <c r="G1237" s="470"/>
      <c r="H1237" s="471"/>
    </row>
    <row r="1238" spans="1:8" x14ac:dyDescent="0.35">
      <c r="A1238" s="467">
        <v>39484</v>
      </c>
      <c r="B1238" s="468">
        <v>0.10411798092002478</v>
      </c>
      <c r="C1238" s="468">
        <v>0.11195767092529629</v>
      </c>
      <c r="D1238" s="469">
        <v>0.11304017838813185</v>
      </c>
      <c r="G1238" s="470"/>
      <c r="H1238" s="471"/>
    </row>
    <row r="1239" spans="1:8" x14ac:dyDescent="0.35">
      <c r="A1239" s="467">
        <v>39486</v>
      </c>
      <c r="B1239" s="468">
        <v>0.1044288074056825</v>
      </c>
      <c r="C1239" s="468">
        <v>0.11167559946564332</v>
      </c>
      <c r="D1239" s="469">
        <v>0.11262405339807491</v>
      </c>
      <c r="G1239" s="470"/>
      <c r="H1239" s="471"/>
    </row>
    <row r="1240" spans="1:8" x14ac:dyDescent="0.35">
      <c r="A1240" s="467">
        <v>39489</v>
      </c>
      <c r="B1240" s="468">
        <v>0.10376875500467819</v>
      </c>
      <c r="C1240" s="468">
        <v>0.11159154275127281</v>
      </c>
      <c r="D1240" s="469">
        <v>0.11270648837026775</v>
      </c>
      <c r="G1240" s="470"/>
      <c r="H1240" s="471"/>
    </row>
    <row r="1241" spans="1:8" x14ac:dyDescent="0.35">
      <c r="A1241" s="467">
        <v>39490</v>
      </c>
      <c r="B1241" s="468">
        <v>0.10503548270574004</v>
      </c>
      <c r="C1241" s="468">
        <v>0.11124201715702942</v>
      </c>
      <c r="D1241" s="469">
        <v>0.11202028102274442</v>
      </c>
      <c r="G1241" s="470"/>
      <c r="H1241" s="471"/>
    </row>
    <row r="1242" spans="1:8" x14ac:dyDescent="0.35">
      <c r="A1242" s="467">
        <v>39491</v>
      </c>
      <c r="B1242" s="468">
        <v>0.10403309780301417</v>
      </c>
      <c r="C1242" s="468">
        <v>0.11116690917019212</v>
      </c>
      <c r="D1242" s="469">
        <v>0.11207977356259002</v>
      </c>
      <c r="G1242" s="470"/>
      <c r="H1242" s="471"/>
    </row>
    <row r="1243" spans="1:8" x14ac:dyDescent="0.35">
      <c r="A1243" s="467">
        <v>39492</v>
      </c>
      <c r="B1243" s="468">
        <v>0.10403129385430576</v>
      </c>
      <c r="C1243" s="468">
        <v>0.11120478485056529</v>
      </c>
      <c r="D1243" s="469">
        <v>0.11216985894449216</v>
      </c>
      <c r="G1243" s="470"/>
      <c r="H1243" s="471"/>
    </row>
    <row r="1244" spans="1:8" x14ac:dyDescent="0.35">
      <c r="A1244" s="467">
        <v>39493</v>
      </c>
      <c r="B1244" s="468">
        <v>0.10380842677962843</v>
      </c>
      <c r="C1244" s="468">
        <v>0.11219640858371727</v>
      </c>
      <c r="D1244" s="469">
        <v>0.11238602805118481</v>
      </c>
      <c r="G1244" s="470"/>
      <c r="H1244" s="471"/>
    </row>
    <row r="1245" spans="1:8" x14ac:dyDescent="0.35">
      <c r="A1245" s="467">
        <v>39496</v>
      </c>
      <c r="B1245" s="468">
        <v>0.10375708208019896</v>
      </c>
      <c r="C1245" s="468">
        <v>0.11103231880197462</v>
      </c>
      <c r="D1245" s="469">
        <v>0.11204952831277271</v>
      </c>
      <c r="G1245" s="470"/>
      <c r="H1245" s="471"/>
    </row>
    <row r="1246" spans="1:8" x14ac:dyDescent="0.35">
      <c r="A1246" s="467">
        <v>39497</v>
      </c>
      <c r="B1246" s="468">
        <v>0.10356685292200574</v>
      </c>
      <c r="C1246" s="468">
        <v>0.11252621626435499</v>
      </c>
      <c r="D1246" s="469">
        <v>0.11216416863691347</v>
      </c>
      <c r="G1246" s="470"/>
      <c r="H1246" s="471"/>
    </row>
    <row r="1247" spans="1:8" x14ac:dyDescent="0.35">
      <c r="A1247" s="467">
        <v>39498</v>
      </c>
      <c r="B1247" s="468">
        <v>0.10423537145544093</v>
      </c>
      <c r="C1247" s="468">
        <v>0.11259788621611322</v>
      </c>
      <c r="D1247" s="469">
        <v>0.11319317364330161</v>
      </c>
      <c r="G1247" s="470"/>
      <c r="H1247" s="471"/>
    </row>
    <row r="1248" spans="1:8" x14ac:dyDescent="0.35">
      <c r="A1248" s="467">
        <v>39499</v>
      </c>
      <c r="B1248" s="468">
        <v>0.10435473197646061</v>
      </c>
      <c r="C1248" s="468">
        <v>0.11194371821316063</v>
      </c>
      <c r="D1248" s="469">
        <v>0.11304884133108972</v>
      </c>
      <c r="G1248" s="470"/>
      <c r="H1248" s="471"/>
    </row>
    <row r="1249" spans="1:8" x14ac:dyDescent="0.35">
      <c r="A1249" s="467">
        <v>39500</v>
      </c>
      <c r="B1249" s="468">
        <v>0.10444900813723335</v>
      </c>
      <c r="C1249" s="468">
        <v>0.11241996324718895</v>
      </c>
      <c r="D1249" s="469">
        <v>0.11360318220366339</v>
      </c>
      <c r="G1249" s="470"/>
      <c r="H1249" s="471"/>
    </row>
    <row r="1250" spans="1:8" x14ac:dyDescent="0.35">
      <c r="A1250" s="467">
        <v>39503</v>
      </c>
      <c r="B1250" s="468">
        <v>0.10468577830750392</v>
      </c>
      <c r="C1250" s="468">
        <v>0.11338603597634389</v>
      </c>
      <c r="D1250" s="469">
        <v>0.11447254642373417</v>
      </c>
      <c r="G1250" s="470"/>
      <c r="H1250" s="471"/>
    </row>
    <row r="1251" spans="1:8" x14ac:dyDescent="0.35">
      <c r="A1251" s="467">
        <v>39504</v>
      </c>
      <c r="B1251" s="468">
        <v>0.10337736974889067</v>
      </c>
      <c r="C1251" s="468">
        <v>0.11255985792190182</v>
      </c>
      <c r="D1251" s="469">
        <v>0.11409672903505363</v>
      </c>
      <c r="G1251" s="470"/>
      <c r="H1251" s="471"/>
    </row>
    <row r="1252" spans="1:8" x14ac:dyDescent="0.35">
      <c r="A1252" s="467">
        <v>39505</v>
      </c>
      <c r="B1252" s="468">
        <v>0.10493705585113178</v>
      </c>
      <c r="C1252" s="468">
        <v>0.11319926688427628</v>
      </c>
      <c r="D1252" s="469">
        <v>0.11410394724048412</v>
      </c>
      <c r="G1252" s="470"/>
      <c r="H1252" s="471"/>
    </row>
    <row r="1253" spans="1:8" x14ac:dyDescent="0.35">
      <c r="A1253" s="467">
        <v>39506</v>
      </c>
      <c r="B1253" s="468">
        <v>0.10520523683592753</v>
      </c>
      <c r="C1253" s="468">
        <v>0.11334114258448902</v>
      </c>
      <c r="D1253" s="469">
        <v>0.11414327988782302</v>
      </c>
      <c r="G1253" s="470"/>
      <c r="H1253" s="471"/>
    </row>
    <row r="1254" spans="1:8" x14ac:dyDescent="0.35">
      <c r="A1254" s="467">
        <v>39507</v>
      </c>
      <c r="B1254" s="468">
        <v>0.10665302530353671</v>
      </c>
      <c r="C1254" s="468">
        <v>0.11436710860782817</v>
      </c>
      <c r="D1254" s="469">
        <v>0.11538088764475374</v>
      </c>
      <c r="G1254" s="470"/>
      <c r="H1254" s="471"/>
    </row>
    <row r="1255" spans="1:8" x14ac:dyDescent="0.35">
      <c r="A1255" s="467">
        <v>39510</v>
      </c>
      <c r="B1255" s="468">
        <v>0.10742520651433773</v>
      </c>
      <c r="C1255" s="468">
        <v>0.11593244912406275</v>
      </c>
      <c r="D1255" s="469">
        <v>0.11707501864769876</v>
      </c>
      <c r="G1255" s="470"/>
      <c r="H1255" s="471"/>
    </row>
    <row r="1256" spans="1:8" x14ac:dyDescent="0.35">
      <c r="A1256" s="467">
        <v>39511</v>
      </c>
      <c r="B1256" s="468">
        <v>0.10778918110787239</v>
      </c>
      <c r="C1256" s="468">
        <v>0.11635054836068015</v>
      </c>
      <c r="D1256" s="469">
        <v>0.1173559114039624</v>
      </c>
      <c r="G1256" s="470"/>
      <c r="H1256" s="471"/>
    </row>
    <row r="1257" spans="1:8" x14ac:dyDescent="0.35">
      <c r="A1257" s="467">
        <v>39512</v>
      </c>
      <c r="B1257" s="468">
        <v>0.10756536645108605</v>
      </c>
      <c r="C1257" s="468">
        <v>0.11605733808590801</v>
      </c>
      <c r="D1257" s="469">
        <v>0.11746051901028842</v>
      </c>
      <c r="G1257" s="470"/>
      <c r="H1257" s="471"/>
    </row>
    <row r="1258" spans="1:8" x14ac:dyDescent="0.35">
      <c r="A1258" s="467">
        <v>39513</v>
      </c>
      <c r="B1258" s="468">
        <v>0.10883930487721671</v>
      </c>
      <c r="C1258" s="468">
        <v>0.11692065576012189</v>
      </c>
      <c r="D1258" s="469">
        <v>0.11788059039606358</v>
      </c>
      <c r="G1258" s="470"/>
      <c r="H1258" s="471"/>
    </row>
    <row r="1259" spans="1:8" x14ac:dyDescent="0.35">
      <c r="A1259" s="467">
        <v>39514</v>
      </c>
      <c r="B1259" s="468">
        <v>0.10858144869036779</v>
      </c>
      <c r="C1259" s="468">
        <v>0.11594391229280498</v>
      </c>
      <c r="D1259" s="469">
        <v>0.11667141876448439</v>
      </c>
      <c r="G1259" s="470"/>
      <c r="H1259" s="471"/>
    </row>
    <row r="1260" spans="1:8" x14ac:dyDescent="0.35">
      <c r="A1260" s="467">
        <v>39517</v>
      </c>
      <c r="B1260" s="468">
        <v>0.1094218419942814</v>
      </c>
      <c r="C1260" s="468">
        <v>0.11518329697645768</v>
      </c>
      <c r="D1260" s="469">
        <v>0.11590558015687824</v>
      </c>
      <c r="G1260" s="470"/>
      <c r="H1260" s="471"/>
    </row>
    <row r="1261" spans="1:8" x14ac:dyDescent="0.35">
      <c r="A1261" s="467">
        <v>39518</v>
      </c>
      <c r="B1261" s="468">
        <v>0.10789244437499135</v>
      </c>
      <c r="C1261" s="468">
        <v>0.11554273055832676</v>
      </c>
      <c r="D1261" s="469">
        <v>0.11520515194640502</v>
      </c>
      <c r="G1261" s="470"/>
      <c r="H1261" s="471"/>
    </row>
    <row r="1262" spans="1:8" x14ac:dyDescent="0.35">
      <c r="A1262" s="467">
        <v>39519</v>
      </c>
      <c r="B1262" s="468">
        <v>0.10808291236606071</v>
      </c>
      <c r="C1262" s="468">
        <v>0.11553150912534771</v>
      </c>
      <c r="D1262" s="469">
        <v>0.11516799674569977</v>
      </c>
      <c r="G1262" s="470"/>
      <c r="H1262" s="471"/>
    </row>
    <row r="1263" spans="1:8" x14ac:dyDescent="0.35">
      <c r="A1263" s="467">
        <v>39520</v>
      </c>
      <c r="B1263" s="468">
        <v>0.10809653236568928</v>
      </c>
      <c r="C1263" s="468">
        <v>0.11615749859931435</v>
      </c>
      <c r="D1263" s="469">
        <v>0.11586052574400019</v>
      </c>
      <c r="G1263" s="470"/>
      <c r="H1263" s="471"/>
    </row>
    <row r="1264" spans="1:8" x14ac:dyDescent="0.35">
      <c r="A1264" s="467">
        <v>39521</v>
      </c>
      <c r="B1264" s="468">
        <v>0.10740259142244102</v>
      </c>
      <c r="C1264" s="468">
        <v>0.11644148895685436</v>
      </c>
      <c r="D1264" s="469">
        <v>0.11577817166541182</v>
      </c>
      <c r="G1264" s="470"/>
      <c r="H1264" s="471"/>
    </row>
    <row r="1265" spans="1:8" x14ac:dyDescent="0.35">
      <c r="A1265" s="467">
        <v>39524</v>
      </c>
      <c r="B1265" s="468">
        <v>0.1077152173641478</v>
      </c>
      <c r="C1265" s="468">
        <v>0.11622021055358234</v>
      </c>
      <c r="D1265" s="469">
        <v>0.11733625420680349</v>
      </c>
      <c r="G1265" s="470"/>
      <c r="H1265" s="471"/>
    </row>
    <row r="1266" spans="1:8" x14ac:dyDescent="0.35">
      <c r="A1266" s="467">
        <v>39525</v>
      </c>
      <c r="B1266" s="468">
        <v>0.10716430579720093</v>
      </c>
      <c r="C1266" s="468">
        <v>0.11617647485990723</v>
      </c>
      <c r="D1266" s="469">
        <v>0.11655716342929101</v>
      </c>
      <c r="G1266" s="470"/>
      <c r="H1266" s="471"/>
    </row>
    <row r="1267" spans="1:8" x14ac:dyDescent="0.35">
      <c r="A1267" s="467">
        <v>39526</v>
      </c>
      <c r="B1267" s="468">
        <v>0.10731573279415296</v>
      </c>
      <c r="C1267" s="468">
        <v>0.11854364049338884</v>
      </c>
      <c r="D1267" s="469">
        <v>0.11561786463072066</v>
      </c>
      <c r="G1267" s="470"/>
      <c r="H1267" s="471"/>
    </row>
    <row r="1268" spans="1:8" x14ac:dyDescent="0.35">
      <c r="A1268" s="467">
        <v>39532</v>
      </c>
      <c r="B1268" s="468">
        <v>0.10685118227075141</v>
      </c>
      <c r="C1268" s="468">
        <v>0.11651538988716892</v>
      </c>
      <c r="D1268" s="469">
        <v>0.11655676093553224</v>
      </c>
      <c r="G1268" s="470"/>
      <c r="H1268" s="471"/>
    </row>
    <row r="1269" spans="1:8" x14ac:dyDescent="0.35">
      <c r="A1269" s="467">
        <v>39533</v>
      </c>
      <c r="B1269" s="468">
        <v>0.10684411229538737</v>
      </c>
      <c r="C1269" s="468">
        <v>0.11614668321515342</v>
      </c>
      <c r="D1269" s="469">
        <v>0.11636484635060707</v>
      </c>
      <c r="G1269" s="470"/>
      <c r="H1269" s="471"/>
    </row>
    <row r="1270" spans="1:8" x14ac:dyDescent="0.35">
      <c r="A1270" s="467">
        <v>39534</v>
      </c>
      <c r="B1270" s="468">
        <v>0.10655236719701744</v>
      </c>
      <c r="C1270" s="468">
        <v>0.11595817543182219</v>
      </c>
      <c r="D1270" s="469">
        <v>0.11627181019645039</v>
      </c>
      <c r="G1270" s="470"/>
      <c r="H1270" s="471"/>
    </row>
    <row r="1271" spans="1:8" x14ac:dyDescent="0.35">
      <c r="A1271" s="467">
        <v>39535</v>
      </c>
      <c r="B1271" s="468">
        <v>0.10701370451065317</v>
      </c>
      <c r="C1271" s="468">
        <v>0.11536841618211979</v>
      </c>
      <c r="D1271" s="469">
        <v>0.11604541733662388</v>
      </c>
      <c r="G1271" s="470"/>
      <c r="H1271" s="471"/>
    </row>
    <row r="1272" spans="1:8" x14ac:dyDescent="0.35">
      <c r="A1272" s="467">
        <v>39538</v>
      </c>
      <c r="B1272" s="468">
        <v>0.10659969137560532</v>
      </c>
      <c r="C1272" s="468">
        <v>0.11553458434066011</v>
      </c>
      <c r="D1272" s="469">
        <v>0.11575676467893592</v>
      </c>
      <c r="G1272" s="470"/>
      <c r="H1272" s="471"/>
    </row>
    <row r="1273" spans="1:8" x14ac:dyDescent="0.35">
      <c r="A1273" s="467">
        <v>39539</v>
      </c>
      <c r="B1273" s="468">
        <v>0.10594056268327257</v>
      </c>
      <c r="C1273" s="468">
        <v>0.11539813753570516</v>
      </c>
      <c r="D1273" s="469">
        <v>0.11476788828628659</v>
      </c>
      <c r="G1273" s="470"/>
      <c r="H1273" s="471"/>
    </row>
    <row r="1274" spans="1:8" x14ac:dyDescent="0.35">
      <c r="A1274" s="467">
        <v>39540</v>
      </c>
      <c r="B1274" s="468">
        <v>0.10583466395104835</v>
      </c>
      <c r="C1274" s="468">
        <v>0.11487279497333192</v>
      </c>
      <c r="D1274" s="469">
        <v>0.11443626147716013</v>
      </c>
      <c r="G1274" s="470"/>
      <c r="H1274" s="471"/>
    </row>
    <row r="1275" spans="1:8" x14ac:dyDescent="0.35">
      <c r="A1275" s="467">
        <v>39541</v>
      </c>
      <c r="B1275" s="468">
        <v>0.10579973795542075</v>
      </c>
      <c r="C1275" s="468">
        <v>0.11469199594208668</v>
      </c>
      <c r="D1275" s="469">
        <v>0.11406197096217596</v>
      </c>
      <c r="G1275" s="470"/>
      <c r="H1275" s="471"/>
    </row>
    <row r="1276" spans="1:8" x14ac:dyDescent="0.35">
      <c r="A1276" s="467">
        <v>39542</v>
      </c>
      <c r="B1276" s="468">
        <v>0.10547572816633588</v>
      </c>
      <c r="C1276" s="468">
        <v>0.11430384060897536</v>
      </c>
      <c r="D1276" s="469">
        <v>0.11391455079783785</v>
      </c>
      <c r="G1276" s="470"/>
      <c r="H1276" s="471"/>
    </row>
    <row r="1277" spans="1:8" x14ac:dyDescent="0.35">
      <c r="A1277" s="467">
        <v>39545</v>
      </c>
      <c r="B1277" s="468">
        <v>0.10628135460910815</v>
      </c>
      <c r="C1277" s="468">
        <v>0.11334445906841895</v>
      </c>
      <c r="D1277" s="469">
        <v>0.1138611542542729</v>
      </c>
      <c r="G1277" s="470"/>
      <c r="H1277" s="471"/>
    </row>
    <row r="1278" spans="1:8" x14ac:dyDescent="0.35">
      <c r="A1278" s="467">
        <v>39546</v>
      </c>
      <c r="B1278" s="468">
        <v>0.10571465808486291</v>
      </c>
      <c r="C1278" s="468">
        <v>0.11371470708364795</v>
      </c>
      <c r="D1278" s="469">
        <v>0.11290212511033859</v>
      </c>
      <c r="G1278" s="470"/>
      <c r="H1278" s="471"/>
    </row>
    <row r="1279" spans="1:8" x14ac:dyDescent="0.35">
      <c r="A1279" s="467">
        <v>39547</v>
      </c>
      <c r="B1279" s="468">
        <v>0.10609356354828781</v>
      </c>
      <c r="C1279" s="468">
        <v>0.11283236925125828</v>
      </c>
      <c r="D1279" s="469">
        <v>0.11352499621373968</v>
      </c>
      <c r="G1279" s="470"/>
      <c r="H1279" s="471"/>
    </row>
    <row r="1280" spans="1:8" x14ac:dyDescent="0.35">
      <c r="A1280" s="467">
        <v>39548</v>
      </c>
      <c r="B1280" s="468">
        <v>0.10538551953932673</v>
      </c>
      <c r="C1280" s="468">
        <v>0.11281487981734362</v>
      </c>
      <c r="D1280" s="469">
        <v>0.11252334786112383</v>
      </c>
      <c r="G1280" s="470"/>
      <c r="H1280" s="471"/>
    </row>
    <row r="1281" spans="1:8" x14ac:dyDescent="0.35">
      <c r="A1281" s="467">
        <v>39549</v>
      </c>
      <c r="B1281" s="468">
        <v>0.10521078747567758</v>
      </c>
      <c r="C1281" s="468">
        <v>0.11314105212345771</v>
      </c>
      <c r="D1281" s="469">
        <v>0.11277794419502274</v>
      </c>
      <c r="G1281" s="470"/>
      <c r="H1281" s="471"/>
    </row>
    <row r="1282" spans="1:8" x14ac:dyDescent="0.35">
      <c r="A1282" s="467">
        <v>39552</v>
      </c>
      <c r="B1282" s="468">
        <v>0.10569968375822869</v>
      </c>
      <c r="C1282" s="468">
        <v>0.11257069656261676</v>
      </c>
      <c r="D1282" s="469">
        <v>0.11347117135529228</v>
      </c>
      <c r="G1282" s="470"/>
      <c r="H1282" s="471"/>
    </row>
    <row r="1283" spans="1:8" x14ac:dyDescent="0.35">
      <c r="A1283" s="467">
        <v>39553</v>
      </c>
      <c r="B1283" s="468">
        <v>0.10500687538751619</v>
      </c>
      <c r="C1283" s="468">
        <v>0.11270545153182532</v>
      </c>
      <c r="D1283" s="469">
        <v>0.11229827009964266</v>
      </c>
      <c r="G1283" s="470"/>
      <c r="H1283" s="471"/>
    </row>
    <row r="1284" spans="1:8" x14ac:dyDescent="0.35">
      <c r="A1284" s="467">
        <v>39554</v>
      </c>
      <c r="B1284" s="468">
        <v>0.10458388845067801</v>
      </c>
      <c r="C1284" s="468">
        <v>0.11217691413633779</v>
      </c>
      <c r="D1284" s="469">
        <v>0.11196905962935833</v>
      </c>
      <c r="G1284" s="470"/>
      <c r="H1284" s="471"/>
    </row>
    <row r="1285" spans="1:8" x14ac:dyDescent="0.35">
      <c r="A1285" s="467">
        <v>39555</v>
      </c>
      <c r="B1285" s="468">
        <v>0.10478047584152228</v>
      </c>
      <c r="C1285" s="468">
        <v>0.11175054852479227</v>
      </c>
      <c r="D1285" s="469">
        <v>0.11220465046448291</v>
      </c>
      <c r="G1285" s="470"/>
      <c r="H1285" s="471"/>
    </row>
    <row r="1286" spans="1:8" x14ac:dyDescent="0.35">
      <c r="A1286" s="467">
        <v>39556</v>
      </c>
      <c r="B1286" s="468">
        <v>0.10404118980364752</v>
      </c>
      <c r="C1286" s="468">
        <v>0.11227762441348332</v>
      </c>
      <c r="D1286" s="469">
        <v>0.11187768547143961</v>
      </c>
      <c r="G1286" s="470"/>
      <c r="H1286" s="471"/>
    </row>
    <row r="1287" spans="1:8" x14ac:dyDescent="0.35">
      <c r="A1287" s="467">
        <v>39559</v>
      </c>
      <c r="B1287" s="468">
        <v>0.1043133950343218</v>
      </c>
      <c r="C1287" s="468">
        <v>0.1119515196588512</v>
      </c>
      <c r="D1287" s="469">
        <v>0.11223048473689734</v>
      </c>
      <c r="G1287" s="470"/>
      <c r="H1287" s="471"/>
    </row>
    <row r="1288" spans="1:8" x14ac:dyDescent="0.35">
      <c r="A1288" s="467">
        <v>39560</v>
      </c>
      <c r="B1288" s="468">
        <v>0.10417929451327979</v>
      </c>
      <c r="C1288" s="468">
        <v>0.11255653571386781</v>
      </c>
      <c r="D1288" s="469">
        <v>0.11234306857888066</v>
      </c>
      <c r="G1288" s="470"/>
      <c r="H1288" s="471"/>
    </row>
    <row r="1289" spans="1:8" x14ac:dyDescent="0.35">
      <c r="A1289" s="467">
        <v>39561</v>
      </c>
      <c r="B1289" s="468">
        <v>0.10447035034468355</v>
      </c>
      <c r="C1289" s="468">
        <v>0.11204656153909998</v>
      </c>
      <c r="D1289" s="469">
        <v>0.11264383710358583</v>
      </c>
      <c r="G1289" s="470"/>
      <c r="H1289" s="471"/>
    </row>
    <row r="1290" spans="1:8" x14ac:dyDescent="0.35">
      <c r="A1290" s="467">
        <v>39562</v>
      </c>
      <c r="B1290" s="468">
        <v>0.1071827011895099</v>
      </c>
      <c r="C1290" s="468">
        <v>0.11144475926770636</v>
      </c>
      <c r="D1290" s="469">
        <v>0.11197866882591456</v>
      </c>
      <c r="G1290" s="470"/>
      <c r="H1290" s="471"/>
    </row>
    <row r="1291" spans="1:8" x14ac:dyDescent="0.35">
      <c r="A1291" s="467">
        <v>39563</v>
      </c>
      <c r="B1291" s="468">
        <v>0.10444235658324841</v>
      </c>
      <c r="C1291" s="468">
        <v>0.11172801403719368</v>
      </c>
      <c r="D1291" s="469">
        <v>0.11184468153637095</v>
      </c>
      <c r="G1291" s="470"/>
      <c r="H1291" s="471"/>
    </row>
    <row r="1292" spans="1:8" x14ac:dyDescent="0.35">
      <c r="A1292" s="467">
        <v>39566</v>
      </c>
      <c r="B1292" s="468">
        <v>0.10404762475605689</v>
      </c>
      <c r="C1292" s="468">
        <v>0.11147456198705452</v>
      </c>
      <c r="D1292" s="469">
        <v>0.11092872543761589</v>
      </c>
      <c r="G1292" s="470"/>
      <c r="H1292" s="471"/>
    </row>
    <row r="1293" spans="1:8" x14ac:dyDescent="0.35">
      <c r="A1293" s="467">
        <v>39567</v>
      </c>
      <c r="B1293" s="468">
        <v>0.10440797779205302</v>
      </c>
      <c r="C1293" s="468">
        <v>0.11121183248809308</v>
      </c>
      <c r="D1293" s="469">
        <v>0.11035060449405965</v>
      </c>
      <c r="G1293" s="470"/>
      <c r="H1293" s="471"/>
    </row>
    <row r="1294" spans="1:8" x14ac:dyDescent="0.35">
      <c r="A1294" s="467">
        <v>39568</v>
      </c>
      <c r="B1294" s="468">
        <v>0.10410537614055482</v>
      </c>
      <c r="C1294" s="468">
        <v>0.10997533920753022</v>
      </c>
      <c r="D1294" s="469">
        <v>0.10937209379808355</v>
      </c>
      <c r="G1294" s="470"/>
      <c r="H1294" s="471"/>
    </row>
    <row r="1295" spans="1:8" x14ac:dyDescent="0.35">
      <c r="A1295" s="467">
        <v>39570</v>
      </c>
      <c r="B1295" s="468">
        <v>0.10360156773202966</v>
      </c>
      <c r="C1295" s="468">
        <v>0.11070308633172088</v>
      </c>
      <c r="D1295" s="469">
        <v>0.10955438590816913</v>
      </c>
      <c r="G1295" s="470"/>
      <c r="H1295" s="471"/>
    </row>
    <row r="1296" spans="1:8" x14ac:dyDescent="0.35">
      <c r="A1296" s="467">
        <v>39574</v>
      </c>
      <c r="B1296" s="468">
        <v>0.10444291728526189</v>
      </c>
      <c r="C1296" s="468">
        <v>0.11090833873387362</v>
      </c>
      <c r="D1296" s="469">
        <v>0.11015522242504083</v>
      </c>
      <c r="G1296" s="470"/>
      <c r="H1296" s="471"/>
    </row>
    <row r="1297" spans="1:8" x14ac:dyDescent="0.35">
      <c r="A1297" s="467">
        <v>39575</v>
      </c>
      <c r="B1297" s="468">
        <v>0.10415102908515528</v>
      </c>
      <c r="C1297" s="468">
        <v>0.11138879509438016</v>
      </c>
      <c r="D1297" s="469">
        <v>0.11025686822075254</v>
      </c>
      <c r="G1297" s="470"/>
      <c r="H1297" s="471"/>
    </row>
    <row r="1298" spans="1:8" x14ac:dyDescent="0.35">
      <c r="A1298" s="467">
        <v>39576</v>
      </c>
      <c r="B1298" s="468">
        <v>0.10474267606151733</v>
      </c>
      <c r="C1298" s="468">
        <v>0.11159216602644451</v>
      </c>
      <c r="D1298" s="469">
        <v>0.11003058535536314</v>
      </c>
      <c r="G1298" s="470"/>
      <c r="H1298" s="471"/>
    </row>
    <row r="1299" spans="1:8" x14ac:dyDescent="0.35">
      <c r="A1299" s="467">
        <v>39577</v>
      </c>
      <c r="B1299" s="468">
        <v>0.10526358780320533</v>
      </c>
      <c r="C1299" s="468">
        <v>0.11247840823281274</v>
      </c>
      <c r="D1299" s="469">
        <v>0.11074608451096846</v>
      </c>
      <c r="G1299" s="470"/>
      <c r="H1299" s="471"/>
    </row>
    <row r="1300" spans="1:8" x14ac:dyDescent="0.35">
      <c r="A1300" s="467">
        <v>39580</v>
      </c>
      <c r="B1300" s="468">
        <v>0.10601923833179661</v>
      </c>
      <c r="C1300" s="468">
        <v>0.11277384790033951</v>
      </c>
      <c r="D1300" s="469">
        <v>0.11126530989525807</v>
      </c>
      <c r="G1300" s="470"/>
      <c r="H1300" s="471"/>
    </row>
    <row r="1301" spans="1:8" x14ac:dyDescent="0.35">
      <c r="A1301" s="467">
        <v>39581</v>
      </c>
      <c r="B1301" s="468">
        <v>0.10675404615360073</v>
      </c>
      <c r="C1301" s="468">
        <v>0.11213319280487388</v>
      </c>
      <c r="D1301" s="469">
        <v>0.11211786441354521</v>
      </c>
      <c r="G1301" s="470"/>
      <c r="H1301" s="471"/>
    </row>
    <row r="1302" spans="1:8" x14ac:dyDescent="0.35">
      <c r="A1302" s="467">
        <v>39582</v>
      </c>
      <c r="B1302" s="468">
        <v>0.10621653218372029</v>
      </c>
      <c r="C1302" s="468">
        <v>0.11268864516583066</v>
      </c>
      <c r="D1302" s="469">
        <v>0.11158859219928763</v>
      </c>
      <c r="G1302" s="470"/>
      <c r="H1302" s="471"/>
    </row>
    <row r="1303" spans="1:8" x14ac:dyDescent="0.35">
      <c r="A1303" s="467">
        <v>39583</v>
      </c>
      <c r="B1303" s="468">
        <v>0.10617853907082186</v>
      </c>
      <c r="C1303" s="468">
        <v>0.11436693669846587</v>
      </c>
      <c r="D1303" s="469">
        <v>0.11270173878339262</v>
      </c>
      <c r="G1303" s="470"/>
      <c r="H1303" s="471"/>
    </row>
    <row r="1304" spans="1:8" x14ac:dyDescent="0.35">
      <c r="A1304" s="467">
        <v>39584</v>
      </c>
      <c r="B1304" s="468">
        <v>0.10605719719646745</v>
      </c>
      <c r="C1304" s="468">
        <v>0.11421154410605272</v>
      </c>
      <c r="D1304" s="469">
        <v>0.11247266937822875</v>
      </c>
      <c r="G1304" s="470"/>
      <c r="H1304" s="471"/>
    </row>
    <row r="1305" spans="1:8" x14ac:dyDescent="0.35">
      <c r="A1305" s="467">
        <v>39587</v>
      </c>
      <c r="B1305" s="468">
        <v>0.10624204396824277</v>
      </c>
      <c r="C1305" s="468">
        <v>0.11435020701942156</v>
      </c>
      <c r="D1305" s="469">
        <v>0.11288538624553368</v>
      </c>
      <c r="G1305" s="470"/>
      <c r="H1305" s="471"/>
    </row>
    <row r="1306" spans="1:8" x14ac:dyDescent="0.35">
      <c r="A1306" s="467">
        <v>39589</v>
      </c>
      <c r="B1306" s="468">
        <v>0.10666152849319799</v>
      </c>
      <c r="C1306" s="468">
        <v>0.11459751644859906</v>
      </c>
      <c r="D1306" s="469">
        <v>0.11283272869329575</v>
      </c>
      <c r="G1306" s="470"/>
      <c r="H1306" s="471"/>
    </row>
    <row r="1307" spans="1:8" x14ac:dyDescent="0.35">
      <c r="A1307" s="467">
        <v>39590</v>
      </c>
      <c r="B1307" s="468">
        <v>0.1067821395345887</v>
      </c>
      <c r="C1307" s="468">
        <v>0.11519129373808146</v>
      </c>
      <c r="D1307" s="469">
        <v>0.11351011416179912</v>
      </c>
      <c r="G1307" s="470"/>
      <c r="H1307" s="471"/>
    </row>
    <row r="1308" spans="1:8" x14ac:dyDescent="0.35">
      <c r="A1308" s="467">
        <v>39591</v>
      </c>
      <c r="B1308" s="468">
        <v>0.10712709131578624</v>
      </c>
      <c r="C1308" s="468">
        <v>0.11455794590548485</v>
      </c>
      <c r="D1308" s="469">
        <v>0.11297047127816029</v>
      </c>
      <c r="G1308" s="470"/>
      <c r="H1308" s="471"/>
    </row>
    <row r="1309" spans="1:8" x14ac:dyDescent="0.35">
      <c r="A1309" s="467">
        <v>39595</v>
      </c>
      <c r="B1309" s="468">
        <v>0.10646778681314251</v>
      </c>
      <c r="C1309" s="468">
        <v>0.11473757088521808</v>
      </c>
      <c r="D1309" s="469">
        <v>0.11316992695153849</v>
      </c>
      <c r="G1309" s="470"/>
      <c r="H1309" s="471"/>
    </row>
    <row r="1310" spans="1:8" x14ac:dyDescent="0.35">
      <c r="A1310" s="467">
        <v>39596</v>
      </c>
      <c r="B1310" s="468">
        <v>0.10646227814841702</v>
      </c>
      <c r="C1310" s="468">
        <v>0.11499473290338469</v>
      </c>
      <c r="D1310" s="469">
        <v>0.11329386562306487</v>
      </c>
      <c r="G1310" s="470"/>
      <c r="H1310" s="471"/>
    </row>
    <row r="1311" spans="1:8" x14ac:dyDescent="0.35">
      <c r="A1311" s="467">
        <v>39597</v>
      </c>
      <c r="B1311" s="468">
        <v>0.1065935881290978</v>
      </c>
      <c r="C1311" s="468">
        <v>0.11584022727067511</v>
      </c>
      <c r="D1311" s="469">
        <v>0.11457247060950615</v>
      </c>
      <c r="G1311" s="470"/>
      <c r="H1311" s="471"/>
    </row>
    <row r="1312" spans="1:8" x14ac:dyDescent="0.35">
      <c r="A1312" s="467">
        <v>39598</v>
      </c>
      <c r="B1312" s="468">
        <v>0.10668769512179743</v>
      </c>
      <c r="C1312" s="468">
        <v>0.11580553701961116</v>
      </c>
      <c r="D1312" s="469">
        <v>0.11450694730078004</v>
      </c>
      <c r="G1312" s="470"/>
      <c r="H1312" s="471"/>
    </row>
    <row r="1313" spans="1:8" x14ac:dyDescent="0.35">
      <c r="A1313" s="467">
        <v>39602</v>
      </c>
      <c r="B1313" s="468">
        <v>0.10960084042507523</v>
      </c>
      <c r="C1313" s="468">
        <v>0.11693652527151643</v>
      </c>
      <c r="D1313" s="469">
        <v>0.11682687236625755</v>
      </c>
      <c r="G1313" s="470"/>
      <c r="H1313" s="471"/>
    </row>
    <row r="1314" spans="1:8" x14ac:dyDescent="0.35">
      <c r="A1314" s="467">
        <v>39603</v>
      </c>
      <c r="B1314" s="468">
        <v>0.10928119195470209</v>
      </c>
      <c r="C1314" s="468">
        <v>0.11952595360318652</v>
      </c>
      <c r="D1314" s="469">
        <v>0.11830195627312756</v>
      </c>
      <c r="G1314" s="470"/>
      <c r="H1314" s="471"/>
    </row>
    <row r="1315" spans="1:8" x14ac:dyDescent="0.35">
      <c r="A1315" s="467">
        <v>39604</v>
      </c>
      <c r="B1315" s="468">
        <v>0.10898100960505208</v>
      </c>
      <c r="C1315" s="468">
        <v>0.11970500173250453</v>
      </c>
      <c r="D1315" s="469">
        <v>0.11914320101352027</v>
      </c>
      <c r="G1315" s="470"/>
      <c r="H1315" s="471"/>
    </row>
    <row r="1316" spans="1:8" x14ac:dyDescent="0.35">
      <c r="A1316" s="467">
        <v>39605</v>
      </c>
      <c r="B1316" s="468">
        <v>0.10868566132838486</v>
      </c>
      <c r="C1316" s="468">
        <v>0.12041397760207495</v>
      </c>
      <c r="D1316" s="469">
        <v>0.11961727795656296</v>
      </c>
      <c r="G1316" s="470"/>
      <c r="H1316" s="471"/>
    </row>
    <row r="1317" spans="1:8" x14ac:dyDescent="0.35">
      <c r="A1317" s="467">
        <v>39608</v>
      </c>
      <c r="B1317" s="468">
        <v>0.10701549343946315</v>
      </c>
      <c r="C1317" s="468">
        <v>0.11974036995366366</v>
      </c>
      <c r="D1317" s="469">
        <v>0.11930895946940367</v>
      </c>
      <c r="G1317" s="470"/>
      <c r="H1317" s="471"/>
    </row>
    <row r="1318" spans="1:8" x14ac:dyDescent="0.35">
      <c r="A1318" s="467">
        <v>39609</v>
      </c>
      <c r="B1318" s="468">
        <v>0.10793900127951872</v>
      </c>
      <c r="C1318" s="468">
        <v>0.11980824432629245</v>
      </c>
      <c r="D1318" s="469">
        <v>0.1197665344856389</v>
      </c>
      <c r="G1318" s="470"/>
      <c r="H1318" s="471"/>
    </row>
    <row r="1319" spans="1:8" x14ac:dyDescent="0.35">
      <c r="A1319" s="467">
        <v>39610</v>
      </c>
      <c r="B1319" s="468">
        <v>0.10909503574241253</v>
      </c>
      <c r="C1319" s="468">
        <v>0.12013472458242358</v>
      </c>
      <c r="D1319" s="469">
        <v>0.1215778176775888</v>
      </c>
      <c r="G1319" s="470"/>
      <c r="H1319" s="471"/>
    </row>
    <row r="1320" spans="1:8" x14ac:dyDescent="0.35">
      <c r="A1320" s="467">
        <v>39611</v>
      </c>
      <c r="B1320" s="468">
        <v>0.10877052689814959</v>
      </c>
      <c r="C1320" s="468">
        <v>0.12244471423988057</v>
      </c>
      <c r="D1320" s="469">
        <v>0.1214529806287703</v>
      </c>
      <c r="G1320" s="470"/>
      <c r="H1320" s="471"/>
    </row>
    <row r="1321" spans="1:8" x14ac:dyDescent="0.35">
      <c r="A1321" s="467">
        <v>39612</v>
      </c>
      <c r="B1321" s="468">
        <v>0.10855159843376794</v>
      </c>
      <c r="C1321" s="468">
        <v>0.1215384285649137</v>
      </c>
      <c r="D1321" s="469">
        <v>0.12071646429847394</v>
      </c>
      <c r="G1321" s="470"/>
      <c r="H1321" s="471"/>
    </row>
    <row r="1322" spans="1:8" x14ac:dyDescent="0.35">
      <c r="A1322" s="467">
        <v>39615</v>
      </c>
      <c r="B1322" s="468">
        <v>0.10866821592498144</v>
      </c>
      <c r="C1322" s="468">
        <v>0.12171476592427011</v>
      </c>
      <c r="D1322" s="469">
        <v>0.12091247261634219</v>
      </c>
      <c r="G1322" s="470"/>
      <c r="H1322" s="471"/>
    </row>
    <row r="1323" spans="1:8" x14ac:dyDescent="0.35">
      <c r="A1323" s="467">
        <v>39616</v>
      </c>
      <c r="B1323" s="468">
        <v>0.10848989571000089</v>
      </c>
      <c r="C1323" s="468">
        <v>0.1216267835112339</v>
      </c>
      <c r="D1323" s="469">
        <v>0.12051492994823443</v>
      </c>
      <c r="G1323" s="470"/>
      <c r="H1323" s="471"/>
    </row>
    <row r="1324" spans="1:8" x14ac:dyDescent="0.35">
      <c r="A1324" s="467">
        <v>39617</v>
      </c>
      <c r="B1324" s="468">
        <v>0.10854461887036648</v>
      </c>
      <c r="C1324" s="468">
        <v>0.12265029225016422</v>
      </c>
      <c r="D1324" s="469">
        <v>0.12132856922257318</v>
      </c>
      <c r="G1324" s="470"/>
      <c r="H1324" s="471"/>
    </row>
    <row r="1325" spans="1:8" x14ac:dyDescent="0.35">
      <c r="A1325" s="467">
        <v>39618</v>
      </c>
      <c r="B1325" s="468">
        <v>0.10862279416868303</v>
      </c>
      <c r="C1325" s="468">
        <v>0.12421374500921623</v>
      </c>
      <c r="D1325" s="469">
        <v>0.12286494189914743</v>
      </c>
      <c r="G1325" s="470"/>
      <c r="H1325" s="471"/>
    </row>
    <row r="1326" spans="1:8" x14ac:dyDescent="0.35">
      <c r="A1326" s="467">
        <v>39619</v>
      </c>
      <c r="B1326" s="468">
        <v>0.10867486661642989</v>
      </c>
      <c r="C1326" s="468">
        <v>0.12321494557809065</v>
      </c>
      <c r="D1326" s="469">
        <v>0.12203732453342409</v>
      </c>
      <c r="G1326" s="470"/>
      <c r="H1326" s="471"/>
    </row>
    <row r="1327" spans="1:8" x14ac:dyDescent="0.35">
      <c r="A1327" s="467">
        <v>39622</v>
      </c>
      <c r="B1327" s="468">
        <v>0.10711540604374403</v>
      </c>
      <c r="C1327" s="468">
        <v>0.12275612754860665</v>
      </c>
      <c r="D1327" s="469">
        <v>0.12075909535191709</v>
      </c>
      <c r="G1327" s="470"/>
      <c r="H1327" s="471"/>
    </row>
    <row r="1328" spans="1:8" x14ac:dyDescent="0.35">
      <c r="A1328" s="467">
        <v>39623</v>
      </c>
      <c r="B1328" s="468">
        <v>0.10680521701735457</v>
      </c>
      <c r="C1328" s="468">
        <v>0.1230398971674016</v>
      </c>
      <c r="D1328" s="469">
        <v>0.12088029497004027</v>
      </c>
      <c r="G1328" s="470"/>
      <c r="H1328" s="471"/>
    </row>
    <row r="1329" spans="1:8" x14ac:dyDescent="0.35">
      <c r="A1329" s="467">
        <v>39624</v>
      </c>
      <c r="B1329" s="468">
        <v>0.10612418598047979</v>
      </c>
      <c r="C1329" s="468">
        <v>0.12375670187564891</v>
      </c>
      <c r="D1329" s="469">
        <v>0.12240116391301492</v>
      </c>
      <c r="G1329" s="470"/>
      <c r="H1329" s="471"/>
    </row>
    <row r="1330" spans="1:8" x14ac:dyDescent="0.35">
      <c r="A1330" s="467">
        <v>39625</v>
      </c>
      <c r="B1330" s="468">
        <v>0.10838328192431357</v>
      </c>
      <c r="C1330" s="468">
        <v>0.12510194615445491</v>
      </c>
      <c r="D1330" s="469">
        <v>0.12465687561416061</v>
      </c>
      <c r="G1330" s="470"/>
      <c r="H1330" s="471"/>
    </row>
    <row r="1331" spans="1:8" x14ac:dyDescent="0.35">
      <c r="A1331" s="467">
        <v>39626</v>
      </c>
      <c r="B1331" s="468">
        <v>0.10854490909324865</v>
      </c>
      <c r="C1331" s="468">
        <v>0.12818835925102712</v>
      </c>
      <c r="D1331" s="469">
        <v>0.12713614853995781</v>
      </c>
      <c r="G1331" s="470"/>
      <c r="H1331" s="471"/>
    </row>
    <row r="1332" spans="1:8" x14ac:dyDescent="0.35">
      <c r="A1332" s="467">
        <v>39630</v>
      </c>
      <c r="B1332" s="468">
        <v>0.11037128732018298</v>
      </c>
      <c r="C1332" s="468">
        <v>0.12919802721999329</v>
      </c>
      <c r="D1332" s="469">
        <v>0.12805874159518149</v>
      </c>
      <c r="G1332" s="470"/>
      <c r="H1332" s="471"/>
    </row>
    <row r="1333" spans="1:8" x14ac:dyDescent="0.35">
      <c r="A1333" s="467">
        <v>39631</v>
      </c>
      <c r="B1333" s="468">
        <v>0.11047928113047112</v>
      </c>
      <c r="C1333" s="468">
        <v>0.13166872939662233</v>
      </c>
      <c r="D1333" s="469">
        <v>0.12956217018612248</v>
      </c>
      <c r="G1333" s="470"/>
      <c r="H1333" s="471"/>
    </row>
    <row r="1334" spans="1:8" x14ac:dyDescent="0.35">
      <c r="A1334" s="467">
        <v>39632</v>
      </c>
      <c r="B1334" s="468">
        <v>0.1100548809831301</v>
      </c>
      <c r="C1334" s="468">
        <v>0.12978337370298076</v>
      </c>
      <c r="D1334" s="469">
        <v>0.12726566623926705</v>
      </c>
      <c r="G1334" s="470"/>
      <c r="H1334" s="471"/>
    </row>
    <row r="1335" spans="1:8" x14ac:dyDescent="0.35">
      <c r="A1335" s="467">
        <v>39633</v>
      </c>
      <c r="B1335" s="468">
        <v>0.10891215661844789</v>
      </c>
      <c r="C1335" s="468">
        <v>0.130187764141523</v>
      </c>
      <c r="D1335" s="469">
        <v>0.12801978653549706</v>
      </c>
      <c r="G1335" s="470"/>
      <c r="H1335" s="471"/>
    </row>
    <row r="1336" spans="1:8" x14ac:dyDescent="0.35">
      <c r="A1336" s="467">
        <v>39637</v>
      </c>
      <c r="B1336" s="468">
        <v>0.10903607464175802</v>
      </c>
      <c r="C1336" s="468">
        <v>0.13132798285718095</v>
      </c>
      <c r="D1336" s="469">
        <v>0.12942113885703121</v>
      </c>
      <c r="G1336" s="470"/>
      <c r="H1336" s="471"/>
    </row>
    <row r="1337" spans="1:8" x14ac:dyDescent="0.35">
      <c r="A1337" s="467">
        <v>39638</v>
      </c>
      <c r="B1337" s="468">
        <v>0.10879539841301455</v>
      </c>
      <c r="C1337" s="468">
        <v>0.13199230231026804</v>
      </c>
      <c r="D1337" s="469">
        <v>0.13016062633813452</v>
      </c>
      <c r="G1337" s="470"/>
      <c r="H1337" s="471"/>
    </row>
    <row r="1338" spans="1:8" x14ac:dyDescent="0.35">
      <c r="A1338" s="467">
        <v>39639</v>
      </c>
      <c r="B1338" s="468">
        <v>0.1103951860846315</v>
      </c>
      <c r="C1338" s="468">
        <v>0.13319447062208267</v>
      </c>
      <c r="D1338" s="469">
        <v>0.13084478107724529</v>
      </c>
      <c r="G1338" s="470"/>
      <c r="H1338" s="471"/>
    </row>
    <row r="1339" spans="1:8" x14ac:dyDescent="0.35">
      <c r="A1339" s="467">
        <v>39640</v>
      </c>
      <c r="B1339" s="468">
        <v>0.1112209133708395</v>
      </c>
      <c r="C1339" s="468">
        <v>0.13348581540023785</v>
      </c>
      <c r="D1339" s="469">
        <v>0.13147174916938731</v>
      </c>
      <c r="G1339" s="470"/>
      <c r="H1339" s="471"/>
    </row>
    <row r="1340" spans="1:8" x14ac:dyDescent="0.35">
      <c r="A1340" s="467">
        <v>39643</v>
      </c>
      <c r="B1340" s="468">
        <v>0.1097715542983877</v>
      </c>
      <c r="C1340" s="468">
        <v>0.13299249694743032</v>
      </c>
      <c r="D1340" s="469">
        <v>0.1313126111361369</v>
      </c>
      <c r="G1340" s="470"/>
      <c r="H1340" s="471"/>
    </row>
    <row r="1341" spans="1:8" x14ac:dyDescent="0.35">
      <c r="A1341" s="467">
        <v>39644</v>
      </c>
      <c r="B1341" s="468">
        <v>0.11026448487988927</v>
      </c>
      <c r="C1341" s="468">
        <v>0.13291033445258238</v>
      </c>
      <c r="D1341" s="469">
        <v>0.13147201504444461</v>
      </c>
      <c r="G1341" s="470"/>
      <c r="H1341" s="471"/>
    </row>
    <row r="1342" spans="1:8" x14ac:dyDescent="0.35">
      <c r="A1342" s="467">
        <v>39645</v>
      </c>
      <c r="B1342" s="468">
        <v>0.10941080565851369</v>
      </c>
      <c r="C1342" s="468">
        <v>0.13175612819810656</v>
      </c>
      <c r="D1342" s="469">
        <v>0.13042337156360162</v>
      </c>
      <c r="G1342" s="470"/>
      <c r="H1342" s="471"/>
    </row>
    <row r="1343" spans="1:8" x14ac:dyDescent="0.35">
      <c r="A1343" s="467">
        <v>39646</v>
      </c>
      <c r="B1343" s="468">
        <v>0.10956963945977538</v>
      </c>
      <c r="C1343" s="468">
        <v>0.13056162521554748</v>
      </c>
      <c r="D1343" s="469">
        <v>0.12877557424636388</v>
      </c>
      <c r="G1343" s="470"/>
      <c r="H1343" s="471"/>
    </row>
    <row r="1344" spans="1:8" x14ac:dyDescent="0.35">
      <c r="A1344" s="467">
        <v>39647</v>
      </c>
      <c r="B1344" s="468">
        <v>0.10943048998626104</v>
      </c>
      <c r="C1344" s="468">
        <v>0.13071554770598715</v>
      </c>
      <c r="D1344" s="469">
        <v>0.1289342418992796</v>
      </c>
      <c r="G1344" s="470"/>
      <c r="H1344" s="471"/>
    </row>
    <row r="1345" spans="1:8" x14ac:dyDescent="0.35">
      <c r="A1345" s="467">
        <v>39650</v>
      </c>
      <c r="B1345" s="468">
        <v>0.10910117499750549</v>
      </c>
      <c r="C1345" s="468">
        <v>0.1300017109941709</v>
      </c>
      <c r="D1345" s="469">
        <v>0.12823130309774777</v>
      </c>
      <c r="G1345" s="470"/>
      <c r="H1345" s="471"/>
    </row>
    <row r="1346" spans="1:8" x14ac:dyDescent="0.35">
      <c r="A1346" s="467">
        <v>39651</v>
      </c>
      <c r="B1346" s="468">
        <v>0.1094372238638337</v>
      </c>
      <c r="C1346" s="468">
        <v>0.13142993944043568</v>
      </c>
      <c r="D1346" s="469">
        <v>0.12896921882201307</v>
      </c>
      <c r="G1346" s="470"/>
      <c r="H1346" s="471"/>
    </row>
    <row r="1347" spans="1:8" x14ac:dyDescent="0.35">
      <c r="A1347" s="467">
        <v>39652</v>
      </c>
      <c r="B1347" s="468">
        <v>0.10983070653999571</v>
      </c>
      <c r="C1347" s="468">
        <v>0.1312978366962807</v>
      </c>
      <c r="D1347" s="469">
        <v>0.13227128510684172</v>
      </c>
      <c r="G1347" s="470"/>
      <c r="H1347" s="471"/>
    </row>
    <row r="1348" spans="1:8" x14ac:dyDescent="0.35">
      <c r="A1348" s="467">
        <v>39653</v>
      </c>
      <c r="B1348" s="468">
        <v>0.1094714493682365</v>
      </c>
      <c r="C1348" s="468">
        <v>0.13047618339687439</v>
      </c>
      <c r="D1348" s="469">
        <v>0.12913599630102457</v>
      </c>
      <c r="G1348" s="470"/>
      <c r="H1348" s="471"/>
    </row>
    <row r="1349" spans="1:8" x14ac:dyDescent="0.35">
      <c r="A1349" s="467">
        <v>39654</v>
      </c>
      <c r="B1349" s="468">
        <v>0.10789537645657488</v>
      </c>
      <c r="C1349" s="468">
        <v>0.12993790363698876</v>
      </c>
      <c r="D1349" s="469">
        <v>0.12894778766116244</v>
      </c>
      <c r="G1349" s="470"/>
      <c r="H1349" s="471"/>
    </row>
    <row r="1350" spans="1:8" x14ac:dyDescent="0.35">
      <c r="A1350" s="467">
        <v>39657</v>
      </c>
      <c r="B1350" s="468">
        <v>0.10982010657551244</v>
      </c>
      <c r="C1350" s="468">
        <v>0.13012485721962985</v>
      </c>
      <c r="D1350" s="469">
        <v>0.12854373720133894</v>
      </c>
      <c r="G1350" s="470"/>
      <c r="H1350" s="471"/>
    </row>
    <row r="1351" spans="1:8" x14ac:dyDescent="0.35">
      <c r="A1351" s="467">
        <v>39658</v>
      </c>
      <c r="B1351" s="468">
        <v>0.10951113121476519</v>
      </c>
      <c r="C1351" s="468">
        <v>0.13026917807260241</v>
      </c>
      <c r="D1351" s="469">
        <v>0.12759212795125752</v>
      </c>
      <c r="G1351" s="470"/>
      <c r="H1351" s="471"/>
    </row>
    <row r="1352" spans="1:8" x14ac:dyDescent="0.35">
      <c r="A1352" s="467">
        <v>39659</v>
      </c>
      <c r="B1352" s="468">
        <v>0.10903869218136619</v>
      </c>
      <c r="C1352" s="468">
        <v>0.12837111660914768</v>
      </c>
      <c r="D1352" s="469">
        <v>0.12673704062496172</v>
      </c>
      <c r="G1352" s="470"/>
      <c r="H1352" s="471"/>
    </row>
    <row r="1353" spans="1:8" x14ac:dyDescent="0.35">
      <c r="A1353" s="467">
        <v>39660</v>
      </c>
      <c r="B1353" s="468">
        <v>0.10869587402459024</v>
      </c>
      <c r="C1353" s="468">
        <v>0.12742061154360651</v>
      </c>
      <c r="D1353" s="469">
        <v>0.12522664337974687</v>
      </c>
      <c r="G1353" s="470"/>
      <c r="H1353" s="471"/>
    </row>
    <row r="1354" spans="1:8" x14ac:dyDescent="0.35">
      <c r="A1354" s="467">
        <v>39661</v>
      </c>
      <c r="B1354" s="468">
        <v>0.10897356188614515</v>
      </c>
      <c r="C1354" s="468">
        <v>0.12712747040533734</v>
      </c>
      <c r="D1354" s="469">
        <v>0.12470534074116513</v>
      </c>
      <c r="G1354" s="470"/>
      <c r="H1354" s="471"/>
    </row>
    <row r="1355" spans="1:8" x14ac:dyDescent="0.35">
      <c r="A1355" s="467">
        <v>39664</v>
      </c>
      <c r="B1355" s="468">
        <v>0.10765409987765939</v>
      </c>
      <c r="C1355" s="468">
        <v>0.12395851422541249</v>
      </c>
      <c r="D1355" s="469">
        <v>0.12272609755354025</v>
      </c>
      <c r="G1355" s="470"/>
      <c r="H1355" s="471"/>
    </row>
    <row r="1356" spans="1:8" x14ac:dyDescent="0.35">
      <c r="A1356" s="467">
        <v>39665</v>
      </c>
      <c r="B1356" s="468">
        <v>0.10797533596514342</v>
      </c>
      <c r="C1356" s="468">
        <v>0.12298234859073642</v>
      </c>
      <c r="D1356" s="469">
        <v>0.12049200136613569</v>
      </c>
      <c r="G1356" s="470"/>
      <c r="H1356" s="471"/>
    </row>
    <row r="1357" spans="1:8" x14ac:dyDescent="0.35">
      <c r="A1357" s="467">
        <v>39666</v>
      </c>
      <c r="B1357" s="468">
        <v>0.10828513634283765</v>
      </c>
      <c r="C1357" s="468">
        <v>0.12273706744588231</v>
      </c>
      <c r="D1357" s="469">
        <v>0.12108368948842374</v>
      </c>
      <c r="G1357" s="470"/>
      <c r="H1357" s="471"/>
    </row>
    <row r="1358" spans="1:8" x14ac:dyDescent="0.35">
      <c r="A1358" s="467">
        <v>39668</v>
      </c>
      <c r="B1358" s="468">
        <v>0.10854532902916048</v>
      </c>
      <c r="C1358" s="468">
        <v>0.1221981844375386</v>
      </c>
      <c r="D1358" s="469">
        <v>0.11979850969682704</v>
      </c>
      <c r="G1358" s="470"/>
      <c r="H1358" s="471"/>
    </row>
    <row r="1359" spans="1:8" x14ac:dyDescent="0.35">
      <c r="A1359" s="467">
        <v>39671</v>
      </c>
      <c r="B1359" s="468">
        <v>0.10862079203053088</v>
      </c>
      <c r="C1359" s="468">
        <v>0.12225551263938028</v>
      </c>
      <c r="D1359" s="469">
        <v>0.11973519027616697</v>
      </c>
      <c r="G1359" s="470"/>
      <c r="H1359" s="471"/>
    </row>
    <row r="1360" spans="1:8" x14ac:dyDescent="0.35">
      <c r="A1360" s="467">
        <v>39672</v>
      </c>
      <c r="B1360" s="468">
        <v>0.10876007152171363</v>
      </c>
      <c r="C1360" s="468">
        <v>0.12284403854711812</v>
      </c>
      <c r="D1360" s="469">
        <v>0.12056891366030764</v>
      </c>
      <c r="G1360" s="470"/>
      <c r="H1360" s="471"/>
    </row>
    <row r="1361" spans="1:8" x14ac:dyDescent="0.35">
      <c r="A1361" s="467">
        <v>39673</v>
      </c>
      <c r="B1361" s="468">
        <v>0.10809139943824841</v>
      </c>
      <c r="C1361" s="468">
        <v>0.12238596285421366</v>
      </c>
      <c r="D1361" s="469">
        <v>0.11897067432068598</v>
      </c>
      <c r="G1361" s="470"/>
      <c r="H1361" s="471"/>
    </row>
    <row r="1362" spans="1:8" x14ac:dyDescent="0.35">
      <c r="A1362" s="467">
        <v>39674</v>
      </c>
      <c r="B1362" s="468">
        <v>0.10806445352625227</v>
      </c>
      <c r="C1362" s="468">
        <v>0.12095809403171254</v>
      </c>
      <c r="D1362" s="469">
        <v>0.11894216233001265</v>
      </c>
      <c r="G1362" s="470"/>
      <c r="H1362" s="471"/>
    </row>
    <row r="1363" spans="1:8" x14ac:dyDescent="0.35">
      <c r="A1363" s="467">
        <v>39675</v>
      </c>
      <c r="B1363" s="468">
        <v>0.10809522216498713</v>
      </c>
      <c r="C1363" s="468">
        <v>0.12071755073736101</v>
      </c>
      <c r="D1363" s="469">
        <v>0.11779230070718949</v>
      </c>
      <c r="G1363" s="470"/>
      <c r="H1363" s="471"/>
    </row>
    <row r="1364" spans="1:8" x14ac:dyDescent="0.35">
      <c r="A1364" s="467">
        <v>39679</v>
      </c>
      <c r="B1364" s="468">
        <v>0.10751902026972826</v>
      </c>
      <c r="C1364" s="468">
        <v>0.11888785553416548</v>
      </c>
      <c r="D1364" s="469">
        <v>0.11709805487961145</v>
      </c>
      <c r="G1364" s="470"/>
      <c r="H1364" s="471"/>
    </row>
    <row r="1365" spans="1:8" x14ac:dyDescent="0.35">
      <c r="A1365" s="467">
        <v>39680</v>
      </c>
      <c r="B1365" s="468">
        <v>0.10642092254182201</v>
      </c>
      <c r="C1365" s="468">
        <v>0.11826539623838084</v>
      </c>
      <c r="D1365" s="469">
        <v>0.11800412175748809</v>
      </c>
      <c r="G1365" s="470"/>
      <c r="H1365" s="471"/>
    </row>
    <row r="1366" spans="1:8" x14ac:dyDescent="0.35">
      <c r="A1366" s="467">
        <v>39681</v>
      </c>
      <c r="B1366" s="468">
        <v>0.10560393673691415</v>
      </c>
      <c r="C1366" s="468">
        <v>0.1187124644330122</v>
      </c>
      <c r="D1366" s="469">
        <v>0.11741861153057465</v>
      </c>
      <c r="G1366" s="470"/>
      <c r="H1366" s="471"/>
    </row>
    <row r="1367" spans="1:8" x14ac:dyDescent="0.35">
      <c r="A1367" s="467">
        <v>39682</v>
      </c>
      <c r="B1367" s="468">
        <v>0.10410444867391755</v>
      </c>
      <c r="C1367" s="468">
        <v>0.11811803624159967</v>
      </c>
      <c r="D1367" s="469">
        <v>0.1167503001917396</v>
      </c>
      <c r="G1367" s="470"/>
      <c r="H1367" s="471"/>
    </row>
    <row r="1368" spans="1:8" x14ac:dyDescent="0.35">
      <c r="A1368" s="467">
        <v>39685</v>
      </c>
      <c r="B1368" s="468">
        <v>0.10363206193996333</v>
      </c>
      <c r="C1368" s="468">
        <v>0.11724378921708456</v>
      </c>
      <c r="D1368" s="469">
        <v>0.11687956050031323</v>
      </c>
      <c r="G1368" s="470"/>
      <c r="H1368" s="471"/>
    </row>
    <row r="1369" spans="1:8" x14ac:dyDescent="0.35">
      <c r="A1369" s="467">
        <v>39686</v>
      </c>
      <c r="B1369" s="468">
        <v>0.10323338296556361</v>
      </c>
      <c r="C1369" s="468">
        <v>0.11687480829998131</v>
      </c>
      <c r="D1369" s="469">
        <v>0.11708107596179862</v>
      </c>
      <c r="G1369" s="470"/>
      <c r="H1369" s="471"/>
    </row>
    <row r="1370" spans="1:8" x14ac:dyDescent="0.35">
      <c r="A1370" s="467">
        <v>39687</v>
      </c>
      <c r="B1370" s="468">
        <v>0.10243931006493789</v>
      </c>
      <c r="C1370" s="468">
        <v>0.11539029522595112</v>
      </c>
      <c r="D1370" s="469">
        <v>0.11558342416554046</v>
      </c>
      <c r="G1370" s="470"/>
      <c r="H1370" s="471"/>
    </row>
    <row r="1371" spans="1:8" x14ac:dyDescent="0.35">
      <c r="A1371" s="467">
        <v>39688</v>
      </c>
      <c r="B1371" s="468">
        <v>0.10204514261874098</v>
      </c>
      <c r="C1371" s="468">
        <v>0.11539133434641347</v>
      </c>
      <c r="D1371" s="469">
        <v>0.1143844606863158</v>
      </c>
      <c r="G1371" s="470"/>
      <c r="H1371" s="471"/>
    </row>
    <row r="1372" spans="1:8" x14ac:dyDescent="0.35">
      <c r="A1372" s="467">
        <v>39689</v>
      </c>
      <c r="B1372" s="468">
        <v>0.10216942166785015</v>
      </c>
      <c r="C1372" s="468">
        <v>0.11501559939844741</v>
      </c>
      <c r="D1372" s="469">
        <v>0.11393675431597461</v>
      </c>
      <c r="G1372" s="470"/>
      <c r="H1372" s="471"/>
    </row>
    <row r="1373" spans="1:8" x14ac:dyDescent="0.35">
      <c r="A1373" s="467">
        <v>39692</v>
      </c>
      <c r="B1373" s="468">
        <v>0.10116802290305782</v>
      </c>
      <c r="C1373" s="468">
        <v>0.11476826452305677</v>
      </c>
      <c r="D1373" s="469">
        <v>0.11329236189823311</v>
      </c>
      <c r="G1373" s="470"/>
      <c r="H1373" s="471"/>
    </row>
    <row r="1374" spans="1:8" x14ac:dyDescent="0.35">
      <c r="A1374" s="467">
        <v>39693</v>
      </c>
      <c r="B1374" s="468">
        <v>0.10282004682939649</v>
      </c>
      <c r="C1374" s="468">
        <v>0.11547748710598693</v>
      </c>
      <c r="D1374" s="469">
        <v>0.11657752701882007</v>
      </c>
      <c r="G1374" s="470"/>
      <c r="H1374" s="471"/>
    </row>
    <row r="1375" spans="1:8" x14ac:dyDescent="0.35">
      <c r="A1375" s="467">
        <v>39694</v>
      </c>
      <c r="B1375" s="468">
        <v>0.10282097505675702</v>
      </c>
      <c r="C1375" s="468">
        <v>0.11655492719254701</v>
      </c>
      <c r="D1375" s="469">
        <v>0.11708258742446453</v>
      </c>
      <c r="G1375" s="470"/>
      <c r="H1375" s="471"/>
    </row>
    <row r="1376" spans="1:8" x14ac:dyDescent="0.35">
      <c r="A1376" s="467">
        <v>39695</v>
      </c>
      <c r="B1376" s="468">
        <v>0.10294810448840064</v>
      </c>
      <c r="C1376" s="468">
        <v>0.1160191977005478</v>
      </c>
      <c r="D1376" s="469">
        <v>0.11628696378749392</v>
      </c>
      <c r="G1376" s="470"/>
      <c r="H1376" s="471"/>
    </row>
    <row r="1377" spans="1:8" x14ac:dyDescent="0.35">
      <c r="A1377" s="467">
        <v>39696</v>
      </c>
      <c r="B1377" s="468">
        <v>0.10254377159642236</v>
      </c>
      <c r="C1377" s="468">
        <v>0.11723086529906013</v>
      </c>
      <c r="D1377" s="469">
        <v>0.11811149700768042</v>
      </c>
      <c r="G1377" s="470"/>
      <c r="H1377" s="471"/>
    </row>
    <row r="1378" spans="1:8" x14ac:dyDescent="0.35">
      <c r="A1378" s="467">
        <v>39699</v>
      </c>
      <c r="B1378" s="468">
        <v>0.10279296221876755</v>
      </c>
      <c r="C1378" s="468">
        <v>0.11701208748225023</v>
      </c>
      <c r="D1378" s="469">
        <v>0.11794729901557877</v>
      </c>
      <c r="G1378" s="470"/>
      <c r="H1378" s="471"/>
    </row>
    <row r="1379" spans="1:8" x14ac:dyDescent="0.35">
      <c r="A1379" s="467">
        <v>39700</v>
      </c>
      <c r="B1379" s="468">
        <v>0.10287806810243283</v>
      </c>
      <c r="C1379" s="468">
        <v>0.11856180195124133</v>
      </c>
      <c r="D1379" s="469">
        <v>0.11717790071623857</v>
      </c>
      <c r="G1379" s="470"/>
      <c r="H1379" s="471"/>
    </row>
    <row r="1380" spans="1:8" x14ac:dyDescent="0.35">
      <c r="A1380" s="467">
        <v>39701</v>
      </c>
      <c r="B1380" s="468">
        <v>0.10272576250314169</v>
      </c>
      <c r="C1380" s="468">
        <v>0.11801554572228912</v>
      </c>
      <c r="D1380" s="469">
        <v>0.1176573801619103</v>
      </c>
      <c r="G1380" s="470"/>
      <c r="H1380" s="471"/>
    </row>
    <row r="1381" spans="1:8" x14ac:dyDescent="0.35">
      <c r="A1381" s="467">
        <v>39702</v>
      </c>
      <c r="B1381" s="468">
        <v>0.10261509990579643</v>
      </c>
      <c r="C1381" s="468">
        <v>0.11711475708910646</v>
      </c>
      <c r="D1381" s="469">
        <v>0.11826573082995195</v>
      </c>
      <c r="G1381" s="470"/>
      <c r="H1381" s="471"/>
    </row>
    <row r="1382" spans="1:8" x14ac:dyDescent="0.35">
      <c r="A1382" s="467">
        <v>39703</v>
      </c>
      <c r="B1382" s="468">
        <v>0.10272180975622236</v>
      </c>
      <c r="C1382" s="468">
        <v>0.11658682077329785</v>
      </c>
      <c r="D1382" s="469">
        <v>0.1167102972686147</v>
      </c>
      <c r="G1382" s="470"/>
      <c r="H1382" s="471"/>
    </row>
    <row r="1383" spans="1:8" x14ac:dyDescent="0.35">
      <c r="A1383" s="467">
        <v>39706</v>
      </c>
      <c r="B1383" s="468">
        <v>0.10263958680003005</v>
      </c>
      <c r="C1383" s="468">
        <v>0.11786662571139273</v>
      </c>
      <c r="D1383" s="469">
        <v>0.11882848019832926</v>
      </c>
      <c r="G1383" s="470"/>
      <c r="H1383" s="471"/>
    </row>
    <row r="1384" spans="1:8" x14ac:dyDescent="0.35">
      <c r="A1384" s="467">
        <v>39707</v>
      </c>
      <c r="B1384" s="468">
        <v>0.10338791491531207</v>
      </c>
      <c r="C1384" s="468">
        <v>0.11922612430707336</v>
      </c>
      <c r="D1384" s="469">
        <v>0.12045331291416517</v>
      </c>
      <c r="G1384" s="470"/>
      <c r="H1384" s="471"/>
    </row>
    <row r="1385" spans="1:8" x14ac:dyDescent="0.35">
      <c r="A1385" s="467">
        <v>39708</v>
      </c>
      <c r="B1385" s="468">
        <v>0.10333374982562038</v>
      </c>
      <c r="C1385" s="468">
        <v>0.12077725180094512</v>
      </c>
      <c r="D1385" s="469">
        <v>0.12272508927574277</v>
      </c>
      <c r="G1385" s="470"/>
      <c r="H1385" s="471"/>
    </row>
    <row r="1386" spans="1:8" x14ac:dyDescent="0.35">
      <c r="A1386" s="467">
        <v>39709</v>
      </c>
      <c r="B1386" s="468">
        <v>0.10571641304198787</v>
      </c>
      <c r="C1386" s="468">
        <v>0.12525072989331343</v>
      </c>
      <c r="D1386" s="469">
        <v>0.12737331552142228</v>
      </c>
      <c r="G1386" s="470"/>
      <c r="H1386" s="471"/>
    </row>
    <row r="1387" spans="1:8" x14ac:dyDescent="0.35">
      <c r="A1387" s="467">
        <v>39710</v>
      </c>
      <c r="B1387" s="468">
        <v>0.10426923801740107</v>
      </c>
      <c r="C1387" s="468">
        <v>0.12104955597391487</v>
      </c>
      <c r="D1387" s="469">
        <v>0.12146430906869266</v>
      </c>
      <c r="G1387" s="470"/>
      <c r="H1387" s="471"/>
    </row>
    <row r="1388" spans="1:8" x14ac:dyDescent="0.35">
      <c r="A1388" s="467">
        <v>39713</v>
      </c>
      <c r="B1388" s="468">
        <v>0.10388442406987575</v>
      </c>
      <c r="C1388" s="468">
        <v>0.11942429083486528</v>
      </c>
      <c r="D1388" s="469">
        <v>0.12078409485065844</v>
      </c>
      <c r="G1388" s="470"/>
      <c r="H1388" s="471"/>
    </row>
    <row r="1389" spans="1:8" x14ac:dyDescent="0.35">
      <c r="A1389" s="467">
        <v>39714</v>
      </c>
      <c r="B1389" s="468">
        <v>0.10399353426967095</v>
      </c>
      <c r="C1389" s="468">
        <v>0.12240592026988284</v>
      </c>
      <c r="D1389" s="469">
        <v>0.12296809917514584</v>
      </c>
      <c r="G1389" s="470"/>
      <c r="H1389" s="471"/>
    </row>
    <row r="1390" spans="1:8" x14ac:dyDescent="0.35">
      <c r="A1390" s="467">
        <v>39715</v>
      </c>
      <c r="B1390" s="468">
        <v>0.10378769309024682</v>
      </c>
      <c r="C1390" s="468">
        <v>0.12233058512208661</v>
      </c>
      <c r="D1390" s="469">
        <v>0.12396674182901779</v>
      </c>
      <c r="G1390" s="470"/>
      <c r="H1390" s="471"/>
    </row>
    <row r="1391" spans="1:8" x14ac:dyDescent="0.35">
      <c r="A1391" s="467">
        <v>39716</v>
      </c>
      <c r="B1391" s="468">
        <v>0.10382144135514992</v>
      </c>
      <c r="C1391" s="468">
        <v>0.12068135006002412</v>
      </c>
      <c r="D1391" s="469">
        <v>0.12176092258599414</v>
      </c>
      <c r="G1391" s="470"/>
      <c r="H1391" s="471"/>
    </row>
    <row r="1392" spans="1:8" x14ac:dyDescent="0.35">
      <c r="A1392" s="467">
        <v>39717</v>
      </c>
      <c r="B1392" s="468">
        <v>0.10390286506777846</v>
      </c>
      <c r="C1392" s="468">
        <v>0.12031205678722445</v>
      </c>
      <c r="D1392" s="469">
        <v>0.12153785229676917</v>
      </c>
      <c r="G1392" s="470"/>
      <c r="H1392" s="471"/>
    </row>
    <row r="1393" spans="1:8" x14ac:dyDescent="0.35">
      <c r="A1393" s="467">
        <v>39720</v>
      </c>
      <c r="B1393" s="468">
        <v>0.10374444282848905</v>
      </c>
      <c r="C1393" s="468">
        <v>0.12061508007652799</v>
      </c>
      <c r="D1393" s="469">
        <v>0.1218530139106504</v>
      </c>
      <c r="G1393" s="470"/>
      <c r="H1393" s="471"/>
    </row>
    <row r="1394" spans="1:8" x14ac:dyDescent="0.35">
      <c r="A1394" s="467">
        <v>39721</v>
      </c>
      <c r="B1394" s="468">
        <v>0.10354040675996767</v>
      </c>
      <c r="C1394" s="468">
        <v>0.12094624948701771</v>
      </c>
      <c r="D1394" s="469">
        <v>0.1223643414265243</v>
      </c>
      <c r="G1394" s="470"/>
      <c r="H1394" s="471"/>
    </row>
    <row r="1395" spans="1:8" x14ac:dyDescent="0.35">
      <c r="A1395" s="467">
        <v>39722</v>
      </c>
      <c r="B1395" s="468">
        <v>0.10263310591892494</v>
      </c>
      <c r="C1395" s="468">
        <v>0.11971914280502038</v>
      </c>
      <c r="D1395" s="469">
        <v>0.12195860764012911</v>
      </c>
      <c r="G1395" s="470"/>
      <c r="H1395" s="471"/>
    </row>
    <row r="1396" spans="1:8" x14ac:dyDescent="0.35">
      <c r="A1396" s="467">
        <v>39723</v>
      </c>
      <c r="B1396" s="468">
        <v>0.10261080489351282</v>
      </c>
      <c r="C1396" s="468">
        <v>0.11959353219625068</v>
      </c>
      <c r="D1396" s="469">
        <v>0.1192029353166737</v>
      </c>
      <c r="G1396" s="470"/>
      <c r="H1396" s="471"/>
    </row>
    <row r="1397" spans="1:8" x14ac:dyDescent="0.35">
      <c r="A1397" s="467">
        <v>39724</v>
      </c>
      <c r="B1397" s="468">
        <v>0.10308592208826184</v>
      </c>
      <c r="C1397" s="468">
        <v>0.11735411206025925</v>
      </c>
      <c r="D1397" s="469">
        <v>0.11804100069284318</v>
      </c>
      <c r="G1397" s="470"/>
      <c r="H1397" s="471"/>
    </row>
    <row r="1398" spans="1:8" x14ac:dyDescent="0.35">
      <c r="A1398" s="467">
        <v>39727</v>
      </c>
      <c r="B1398" s="468">
        <v>0.10320650239274243</v>
      </c>
      <c r="C1398" s="468">
        <v>0.12008492143130667</v>
      </c>
      <c r="D1398" s="469">
        <v>0.12279215281293987</v>
      </c>
      <c r="G1398" s="470"/>
      <c r="H1398" s="471"/>
    </row>
    <row r="1399" spans="1:8" x14ac:dyDescent="0.35">
      <c r="A1399" s="467">
        <v>39728</v>
      </c>
      <c r="B1399" s="468">
        <v>0.1036608098006413</v>
      </c>
      <c r="C1399" s="468">
        <v>0.12023652598168533</v>
      </c>
      <c r="D1399" s="469">
        <v>0.12286814632627463</v>
      </c>
      <c r="G1399" s="470"/>
      <c r="H1399" s="471"/>
    </row>
    <row r="1400" spans="1:8" x14ac:dyDescent="0.35">
      <c r="A1400" s="467">
        <v>39729</v>
      </c>
      <c r="B1400" s="468">
        <v>0.1040863159387202</v>
      </c>
      <c r="C1400" s="468">
        <v>0.12402209098478978</v>
      </c>
      <c r="D1400" s="469">
        <v>0.12532729372747964</v>
      </c>
      <c r="G1400" s="470"/>
      <c r="H1400" s="471"/>
    </row>
    <row r="1401" spans="1:8" x14ac:dyDescent="0.35">
      <c r="A1401" s="467">
        <v>39730</v>
      </c>
      <c r="B1401" s="468">
        <v>0.10419460303426709</v>
      </c>
      <c r="C1401" s="468">
        <v>0.12245761415802847</v>
      </c>
      <c r="D1401" s="469">
        <v>0.12607854547481701</v>
      </c>
      <c r="G1401" s="470"/>
      <c r="H1401" s="471"/>
    </row>
    <row r="1402" spans="1:8" x14ac:dyDescent="0.35">
      <c r="A1402" s="467">
        <v>39731</v>
      </c>
      <c r="B1402" s="468">
        <v>0.10647632272572394</v>
      </c>
      <c r="C1402" s="468">
        <v>0.12733163795110891</v>
      </c>
      <c r="D1402" s="469">
        <v>0.13140306012278136</v>
      </c>
      <c r="G1402" s="470"/>
      <c r="H1402" s="471"/>
    </row>
    <row r="1403" spans="1:8" x14ac:dyDescent="0.35">
      <c r="A1403" s="467">
        <v>39735</v>
      </c>
      <c r="B1403" s="468">
        <v>0.10501246276125986</v>
      </c>
      <c r="C1403" s="468">
        <v>0.12635192771238168</v>
      </c>
      <c r="D1403" s="469">
        <v>0.12767185483529797</v>
      </c>
      <c r="G1403" s="470"/>
      <c r="H1403" s="471"/>
    </row>
    <row r="1404" spans="1:8" x14ac:dyDescent="0.35">
      <c r="A1404" s="467">
        <v>39736</v>
      </c>
      <c r="B1404" s="468">
        <v>0.10560705518726521</v>
      </c>
      <c r="C1404" s="468">
        <v>0.12797008023185619</v>
      </c>
      <c r="D1404" s="469">
        <v>0.13141394950318008</v>
      </c>
      <c r="G1404" s="470"/>
      <c r="H1404" s="471"/>
    </row>
    <row r="1405" spans="1:8" x14ac:dyDescent="0.35">
      <c r="A1405" s="467">
        <v>39737</v>
      </c>
      <c r="B1405" s="468">
        <v>0.10567105923978315</v>
      </c>
      <c r="C1405" s="468">
        <v>0.13105758582494298</v>
      </c>
      <c r="D1405" s="469">
        <v>0.13441420899402612</v>
      </c>
      <c r="G1405" s="470"/>
      <c r="H1405" s="471"/>
    </row>
    <row r="1406" spans="1:8" x14ac:dyDescent="0.35">
      <c r="A1406" s="467">
        <v>39738</v>
      </c>
      <c r="B1406" s="468">
        <v>0.10496607688289994</v>
      </c>
      <c r="C1406" s="468">
        <v>0.12740723404251697</v>
      </c>
      <c r="D1406" s="469">
        <v>0.13227499817738053</v>
      </c>
      <c r="G1406" s="470"/>
      <c r="H1406" s="471"/>
    </row>
    <row r="1407" spans="1:8" x14ac:dyDescent="0.35">
      <c r="A1407" s="467">
        <v>39741</v>
      </c>
      <c r="B1407" s="468">
        <v>0.10484839740174934</v>
      </c>
      <c r="C1407" s="468">
        <v>0.12800564147986759</v>
      </c>
      <c r="D1407" s="469">
        <v>0.13070166158278651</v>
      </c>
      <c r="G1407" s="470"/>
      <c r="H1407" s="471"/>
    </row>
    <row r="1408" spans="1:8" x14ac:dyDescent="0.35">
      <c r="A1408" s="467">
        <v>39742</v>
      </c>
      <c r="B1408" s="468">
        <v>0.10493511115911547</v>
      </c>
      <c r="C1408" s="468">
        <v>0.12651317202460088</v>
      </c>
      <c r="D1408" s="469">
        <v>0.13103794288451387</v>
      </c>
      <c r="G1408" s="470"/>
      <c r="H1408" s="471"/>
    </row>
    <row r="1409" spans="1:8" x14ac:dyDescent="0.35">
      <c r="A1409" s="467">
        <v>39743</v>
      </c>
      <c r="B1409" s="468">
        <v>0.10479633691503443</v>
      </c>
      <c r="C1409" s="468">
        <v>0.12659464560622102</v>
      </c>
      <c r="D1409" s="469">
        <v>0.13413136149589144</v>
      </c>
      <c r="G1409" s="470"/>
      <c r="H1409" s="471"/>
    </row>
    <row r="1410" spans="1:8" x14ac:dyDescent="0.35">
      <c r="A1410" s="467">
        <v>39744</v>
      </c>
      <c r="B1410" s="468">
        <v>0.10630393058938159</v>
      </c>
      <c r="C1410" s="468">
        <v>0.13060951737415483</v>
      </c>
      <c r="D1410" s="469">
        <v>0.13807499985537497</v>
      </c>
      <c r="G1410" s="470"/>
      <c r="H1410" s="471"/>
    </row>
    <row r="1411" spans="1:8" x14ac:dyDescent="0.35">
      <c r="A1411" s="467">
        <v>39745</v>
      </c>
      <c r="B1411" s="468">
        <v>0.10563856277218409</v>
      </c>
      <c r="C1411" s="468">
        <v>0.13178734671289316</v>
      </c>
      <c r="D1411" s="469">
        <v>0.14294805138861233</v>
      </c>
      <c r="G1411" s="470"/>
      <c r="H1411" s="471"/>
    </row>
    <row r="1412" spans="1:8" x14ac:dyDescent="0.35">
      <c r="A1412" s="467">
        <v>39748</v>
      </c>
      <c r="B1412" s="468">
        <v>0.10428604000678066</v>
      </c>
      <c r="C1412" s="468">
        <v>0.13026235744550685</v>
      </c>
      <c r="D1412" s="469">
        <v>0.14075837193085561</v>
      </c>
      <c r="G1412" s="470"/>
      <c r="H1412" s="471"/>
    </row>
    <row r="1413" spans="1:8" x14ac:dyDescent="0.35">
      <c r="A1413" s="467">
        <v>39749</v>
      </c>
      <c r="B1413" s="468">
        <v>0.10447397499977296</v>
      </c>
      <c r="C1413" s="468">
        <v>0.1318623461178916</v>
      </c>
      <c r="D1413" s="469">
        <v>0.14315110538981202</v>
      </c>
      <c r="G1413" s="470"/>
      <c r="H1413" s="471"/>
    </row>
    <row r="1414" spans="1:8" x14ac:dyDescent="0.35">
      <c r="A1414" s="467">
        <v>39750</v>
      </c>
      <c r="B1414" s="468">
        <v>0.10627264476481346</v>
      </c>
      <c r="C1414" s="468">
        <v>0.12873029574971495</v>
      </c>
      <c r="D1414" s="469">
        <v>0.13945597834168488</v>
      </c>
      <c r="G1414" s="470"/>
      <c r="H1414" s="471"/>
    </row>
    <row r="1415" spans="1:8" x14ac:dyDescent="0.35">
      <c r="A1415" s="467">
        <v>39751</v>
      </c>
      <c r="B1415" s="468">
        <v>0.10416549485990023</v>
      </c>
      <c r="C1415" s="468">
        <v>0.1277532244526256</v>
      </c>
      <c r="D1415" s="469">
        <v>0.13641311850982296</v>
      </c>
      <c r="G1415" s="470"/>
      <c r="H1415" s="471"/>
    </row>
    <row r="1416" spans="1:8" x14ac:dyDescent="0.35">
      <c r="A1416" s="467">
        <v>39752</v>
      </c>
      <c r="B1416" s="468">
        <v>0.10437551981894488</v>
      </c>
      <c r="C1416" s="468">
        <v>0.12725647743903168</v>
      </c>
      <c r="D1416" s="469">
        <v>0.13692511618294789</v>
      </c>
      <c r="G1416" s="470"/>
      <c r="H1416" s="471"/>
    </row>
    <row r="1417" spans="1:8" x14ac:dyDescent="0.35">
      <c r="A1417" s="467">
        <v>39756</v>
      </c>
      <c r="B1417" s="468">
        <v>0.10425217636988204</v>
      </c>
      <c r="C1417" s="468">
        <v>0.12761988341888619</v>
      </c>
      <c r="D1417" s="469">
        <v>0.13666122768113542</v>
      </c>
      <c r="G1417" s="470"/>
      <c r="H1417" s="471"/>
    </row>
    <row r="1418" spans="1:8" x14ac:dyDescent="0.35">
      <c r="A1418" s="467">
        <v>39758</v>
      </c>
      <c r="B1418" s="468">
        <v>0.10389069671261009</v>
      </c>
      <c r="C1418" s="468">
        <v>0.12637031973962731</v>
      </c>
      <c r="D1418" s="469">
        <v>0.132645428294907</v>
      </c>
      <c r="G1418" s="470"/>
      <c r="H1418" s="471"/>
    </row>
    <row r="1419" spans="1:8" x14ac:dyDescent="0.35">
      <c r="A1419" s="467">
        <v>39759</v>
      </c>
      <c r="B1419" s="468">
        <v>0.10360677152502751</v>
      </c>
      <c r="C1419" s="468">
        <v>0.12491035364245628</v>
      </c>
      <c r="D1419" s="469">
        <v>0.13227179838931358</v>
      </c>
      <c r="G1419" s="470"/>
      <c r="H1419" s="471"/>
    </row>
    <row r="1420" spans="1:8" x14ac:dyDescent="0.35">
      <c r="A1420" s="467">
        <v>39762</v>
      </c>
      <c r="B1420" s="468">
        <v>0.10336686302490383</v>
      </c>
      <c r="C1420" s="468">
        <v>0.12424059235302987</v>
      </c>
      <c r="D1420" s="469">
        <v>0.13023760847388366</v>
      </c>
      <c r="G1420" s="470"/>
      <c r="H1420" s="471"/>
    </row>
    <row r="1421" spans="1:8" x14ac:dyDescent="0.35">
      <c r="A1421" s="467">
        <v>39763</v>
      </c>
      <c r="B1421" s="468">
        <v>0.10262372457820668</v>
      </c>
      <c r="C1421" s="468">
        <v>0.12385898888596047</v>
      </c>
      <c r="D1421" s="469">
        <v>0.13192415538744573</v>
      </c>
      <c r="G1421" s="470"/>
      <c r="H1421" s="471"/>
    </row>
    <row r="1422" spans="1:8" x14ac:dyDescent="0.35">
      <c r="A1422" s="467">
        <v>39764</v>
      </c>
      <c r="B1422" s="468">
        <v>0.1028177766729268</v>
      </c>
      <c r="C1422" s="468">
        <v>0.12361288918096136</v>
      </c>
      <c r="D1422" s="469">
        <v>0.13212210114714251</v>
      </c>
      <c r="G1422" s="470"/>
      <c r="H1422" s="471"/>
    </row>
    <row r="1423" spans="1:8" x14ac:dyDescent="0.35">
      <c r="A1423" s="467">
        <v>39765</v>
      </c>
      <c r="B1423" s="468">
        <v>0.10282992430348803</v>
      </c>
      <c r="C1423" s="468">
        <v>0.12250539178445585</v>
      </c>
      <c r="D1423" s="469">
        <v>0.13087243889414357</v>
      </c>
      <c r="G1423" s="470"/>
      <c r="H1423" s="471"/>
    </row>
    <row r="1424" spans="1:8" x14ac:dyDescent="0.35">
      <c r="A1424" s="467">
        <v>39766</v>
      </c>
      <c r="B1424" s="468">
        <v>0.10264950361169189</v>
      </c>
      <c r="C1424" s="468">
        <v>0.12211495397965355</v>
      </c>
      <c r="D1424" s="469">
        <v>0.12998089206145091</v>
      </c>
      <c r="G1424" s="470"/>
      <c r="H1424" s="471"/>
    </row>
    <row r="1425" spans="1:8" x14ac:dyDescent="0.35">
      <c r="A1425" s="467">
        <v>39770</v>
      </c>
      <c r="B1425" s="468">
        <v>0.102231244802649</v>
      </c>
      <c r="C1425" s="468">
        <v>0.12440286996262095</v>
      </c>
      <c r="D1425" s="469">
        <v>0.12992104174221808</v>
      </c>
      <c r="G1425" s="470"/>
      <c r="H1425" s="471"/>
    </row>
    <row r="1426" spans="1:8" x14ac:dyDescent="0.35">
      <c r="A1426" s="467">
        <v>39771</v>
      </c>
      <c r="B1426" s="468">
        <v>0.10211464808821136</v>
      </c>
      <c r="C1426" s="468">
        <v>0.12163009528312818</v>
      </c>
      <c r="D1426" s="469">
        <v>0.13119330421059572</v>
      </c>
      <c r="G1426" s="470"/>
      <c r="H1426" s="471"/>
    </row>
    <row r="1427" spans="1:8" x14ac:dyDescent="0.35">
      <c r="A1427" s="467">
        <v>39773</v>
      </c>
      <c r="B1427" s="468">
        <v>0.10093494390328295</v>
      </c>
      <c r="C1427" s="468">
        <v>0.12331283639043233</v>
      </c>
      <c r="D1427" s="469">
        <v>0.12984571052548888</v>
      </c>
      <c r="G1427" s="470"/>
      <c r="H1427" s="471"/>
    </row>
    <row r="1428" spans="1:8" x14ac:dyDescent="0.35">
      <c r="A1428" s="467">
        <v>39776</v>
      </c>
      <c r="B1428" s="468">
        <v>0.10184214020559068</v>
      </c>
      <c r="C1428" s="468">
        <v>0.12379464417237163</v>
      </c>
      <c r="D1428" s="469">
        <v>0.12879021808178504</v>
      </c>
      <c r="G1428" s="470"/>
      <c r="H1428" s="471"/>
    </row>
    <row r="1429" spans="1:8" x14ac:dyDescent="0.35">
      <c r="A1429" s="467">
        <v>39777</v>
      </c>
      <c r="B1429" s="468">
        <v>0.10047899024174978</v>
      </c>
      <c r="C1429" s="468">
        <v>0.12025047599955063</v>
      </c>
      <c r="D1429" s="469">
        <v>0.12803619570918134</v>
      </c>
      <c r="G1429" s="470"/>
      <c r="H1429" s="471"/>
    </row>
    <row r="1430" spans="1:8" x14ac:dyDescent="0.35">
      <c r="A1430" s="467">
        <v>39778</v>
      </c>
      <c r="B1430" s="468">
        <v>0.10001234615047361</v>
      </c>
      <c r="C1430" s="468">
        <v>0.11888863070838962</v>
      </c>
      <c r="D1430" s="469">
        <v>0.1271493834314783</v>
      </c>
      <c r="G1430" s="470"/>
      <c r="H1430" s="471"/>
    </row>
    <row r="1431" spans="1:8" x14ac:dyDescent="0.35">
      <c r="A1431" s="467">
        <v>39779</v>
      </c>
      <c r="B1431" s="468">
        <v>9.8976122163320523E-2</v>
      </c>
      <c r="C1431" s="468">
        <v>0.11575778998100672</v>
      </c>
      <c r="D1431" s="469">
        <v>0.12675041650742447</v>
      </c>
      <c r="G1431" s="470"/>
      <c r="H1431" s="471"/>
    </row>
    <row r="1432" spans="1:8" x14ac:dyDescent="0.35">
      <c r="A1432" s="467">
        <v>39780</v>
      </c>
      <c r="B1432" s="468">
        <v>9.8969338209664137E-2</v>
      </c>
      <c r="C1432" s="468">
        <v>0.11535560410229428</v>
      </c>
      <c r="D1432" s="469">
        <v>0.12668032169068044</v>
      </c>
      <c r="G1432" s="470"/>
      <c r="H1432" s="471"/>
    </row>
    <row r="1433" spans="1:8" x14ac:dyDescent="0.35">
      <c r="A1433" s="467">
        <v>39783</v>
      </c>
      <c r="B1433" s="468">
        <v>9.8627345370523756E-2</v>
      </c>
      <c r="C1433" s="468">
        <v>0.1162748620614289</v>
      </c>
      <c r="D1433" s="469">
        <v>0.12763706428779797</v>
      </c>
      <c r="G1433" s="470"/>
      <c r="H1433" s="471"/>
    </row>
    <row r="1434" spans="1:8" x14ac:dyDescent="0.35">
      <c r="A1434" s="467">
        <v>39784</v>
      </c>
      <c r="B1434" s="468">
        <v>9.7474734695988552E-2</v>
      </c>
      <c r="C1434" s="468">
        <v>0.1179397026801996</v>
      </c>
      <c r="D1434" s="469">
        <v>0.12558903629538154</v>
      </c>
      <c r="G1434" s="470"/>
      <c r="H1434" s="471"/>
    </row>
    <row r="1435" spans="1:8" x14ac:dyDescent="0.35">
      <c r="A1435" s="467">
        <v>39785</v>
      </c>
      <c r="B1435" s="468">
        <v>9.7441557901764675E-2</v>
      </c>
      <c r="C1435" s="468">
        <v>0.11652946670894893</v>
      </c>
      <c r="D1435" s="469">
        <v>0.12383005532994917</v>
      </c>
      <c r="G1435" s="470"/>
      <c r="H1435" s="471"/>
    </row>
    <row r="1436" spans="1:8" x14ac:dyDescent="0.35">
      <c r="A1436" s="467">
        <v>39786</v>
      </c>
      <c r="B1436" s="468">
        <v>9.7684449543441243E-2</v>
      </c>
      <c r="C1436" s="468">
        <v>0.1155481241529297</v>
      </c>
      <c r="D1436" s="469">
        <v>0.1223973154653617</v>
      </c>
      <c r="G1436" s="470"/>
      <c r="H1436" s="471"/>
    </row>
    <row r="1437" spans="1:8" x14ac:dyDescent="0.35">
      <c r="A1437" s="467">
        <v>39787</v>
      </c>
      <c r="B1437" s="468">
        <v>9.9765539207907095E-2</v>
      </c>
      <c r="C1437" s="468">
        <v>0.11521169479304572</v>
      </c>
      <c r="D1437" s="469">
        <v>0.12214827246043747</v>
      </c>
      <c r="G1437" s="470"/>
      <c r="H1437" s="471"/>
    </row>
    <row r="1438" spans="1:8" x14ac:dyDescent="0.35">
      <c r="A1438" s="467">
        <v>39791</v>
      </c>
      <c r="B1438" s="468">
        <v>9.9202516847773037E-2</v>
      </c>
      <c r="C1438" s="468">
        <v>0.11314895560217342</v>
      </c>
      <c r="D1438" s="469">
        <v>0.12117433983914738</v>
      </c>
      <c r="G1438" s="470"/>
      <c r="H1438" s="471"/>
    </row>
    <row r="1439" spans="1:8" x14ac:dyDescent="0.35">
      <c r="A1439" s="467">
        <v>39792</v>
      </c>
      <c r="B1439" s="468">
        <v>0.10086790494803921</v>
      </c>
      <c r="C1439" s="468">
        <v>0.11296905933365564</v>
      </c>
      <c r="D1439" s="469">
        <v>0.11812866267537192</v>
      </c>
      <c r="G1439" s="470"/>
      <c r="H1439" s="471"/>
    </row>
    <row r="1440" spans="1:8" x14ac:dyDescent="0.35">
      <c r="A1440" s="467">
        <v>39793</v>
      </c>
      <c r="B1440" s="468">
        <v>9.9888088379635809E-2</v>
      </c>
      <c r="C1440" s="468">
        <v>0.11042302871185194</v>
      </c>
      <c r="D1440" s="469">
        <v>0.1163533613965686</v>
      </c>
      <c r="G1440" s="470"/>
      <c r="H1440" s="471"/>
    </row>
    <row r="1441" spans="1:8" x14ac:dyDescent="0.35">
      <c r="A1441" s="467">
        <v>39794</v>
      </c>
      <c r="B1441" s="468">
        <v>9.974146184124133E-2</v>
      </c>
      <c r="C1441" s="468">
        <v>0.11080330324746845</v>
      </c>
      <c r="D1441" s="469">
        <v>0.11551301332131025</v>
      </c>
      <c r="G1441" s="470"/>
      <c r="H1441" s="471"/>
    </row>
    <row r="1442" spans="1:8" x14ac:dyDescent="0.35">
      <c r="A1442" s="467">
        <v>39797</v>
      </c>
      <c r="B1442" s="468">
        <v>9.9093509629730292E-2</v>
      </c>
      <c r="C1442" s="468">
        <v>0.10835836819247158</v>
      </c>
      <c r="D1442" s="469">
        <v>0.11304729151226312</v>
      </c>
      <c r="G1442" s="470"/>
      <c r="H1442" s="471"/>
    </row>
    <row r="1443" spans="1:8" x14ac:dyDescent="0.35">
      <c r="A1443" s="467">
        <v>39798</v>
      </c>
      <c r="B1443" s="468">
        <v>9.9175050021754529E-2</v>
      </c>
      <c r="C1443" s="468">
        <v>0.10837600232729683</v>
      </c>
      <c r="D1443" s="469">
        <v>0.11176980981764451</v>
      </c>
      <c r="G1443" s="470"/>
      <c r="H1443" s="471"/>
    </row>
    <row r="1444" spans="1:8" x14ac:dyDescent="0.35">
      <c r="A1444" s="467">
        <v>39799</v>
      </c>
      <c r="B1444" s="468">
        <v>9.8526478681039142E-2</v>
      </c>
      <c r="C1444" s="468">
        <v>0.10697133268250569</v>
      </c>
      <c r="D1444" s="469">
        <v>0.11080269349324223</v>
      </c>
      <c r="G1444" s="470"/>
      <c r="H1444" s="471"/>
    </row>
    <row r="1445" spans="1:8" x14ac:dyDescent="0.35">
      <c r="A1445" s="467">
        <v>39800</v>
      </c>
      <c r="B1445" s="468">
        <v>9.8669240851624984E-2</v>
      </c>
      <c r="C1445" s="468">
        <v>0.10464866753100299</v>
      </c>
      <c r="D1445" s="469">
        <v>0.10934130843685264</v>
      </c>
      <c r="G1445" s="470"/>
      <c r="H1445" s="471"/>
    </row>
    <row r="1446" spans="1:8" x14ac:dyDescent="0.35">
      <c r="A1446" s="467">
        <v>39801</v>
      </c>
      <c r="B1446" s="468">
        <v>9.8259853058690005E-2</v>
      </c>
      <c r="C1446" s="468">
        <v>0.10469062893081404</v>
      </c>
      <c r="D1446" s="469">
        <v>0.10891248672062859</v>
      </c>
      <c r="G1446" s="470"/>
      <c r="H1446" s="471"/>
    </row>
    <row r="1447" spans="1:8" x14ac:dyDescent="0.35">
      <c r="A1447" s="467">
        <v>39804</v>
      </c>
      <c r="B1447" s="468">
        <v>9.3922254016808981E-2</v>
      </c>
      <c r="C1447" s="468">
        <v>0.10324596465588431</v>
      </c>
      <c r="D1447" s="469">
        <v>0.10627082403488064</v>
      </c>
      <c r="G1447" s="470"/>
      <c r="H1447" s="471"/>
    </row>
    <row r="1448" spans="1:8" x14ac:dyDescent="0.35">
      <c r="A1448" s="467">
        <v>39805</v>
      </c>
      <c r="B1448" s="468">
        <v>9.6095804000043694E-2</v>
      </c>
      <c r="C1448" s="468">
        <v>0.10205853574895851</v>
      </c>
      <c r="D1448" s="469">
        <v>0.10781883102153222</v>
      </c>
      <c r="G1448" s="470"/>
      <c r="H1448" s="471"/>
    </row>
    <row r="1449" spans="1:8" x14ac:dyDescent="0.35">
      <c r="A1449" s="467">
        <v>39806</v>
      </c>
      <c r="B1449" s="468">
        <v>9.5035520401685281E-2</v>
      </c>
      <c r="C1449" s="468">
        <v>0.10074457741903808</v>
      </c>
      <c r="D1449" s="469">
        <v>0.10716842127997506</v>
      </c>
      <c r="G1449" s="470"/>
      <c r="H1449" s="471"/>
    </row>
    <row r="1450" spans="1:8" x14ac:dyDescent="0.35">
      <c r="A1450" s="467">
        <v>39808</v>
      </c>
      <c r="B1450" s="468">
        <v>9.6617213508993549E-2</v>
      </c>
      <c r="C1450" s="468">
        <v>9.9340484531447615E-2</v>
      </c>
      <c r="D1450" s="469">
        <v>0.10681906384346629</v>
      </c>
      <c r="G1450" s="470"/>
      <c r="H1450" s="471"/>
    </row>
    <row r="1451" spans="1:8" x14ac:dyDescent="0.35">
      <c r="A1451" s="467">
        <v>39811</v>
      </c>
      <c r="B1451" s="468">
        <v>9.4934429854590219E-2</v>
      </c>
      <c r="C1451" s="468">
        <v>0.10195024030226829</v>
      </c>
      <c r="D1451" s="469">
        <v>0.10782476272906671</v>
      </c>
      <c r="G1451" s="470"/>
      <c r="H1451" s="471"/>
    </row>
    <row r="1452" spans="1:8" x14ac:dyDescent="0.35">
      <c r="A1452" s="467">
        <v>39812</v>
      </c>
      <c r="B1452" s="468">
        <v>9.3830933057080568E-2</v>
      </c>
      <c r="C1452" s="468">
        <v>0.10332786024876794</v>
      </c>
      <c r="D1452" s="469">
        <v>0.10914806378658715</v>
      </c>
      <c r="G1452" s="470"/>
      <c r="H1452" s="471"/>
    </row>
    <row r="1453" spans="1:8" x14ac:dyDescent="0.35">
      <c r="A1453" s="467">
        <v>39815</v>
      </c>
      <c r="B1453" s="468">
        <v>9.3865345158938851E-2</v>
      </c>
      <c r="C1453" s="468">
        <v>0.10150603975040839</v>
      </c>
      <c r="D1453" s="469">
        <v>0.10742590976378819</v>
      </c>
      <c r="G1453" s="470"/>
      <c r="H1453" s="471"/>
    </row>
    <row r="1454" spans="1:8" x14ac:dyDescent="0.35">
      <c r="A1454" s="467">
        <v>39818</v>
      </c>
      <c r="B1454" s="468">
        <v>9.5032521477950604E-2</v>
      </c>
      <c r="C1454" s="468">
        <v>9.9064224603991669E-2</v>
      </c>
      <c r="D1454" s="469">
        <v>0.10654085116068623</v>
      </c>
      <c r="G1454" s="470"/>
      <c r="H1454" s="471"/>
    </row>
    <row r="1455" spans="1:8" x14ac:dyDescent="0.35">
      <c r="A1455" s="467">
        <v>39819</v>
      </c>
      <c r="B1455" s="468">
        <v>9.448940081265178E-2</v>
      </c>
      <c r="C1455" s="468">
        <v>0.10123636221671872</v>
      </c>
      <c r="D1455" s="469">
        <v>0.10740434874403593</v>
      </c>
      <c r="G1455" s="470"/>
      <c r="H1455" s="471"/>
    </row>
    <row r="1456" spans="1:8" x14ac:dyDescent="0.35">
      <c r="A1456" s="467">
        <v>39820</v>
      </c>
      <c r="B1456" s="468">
        <v>9.504415010528322E-2</v>
      </c>
      <c r="C1456" s="468">
        <v>0.10160918776344241</v>
      </c>
      <c r="D1456" s="469">
        <v>0.10379440721794042</v>
      </c>
      <c r="G1456" s="470"/>
      <c r="H1456" s="471"/>
    </row>
    <row r="1457" spans="1:8" x14ac:dyDescent="0.35">
      <c r="A1457" s="467">
        <v>39821</v>
      </c>
      <c r="B1457" s="468">
        <v>9.4568468629429692E-2</v>
      </c>
      <c r="C1457" s="468">
        <v>0.10018375794121348</v>
      </c>
      <c r="D1457" s="469">
        <v>0.10268771123568343</v>
      </c>
      <c r="G1457" s="470"/>
      <c r="H1457" s="471"/>
    </row>
    <row r="1458" spans="1:8" x14ac:dyDescent="0.35">
      <c r="A1458" s="467">
        <v>39822</v>
      </c>
      <c r="B1458" s="468">
        <v>9.4149457199142361E-2</v>
      </c>
      <c r="C1458" s="468">
        <v>9.9577151963275101E-2</v>
      </c>
      <c r="D1458" s="469">
        <v>0.10305783603209573</v>
      </c>
      <c r="G1458" s="470"/>
      <c r="H1458" s="471"/>
    </row>
    <row r="1459" spans="1:8" x14ac:dyDescent="0.35">
      <c r="A1459" s="467">
        <v>39826</v>
      </c>
      <c r="B1459" s="468">
        <v>9.4315135825644436E-2</v>
      </c>
      <c r="C1459" s="468">
        <v>9.9071933197803164E-2</v>
      </c>
      <c r="D1459" s="469">
        <v>0.10160172165145798</v>
      </c>
      <c r="G1459" s="470"/>
      <c r="H1459" s="471"/>
    </row>
    <row r="1460" spans="1:8" x14ac:dyDescent="0.35">
      <c r="A1460" s="467">
        <v>39827</v>
      </c>
      <c r="B1460" s="468">
        <v>9.289394345387314E-2</v>
      </c>
      <c r="C1460" s="468">
        <v>9.8388104135701759E-2</v>
      </c>
      <c r="D1460" s="469">
        <v>0.1004340768414953</v>
      </c>
      <c r="G1460" s="470"/>
      <c r="H1460" s="471"/>
    </row>
    <row r="1461" spans="1:8" x14ac:dyDescent="0.35">
      <c r="A1461" s="467">
        <v>39828</v>
      </c>
      <c r="B1461" s="468">
        <v>9.3935552728744653E-2</v>
      </c>
      <c r="C1461" s="468">
        <v>9.8542931000359602E-2</v>
      </c>
      <c r="D1461" s="469">
        <v>0.10116743829529207</v>
      </c>
      <c r="G1461" s="470"/>
      <c r="H1461" s="471"/>
    </row>
    <row r="1462" spans="1:8" x14ac:dyDescent="0.35">
      <c r="A1462" s="467">
        <v>39829</v>
      </c>
      <c r="B1462" s="468">
        <v>9.4260270649067834E-2</v>
      </c>
      <c r="C1462" s="468">
        <v>9.8288268870447837E-2</v>
      </c>
      <c r="D1462" s="469">
        <v>0.10002536984954813</v>
      </c>
      <c r="G1462" s="470"/>
      <c r="H1462" s="471"/>
    </row>
    <row r="1463" spans="1:8" x14ac:dyDescent="0.35">
      <c r="A1463" s="467">
        <v>39832</v>
      </c>
      <c r="B1463" s="468">
        <v>9.4389581115067234E-2</v>
      </c>
      <c r="C1463" s="468">
        <v>9.8215966244077135E-2</v>
      </c>
      <c r="D1463" s="469">
        <v>0.10168658243022066</v>
      </c>
      <c r="G1463" s="470"/>
      <c r="H1463" s="471"/>
    </row>
    <row r="1464" spans="1:8" x14ac:dyDescent="0.35">
      <c r="A1464" s="467">
        <v>39833</v>
      </c>
      <c r="B1464" s="468">
        <v>9.3661790573132953E-2</v>
      </c>
      <c r="C1464" s="468">
        <v>0.1001435792130061</v>
      </c>
      <c r="D1464" s="469">
        <v>0.1027794284183523</v>
      </c>
      <c r="G1464" s="470"/>
      <c r="H1464" s="471"/>
    </row>
    <row r="1465" spans="1:8" x14ac:dyDescent="0.35">
      <c r="A1465" s="467">
        <v>39834</v>
      </c>
      <c r="B1465" s="468">
        <v>9.4339194233951318E-2</v>
      </c>
      <c r="C1465" s="468">
        <v>9.9347451797309416E-2</v>
      </c>
      <c r="D1465" s="469">
        <v>0.10154051291137955</v>
      </c>
      <c r="G1465" s="470"/>
      <c r="H1465" s="471"/>
    </row>
    <row r="1466" spans="1:8" x14ac:dyDescent="0.35">
      <c r="A1466" s="467">
        <v>39835</v>
      </c>
      <c r="B1466" s="468">
        <v>9.255773194747885E-2</v>
      </c>
      <c r="C1466" s="468">
        <v>9.6838921411924517E-2</v>
      </c>
      <c r="D1466" s="469">
        <v>9.9862984580992187E-2</v>
      </c>
      <c r="G1466" s="470"/>
      <c r="H1466" s="471"/>
    </row>
    <row r="1467" spans="1:8" x14ac:dyDescent="0.35">
      <c r="A1467" s="467">
        <v>39836</v>
      </c>
      <c r="B1467" s="468">
        <v>9.286590011669249E-2</v>
      </c>
      <c r="C1467" s="468">
        <v>9.7447759769673681E-2</v>
      </c>
      <c r="D1467" s="469">
        <v>9.906060347955048E-2</v>
      </c>
      <c r="G1467" s="470"/>
      <c r="H1467" s="471"/>
    </row>
    <row r="1468" spans="1:8" x14ac:dyDescent="0.35">
      <c r="A1468" s="467">
        <v>39839</v>
      </c>
      <c r="B1468" s="468">
        <v>9.1661822809026017E-2</v>
      </c>
      <c r="C1468" s="468">
        <v>9.7042944373988416E-2</v>
      </c>
      <c r="D1468" s="469">
        <v>9.8680701131791615E-2</v>
      </c>
      <c r="G1468" s="470"/>
      <c r="H1468" s="471"/>
    </row>
    <row r="1469" spans="1:8" x14ac:dyDescent="0.35">
      <c r="A1469" s="467">
        <v>39840</v>
      </c>
      <c r="B1469" s="468">
        <v>9.1551583201603171E-2</v>
      </c>
      <c r="C1469" s="468">
        <v>9.7222630559747447E-2</v>
      </c>
      <c r="D1469" s="469">
        <v>9.8921165611698614E-2</v>
      </c>
      <c r="G1469" s="470"/>
      <c r="H1469" s="471"/>
    </row>
    <row r="1470" spans="1:8" x14ac:dyDescent="0.35">
      <c r="A1470" s="467">
        <v>39841</v>
      </c>
      <c r="B1470" s="468">
        <v>9.171770093345244E-2</v>
      </c>
      <c r="C1470" s="468">
        <v>9.7025399309031091E-2</v>
      </c>
      <c r="D1470" s="469">
        <v>9.9032557881521655E-2</v>
      </c>
      <c r="G1470" s="470"/>
      <c r="H1470" s="471"/>
    </row>
    <row r="1471" spans="1:8" x14ac:dyDescent="0.35">
      <c r="A1471" s="467">
        <v>39842</v>
      </c>
      <c r="B1471" s="468">
        <v>9.1462817355895565E-2</v>
      </c>
      <c r="C1471" s="468">
        <v>9.712196658639094E-2</v>
      </c>
      <c r="D1471" s="469">
        <v>9.8671524259634324E-2</v>
      </c>
      <c r="G1471" s="470"/>
      <c r="H1471" s="471"/>
    </row>
    <row r="1472" spans="1:8" x14ac:dyDescent="0.35">
      <c r="A1472" s="467">
        <v>39843</v>
      </c>
      <c r="B1472" s="468">
        <v>9.0326246161482882E-2</v>
      </c>
      <c r="C1472" s="468">
        <v>9.5896680226008169E-2</v>
      </c>
      <c r="D1472" s="469">
        <v>9.7953252774711341E-2</v>
      </c>
      <c r="G1472" s="470"/>
      <c r="H1472" s="471"/>
    </row>
    <row r="1473" spans="1:8" x14ac:dyDescent="0.35">
      <c r="A1473" s="467">
        <v>39846</v>
      </c>
      <c r="B1473" s="468">
        <v>8.9594701852651726E-2</v>
      </c>
      <c r="C1473" s="468">
        <v>9.603747356266279E-2</v>
      </c>
      <c r="D1473" s="469">
        <v>9.9185344603962999E-2</v>
      </c>
      <c r="G1473" s="470"/>
      <c r="H1473" s="471"/>
    </row>
    <row r="1474" spans="1:8" x14ac:dyDescent="0.35">
      <c r="A1474" s="467">
        <v>39847</v>
      </c>
      <c r="B1474" s="468">
        <v>8.9337171013300187E-2</v>
      </c>
      <c r="C1474" s="468">
        <v>9.6678792377277833E-2</v>
      </c>
      <c r="D1474" s="469">
        <v>9.9310818810909751E-2</v>
      </c>
      <c r="G1474" s="470"/>
      <c r="H1474" s="471"/>
    </row>
    <row r="1475" spans="1:8" x14ac:dyDescent="0.35">
      <c r="A1475" s="467">
        <v>39848</v>
      </c>
      <c r="B1475" s="468">
        <v>8.9187364606750918E-2</v>
      </c>
      <c r="C1475" s="468">
        <v>9.6260819243208395E-2</v>
      </c>
      <c r="D1475" s="469">
        <v>9.8851717346957191E-2</v>
      </c>
      <c r="G1475" s="470"/>
      <c r="H1475" s="471"/>
    </row>
    <row r="1476" spans="1:8" x14ac:dyDescent="0.35">
      <c r="A1476" s="467">
        <v>39849</v>
      </c>
      <c r="B1476" s="468">
        <v>8.8920774085900156E-2</v>
      </c>
      <c r="C1476" s="468">
        <v>9.5823379129434283E-2</v>
      </c>
      <c r="D1476" s="469">
        <v>9.7525877753141588E-2</v>
      </c>
      <c r="G1476" s="470"/>
      <c r="H1476" s="471"/>
    </row>
    <row r="1477" spans="1:8" x14ac:dyDescent="0.35">
      <c r="A1477" s="467">
        <v>39850</v>
      </c>
      <c r="B1477" s="468">
        <v>8.7810584875557929E-2</v>
      </c>
      <c r="C1477" s="468">
        <v>9.5620237970136523E-2</v>
      </c>
      <c r="D1477" s="469">
        <v>9.7945668262985341E-2</v>
      </c>
      <c r="G1477" s="470"/>
      <c r="H1477" s="471"/>
    </row>
    <row r="1478" spans="1:8" x14ac:dyDescent="0.35">
      <c r="A1478" s="467">
        <v>39853</v>
      </c>
      <c r="B1478" s="468">
        <v>9.2703436451478716E-2</v>
      </c>
      <c r="C1478" s="468">
        <v>9.477151400873729E-2</v>
      </c>
      <c r="D1478" s="469">
        <v>9.5030314195775567E-2</v>
      </c>
      <c r="G1478" s="470"/>
      <c r="H1478" s="471"/>
    </row>
    <row r="1479" spans="1:8" x14ac:dyDescent="0.35">
      <c r="A1479" s="467">
        <v>39854</v>
      </c>
      <c r="B1479" s="468">
        <v>8.8619276278268933E-2</v>
      </c>
      <c r="C1479" s="468">
        <v>9.7885055574721713E-2</v>
      </c>
      <c r="D1479" s="469">
        <v>0.10099247618600682</v>
      </c>
      <c r="G1479" s="470"/>
      <c r="H1479" s="471"/>
    </row>
    <row r="1480" spans="1:8" x14ac:dyDescent="0.35">
      <c r="A1480" s="467">
        <v>39855</v>
      </c>
      <c r="B1480" s="468">
        <v>8.9743908000941897E-2</v>
      </c>
      <c r="C1480" s="468">
        <v>9.876721737124794E-2</v>
      </c>
      <c r="D1480" s="469">
        <v>0.10350471556627694</v>
      </c>
      <c r="G1480" s="470"/>
      <c r="H1480" s="471"/>
    </row>
    <row r="1481" spans="1:8" x14ac:dyDescent="0.35">
      <c r="A1481" s="467">
        <v>39856</v>
      </c>
      <c r="B1481" s="468">
        <v>8.9164374510853017E-2</v>
      </c>
      <c r="C1481" s="468">
        <v>9.8081194170072994E-2</v>
      </c>
      <c r="D1481" s="469">
        <v>0.10238091494425205</v>
      </c>
      <c r="G1481" s="470"/>
      <c r="H1481" s="471"/>
    </row>
    <row r="1482" spans="1:8" x14ac:dyDescent="0.35">
      <c r="A1482" s="467">
        <v>39857</v>
      </c>
      <c r="B1482" s="468">
        <v>8.8975837650234535E-2</v>
      </c>
      <c r="C1482" s="468">
        <v>9.7124081013235219E-2</v>
      </c>
      <c r="D1482" s="469">
        <v>0.10079938391374377</v>
      </c>
      <c r="G1482" s="470"/>
      <c r="H1482" s="471"/>
    </row>
    <row r="1483" spans="1:8" x14ac:dyDescent="0.35">
      <c r="A1483" s="467">
        <v>39860</v>
      </c>
      <c r="B1483" s="468">
        <v>8.806355861415871E-2</v>
      </c>
      <c r="C1483" s="468">
        <v>9.727536266044412E-2</v>
      </c>
      <c r="D1483" s="469">
        <v>0.10090536735193689</v>
      </c>
      <c r="G1483" s="470"/>
      <c r="H1483" s="471"/>
    </row>
    <row r="1484" spans="1:8" x14ac:dyDescent="0.35">
      <c r="A1484" s="467">
        <v>39861</v>
      </c>
      <c r="B1484" s="468">
        <v>8.8206600874282559E-2</v>
      </c>
      <c r="C1484" s="468">
        <v>9.7810623568387323E-2</v>
      </c>
      <c r="D1484" s="469">
        <v>0.10219589751511293</v>
      </c>
      <c r="G1484" s="470"/>
      <c r="H1484" s="471"/>
    </row>
    <row r="1485" spans="1:8" x14ac:dyDescent="0.35">
      <c r="A1485" s="467">
        <v>39862</v>
      </c>
      <c r="B1485" s="468">
        <v>8.7778288651036984E-2</v>
      </c>
      <c r="C1485" s="468">
        <v>9.7380591290123331E-2</v>
      </c>
      <c r="D1485" s="469">
        <v>0.10158225497608075</v>
      </c>
      <c r="G1485" s="470"/>
      <c r="H1485" s="471"/>
    </row>
    <row r="1486" spans="1:8" x14ac:dyDescent="0.35">
      <c r="A1486" s="467">
        <v>39863</v>
      </c>
      <c r="B1486" s="468">
        <v>8.7456683922988221E-2</v>
      </c>
      <c r="C1486" s="468">
        <v>9.7042465567685143E-2</v>
      </c>
      <c r="D1486" s="469">
        <v>0.10141032554111873</v>
      </c>
      <c r="G1486" s="470"/>
      <c r="H1486" s="471"/>
    </row>
    <row r="1487" spans="1:8" x14ac:dyDescent="0.35">
      <c r="A1487" s="467">
        <v>39864</v>
      </c>
      <c r="B1487" s="468">
        <v>8.72565491619266E-2</v>
      </c>
      <c r="C1487" s="468">
        <v>9.7393408253666047E-2</v>
      </c>
      <c r="D1487" s="469">
        <v>0.10247176682403447</v>
      </c>
      <c r="G1487" s="470"/>
      <c r="H1487" s="471"/>
    </row>
    <row r="1488" spans="1:8" x14ac:dyDescent="0.35">
      <c r="A1488" s="467">
        <v>39867</v>
      </c>
      <c r="B1488" s="468">
        <v>8.6433211661019582E-2</v>
      </c>
      <c r="C1488" s="468">
        <v>9.7045041833480727E-2</v>
      </c>
      <c r="D1488" s="469">
        <v>0.10273233556231176</v>
      </c>
      <c r="G1488" s="470"/>
      <c r="H1488" s="471"/>
    </row>
    <row r="1489" spans="1:8" x14ac:dyDescent="0.35">
      <c r="A1489" s="467">
        <v>39870</v>
      </c>
      <c r="B1489" s="468">
        <v>8.555850557607525E-2</v>
      </c>
      <c r="C1489" s="468">
        <v>9.4923103273555132E-2</v>
      </c>
      <c r="D1489" s="469">
        <v>0.10112326804533001</v>
      </c>
      <c r="G1489" s="470"/>
      <c r="H1489" s="471"/>
    </row>
    <row r="1490" spans="1:8" x14ac:dyDescent="0.35">
      <c r="A1490" s="467">
        <v>39871</v>
      </c>
      <c r="B1490" s="468">
        <v>8.490106975048417E-2</v>
      </c>
      <c r="C1490" s="468">
        <v>9.4763769005939746E-2</v>
      </c>
      <c r="D1490" s="469">
        <v>0.10033774546310803</v>
      </c>
      <c r="G1490" s="470"/>
      <c r="H1490" s="471"/>
    </row>
    <row r="1491" spans="1:8" x14ac:dyDescent="0.35">
      <c r="A1491" s="467">
        <v>39874</v>
      </c>
      <c r="B1491" s="468">
        <v>8.1808427579069587E-2</v>
      </c>
      <c r="C1491" s="468">
        <v>9.2855588521185695E-2</v>
      </c>
      <c r="D1491" s="469">
        <v>9.9422335633132075E-2</v>
      </c>
      <c r="G1491" s="470"/>
      <c r="H1491" s="471"/>
    </row>
    <row r="1492" spans="1:8" x14ac:dyDescent="0.35">
      <c r="A1492" s="467">
        <v>39875</v>
      </c>
      <c r="B1492" s="468">
        <v>8.0937809301067531E-2</v>
      </c>
      <c r="C1492" s="468">
        <v>9.2195889677363807E-2</v>
      </c>
      <c r="D1492" s="469">
        <v>9.865244132152351E-2</v>
      </c>
      <c r="G1492" s="470"/>
      <c r="H1492" s="471"/>
    </row>
    <row r="1493" spans="1:8" x14ac:dyDescent="0.35">
      <c r="A1493" s="467">
        <v>39876</v>
      </c>
      <c r="B1493" s="468">
        <v>7.9619511370103258E-2</v>
      </c>
      <c r="C1493" s="468">
        <v>9.1508377491934301E-2</v>
      </c>
      <c r="D1493" s="469">
        <v>9.8083607444144016E-2</v>
      </c>
      <c r="G1493" s="470"/>
      <c r="H1493" s="471"/>
    </row>
    <row r="1494" spans="1:8" x14ac:dyDescent="0.35">
      <c r="A1494" s="467">
        <v>39877</v>
      </c>
      <c r="B1494" s="468">
        <v>7.9431919697274811E-2</v>
      </c>
      <c r="C1494" s="468">
        <v>9.1072846601803148E-2</v>
      </c>
      <c r="D1494" s="469">
        <v>9.8512225598661685E-2</v>
      </c>
      <c r="G1494" s="470"/>
      <c r="H1494" s="471"/>
    </row>
    <row r="1495" spans="1:8" x14ac:dyDescent="0.35">
      <c r="A1495" s="467">
        <v>39878</v>
      </c>
      <c r="B1495" s="468">
        <v>7.9614430245066092E-2</v>
      </c>
      <c r="C1495" s="468">
        <v>9.1155871010299983E-2</v>
      </c>
      <c r="D1495" s="469">
        <v>9.9624955144313798E-2</v>
      </c>
      <c r="G1495" s="470"/>
      <c r="H1495" s="471"/>
    </row>
    <row r="1496" spans="1:8" x14ac:dyDescent="0.35">
      <c r="A1496" s="467">
        <v>39881</v>
      </c>
      <c r="B1496" s="468">
        <v>7.955083980499067E-2</v>
      </c>
      <c r="C1496" s="468">
        <v>9.1645326131015281E-2</v>
      </c>
      <c r="D1496" s="469">
        <v>0.10132586197236759</v>
      </c>
      <c r="G1496" s="470"/>
      <c r="H1496" s="471"/>
    </row>
    <row r="1497" spans="1:8" x14ac:dyDescent="0.35">
      <c r="A1497" s="467">
        <v>39882</v>
      </c>
      <c r="B1497" s="468">
        <v>7.9151558778669528E-2</v>
      </c>
      <c r="C1497" s="468">
        <v>9.1167315006843275E-2</v>
      </c>
      <c r="D1497" s="469">
        <v>0.1003074308160512</v>
      </c>
      <c r="G1497" s="470"/>
      <c r="H1497" s="471"/>
    </row>
    <row r="1498" spans="1:8" x14ac:dyDescent="0.35">
      <c r="A1498" s="467">
        <v>39883</v>
      </c>
      <c r="B1498" s="468">
        <v>7.9507117616407497E-2</v>
      </c>
      <c r="C1498" s="468">
        <v>9.1387937458244028E-2</v>
      </c>
      <c r="D1498" s="469">
        <v>0.10085329170310087</v>
      </c>
      <c r="G1498" s="470"/>
      <c r="H1498" s="471"/>
    </row>
    <row r="1499" spans="1:8" x14ac:dyDescent="0.35">
      <c r="A1499" s="467">
        <v>39884</v>
      </c>
      <c r="B1499" s="468">
        <v>7.8927129838935794E-2</v>
      </c>
      <c r="C1499" s="468">
        <v>9.1107203078102161E-2</v>
      </c>
      <c r="D1499" s="469">
        <v>0.10055839890716833</v>
      </c>
      <c r="G1499" s="470"/>
      <c r="H1499" s="471"/>
    </row>
    <row r="1500" spans="1:8" x14ac:dyDescent="0.35">
      <c r="A1500" s="467">
        <v>39885</v>
      </c>
      <c r="B1500" s="468">
        <v>7.7334888495849352E-2</v>
      </c>
      <c r="C1500" s="468">
        <v>9.0557757105766523E-2</v>
      </c>
      <c r="D1500" s="469">
        <v>9.9641674991155726E-2</v>
      </c>
      <c r="G1500" s="470"/>
      <c r="H1500" s="471"/>
    </row>
    <row r="1501" spans="1:8" x14ac:dyDescent="0.35">
      <c r="A1501" s="467">
        <v>39888</v>
      </c>
      <c r="B1501" s="468">
        <v>7.5403274359018724E-2</v>
      </c>
      <c r="C1501" s="468">
        <v>8.9842963843801193E-2</v>
      </c>
      <c r="D1501" s="469">
        <v>9.9409010537258258E-2</v>
      </c>
      <c r="G1501" s="470"/>
      <c r="H1501" s="471"/>
    </row>
    <row r="1502" spans="1:8" x14ac:dyDescent="0.35">
      <c r="A1502" s="467">
        <v>39889</v>
      </c>
      <c r="B1502" s="468">
        <v>7.4239199741628958E-2</v>
      </c>
      <c r="C1502" s="468">
        <v>8.8686800411012401E-2</v>
      </c>
      <c r="D1502" s="469">
        <v>9.9902494686356258E-2</v>
      </c>
      <c r="G1502" s="470"/>
      <c r="H1502" s="471"/>
    </row>
    <row r="1503" spans="1:8" x14ac:dyDescent="0.35">
      <c r="A1503" s="467">
        <v>39890</v>
      </c>
      <c r="B1503" s="468">
        <v>7.4139430847305121E-2</v>
      </c>
      <c r="C1503" s="468">
        <v>8.8580462419066475E-2</v>
      </c>
      <c r="D1503" s="469">
        <v>9.8959551037925753E-2</v>
      </c>
      <c r="G1503" s="470"/>
      <c r="H1503" s="471"/>
    </row>
    <row r="1504" spans="1:8" x14ac:dyDescent="0.35">
      <c r="A1504" s="467">
        <v>39891</v>
      </c>
      <c r="B1504" s="468">
        <v>7.3832539735704472E-2</v>
      </c>
      <c r="C1504" s="468">
        <v>8.8186933296363845E-2</v>
      </c>
      <c r="D1504" s="469">
        <v>9.7737990246797857E-2</v>
      </c>
      <c r="G1504" s="470"/>
      <c r="H1504" s="471"/>
    </row>
    <row r="1505" spans="1:8" x14ac:dyDescent="0.35">
      <c r="A1505" s="467">
        <v>39892</v>
      </c>
      <c r="B1505" s="468">
        <v>7.2189767280842476E-2</v>
      </c>
      <c r="C1505" s="468">
        <v>8.8122584780902624E-2</v>
      </c>
      <c r="D1505" s="469">
        <v>9.6785512561160303E-2</v>
      </c>
      <c r="G1505" s="470"/>
      <c r="H1505" s="471"/>
    </row>
    <row r="1506" spans="1:8" x14ac:dyDescent="0.35">
      <c r="A1506" s="467">
        <v>39896</v>
      </c>
      <c r="B1506" s="468">
        <v>7.0235814623690107E-2</v>
      </c>
      <c r="C1506" s="468">
        <v>8.8130282659345527E-2</v>
      </c>
      <c r="D1506" s="469">
        <v>9.9004421748425386E-2</v>
      </c>
      <c r="G1506" s="470"/>
      <c r="H1506" s="471"/>
    </row>
    <row r="1507" spans="1:8" x14ac:dyDescent="0.35">
      <c r="A1507" s="467">
        <v>39897</v>
      </c>
      <c r="B1507" s="468">
        <v>7.1288373537159666E-2</v>
      </c>
      <c r="C1507" s="468">
        <v>8.9158998650749055E-2</v>
      </c>
      <c r="D1507" s="469">
        <v>0.10026204005959594</v>
      </c>
      <c r="G1507" s="470"/>
      <c r="H1507" s="471"/>
    </row>
    <row r="1508" spans="1:8" x14ac:dyDescent="0.35">
      <c r="A1508" s="467">
        <v>39898</v>
      </c>
      <c r="B1508" s="468">
        <v>7.0866256959215779E-2</v>
      </c>
      <c r="C1508" s="468">
        <v>8.9733990839280908E-2</v>
      </c>
      <c r="D1508" s="469">
        <v>0.10084963257332857</v>
      </c>
      <c r="G1508" s="470"/>
      <c r="H1508" s="471"/>
    </row>
    <row r="1509" spans="1:8" x14ac:dyDescent="0.35">
      <c r="A1509" s="467">
        <v>39899</v>
      </c>
      <c r="B1509" s="468">
        <v>7.0452519856710305E-2</v>
      </c>
      <c r="C1509" s="468">
        <v>8.9910406228270068E-2</v>
      </c>
      <c r="D1509" s="469">
        <v>0.10131673101465299</v>
      </c>
      <c r="G1509" s="470"/>
      <c r="H1509" s="471"/>
    </row>
    <row r="1510" spans="1:8" x14ac:dyDescent="0.35">
      <c r="A1510" s="467">
        <v>39902</v>
      </c>
      <c r="B1510" s="468">
        <v>7.0346414563333681E-2</v>
      </c>
      <c r="C1510" s="468">
        <v>9.1012427069257607E-2</v>
      </c>
      <c r="D1510" s="469">
        <v>0.10387588649093171</v>
      </c>
      <c r="G1510" s="470"/>
      <c r="H1510" s="471"/>
    </row>
    <row r="1511" spans="1:8" x14ac:dyDescent="0.35">
      <c r="A1511" s="467">
        <v>39903</v>
      </c>
      <c r="B1511" s="468">
        <v>6.9908640900278041E-2</v>
      </c>
      <c r="C1511" s="468">
        <v>9.0371301514147406E-2</v>
      </c>
      <c r="D1511" s="469">
        <v>0.10124796416911575</v>
      </c>
      <c r="G1511" s="470"/>
      <c r="H1511" s="471"/>
    </row>
    <row r="1512" spans="1:8" x14ac:dyDescent="0.35">
      <c r="A1512" s="467">
        <v>39904</v>
      </c>
      <c r="B1512" s="468">
        <v>6.9131282403367189E-2</v>
      </c>
      <c r="C1512" s="468">
        <v>8.9853944064457014E-2</v>
      </c>
      <c r="D1512" s="469">
        <v>0.10024562187321262</v>
      </c>
      <c r="G1512" s="470"/>
      <c r="H1512" s="471"/>
    </row>
    <row r="1513" spans="1:8" x14ac:dyDescent="0.35">
      <c r="A1513" s="467">
        <v>39905</v>
      </c>
      <c r="B1513" s="468">
        <v>6.8844837931972602E-2</v>
      </c>
      <c r="C1513" s="468">
        <v>8.89689348362388E-2</v>
      </c>
      <c r="D1513" s="469">
        <v>9.922717065383968E-2</v>
      </c>
      <c r="G1513" s="470"/>
      <c r="H1513" s="471"/>
    </row>
    <row r="1514" spans="1:8" x14ac:dyDescent="0.35">
      <c r="A1514" s="467">
        <v>39906</v>
      </c>
      <c r="B1514" s="468">
        <v>6.88349596843989E-2</v>
      </c>
      <c r="C1514" s="468">
        <v>8.8912036474011469E-2</v>
      </c>
      <c r="D1514" s="469">
        <v>9.953272635096333E-2</v>
      </c>
      <c r="G1514" s="470"/>
      <c r="H1514" s="471"/>
    </row>
    <row r="1515" spans="1:8" x14ac:dyDescent="0.35">
      <c r="A1515" s="467">
        <v>39909</v>
      </c>
      <c r="B1515" s="468">
        <v>6.7864467280019714E-2</v>
      </c>
      <c r="C1515" s="468">
        <v>8.7779117638996595E-2</v>
      </c>
      <c r="D1515" s="469">
        <v>9.9172212150863803E-2</v>
      </c>
      <c r="G1515" s="470"/>
      <c r="H1515" s="471"/>
    </row>
    <row r="1516" spans="1:8" x14ac:dyDescent="0.35">
      <c r="A1516" s="467">
        <v>39910</v>
      </c>
      <c r="B1516" s="468">
        <v>6.8291557590929086E-2</v>
      </c>
      <c r="C1516" s="468">
        <v>8.7917243072705098E-2</v>
      </c>
      <c r="D1516" s="469">
        <v>9.8536884603837249E-2</v>
      </c>
      <c r="G1516" s="470"/>
      <c r="H1516" s="471"/>
    </row>
    <row r="1517" spans="1:8" x14ac:dyDescent="0.35">
      <c r="A1517" s="467">
        <v>39911</v>
      </c>
      <c r="B1517" s="468">
        <v>6.7508218634960482E-2</v>
      </c>
      <c r="C1517" s="468">
        <v>8.5887743513458847E-2</v>
      </c>
      <c r="D1517" s="469">
        <v>9.8365725168456652E-2</v>
      </c>
      <c r="G1517" s="470"/>
      <c r="H1517" s="471"/>
    </row>
    <row r="1518" spans="1:8" x14ac:dyDescent="0.35">
      <c r="A1518" s="467">
        <v>39916</v>
      </c>
      <c r="B1518" s="468">
        <v>6.7028078211763154E-2</v>
      </c>
      <c r="C1518" s="468">
        <v>8.6238356201305155E-2</v>
      </c>
      <c r="D1518" s="469">
        <v>9.7895014098464905E-2</v>
      </c>
      <c r="G1518" s="470"/>
      <c r="H1518" s="471"/>
    </row>
    <row r="1519" spans="1:8" x14ac:dyDescent="0.35">
      <c r="A1519" s="467">
        <v>39917</v>
      </c>
      <c r="B1519" s="468">
        <v>6.7414812662980994E-2</v>
      </c>
      <c r="C1519" s="468">
        <v>8.6024542379533386E-2</v>
      </c>
      <c r="D1519" s="469">
        <v>9.5736028780533111E-2</v>
      </c>
      <c r="G1519" s="470"/>
      <c r="H1519" s="471"/>
    </row>
    <row r="1520" spans="1:8" x14ac:dyDescent="0.35">
      <c r="A1520" s="467">
        <v>39918</v>
      </c>
      <c r="B1520" s="468">
        <v>6.7783753795284785E-2</v>
      </c>
      <c r="C1520" s="468">
        <v>8.4548725356580645E-2</v>
      </c>
      <c r="D1520" s="469">
        <v>9.4796748945325415E-2</v>
      </c>
      <c r="G1520" s="470"/>
      <c r="H1520" s="471"/>
    </row>
    <row r="1521" spans="1:8" x14ac:dyDescent="0.35">
      <c r="A1521" s="467">
        <v>39919</v>
      </c>
      <c r="B1521" s="468">
        <v>6.8065635299055849E-2</v>
      </c>
      <c r="C1521" s="468">
        <v>8.4324216291224996E-2</v>
      </c>
      <c r="D1521" s="469">
        <v>9.4484420388610602E-2</v>
      </c>
      <c r="G1521" s="470"/>
      <c r="H1521" s="471"/>
    </row>
    <row r="1522" spans="1:8" x14ac:dyDescent="0.35">
      <c r="A1522" s="467">
        <v>39920</v>
      </c>
      <c r="B1522" s="468">
        <v>6.8405536992164784E-2</v>
      </c>
      <c r="C1522" s="468">
        <v>8.4372745781168046E-2</v>
      </c>
      <c r="D1522" s="469">
        <v>9.5097857143296105E-2</v>
      </c>
      <c r="G1522" s="470"/>
      <c r="H1522" s="471"/>
    </row>
    <row r="1523" spans="1:8" x14ac:dyDescent="0.35">
      <c r="A1523" s="467">
        <v>39923</v>
      </c>
      <c r="B1523" s="468">
        <v>6.7742789408052229E-2</v>
      </c>
      <c r="C1523" s="468">
        <v>8.429177024201695E-2</v>
      </c>
      <c r="D1523" s="469">
        <v>9.5577146958196968E-2</v>
      </c>
      <c r="G1523" s="470"/>
      <c r="H1523" s="471"/>
    </row>
    <row r="1524" spans="1:8" x14ac:dyDescent="0.35">
      <c r="A1524" s="467">
        <v>39924</v>
      </c>
      <c r="B1524" s="468">
        <v>6.6511617057544381E-2</v>
      </c>
      <c r="C1524" s="468">
        <v>8.2763636116290229E-2</v>
      </c>
      <c r="D1524" s="469">
        <v>9.4144472004175528E-2</v>
      </c>
      <c r="G1524" s="470"/>
      <c r="H1524" s="471"/>
    </row>
    <row r="1525" spans="1:8" x14ac:dyDescent="0.35">
      <c r="A1525" s="467">
        <v>39925</v>
      </c>
      <c r="B1525" s="468">
        <v>6.4599307807267081E-2</v>
      </c>
      <c r="C1525" s="468">
        <v>8.1842061473779815E-2</v>
      </c>
      <c r="D1525" s="469">
        <v>9.3395270663718444E-2</v>
      </c>
      <c r="G1525" s="470"/>
      <c r="H1525" s="471"/>
    </row>
    <row r="1526" spans="1:8" x14ac:dyDescent="0.35">
      <c r="A1526" s="467">
        <v>39926</v>
      </c>
      <c r="B1526" s="468">
        <v>6.4131897406198402E-2</v>
      </c>
      <c r="C1526" s="468">
        <v>8.198913177674183E-2</v>
      </c>
      <c r="D1526" s="469">
        <v>9.3008233170414734E-2</v>
      </c>
      <c r="G1526" s="470"/>
      <c r="H1526" s="471"/>
    </row>
    <row r="1527" spans="1:8" x14ac:dyDescent="0.35">
      <c r="A1527" s="467">
        <v>39927</v>
      </c>
      <c r="B1527" s="468">
        <v>6.3664780364263374E-2</v>
      </c>
      <c r="C1527" s="468">
        <v>8.1435019589338298E-2</v>
      </c>
      <c r="D1527" s="469">
        <v>9.2824323522220364E-2</v>
      </c>
      <c r="G1527" s="470"/>
      <c r="H1527" s="471"/>
    </row>
    <row r="1528" spans="1:8" x14ac:dyDescent="0.35">
      <c r="A1528" s="467">
        <v>39930</v>
      </c>
      <c r="B1528" s="468">
        <v>6.394124387358735E-2</v>
      </c>
      <c r="C1528" s="468">
        <v>8.2331947674895822E-2</v>
      </c>
      <c r="D1528" s="469">
        <v>9.4295925142224402E-2</v>
      </c>
      <c r="G1528" s="470"/>
      <c r="H1528" s="471"/>
    </row>
    <row r="1529" spans="1:8" x14ac:dyDescent="0.35">
      <c r="A1529" s="467">
        <v>39931</v>
      </c>
      <c r="B1529" s="468">
        <v>6.3754145195189516E-2</v>
      </c>
      <c r="C1529" s="468">
        <v>8.231587572207677E-2</v>
      </c>
      <c r="D1529" s="469">
        <v>9.3779621726718831E-2</v>
      </c>
      <c r="G1529" s="470"/>
      <c r="H1529" s="471"/>
    </row>
    <row r="1530" spans="1:8" x14ac:dyDescent="0.35">
      <c r="A1530" s="467">
        <v>39932</v>
      </c>
      <c r="B1530" s="468">
        <v>6.3147975534120215E-2</v>
      </c>
      <c r="C1530" s="468">
        <v>8.0645412194511712E-2</v>
      </c>
      <c r="D1530" s="469">
        <v>9.2869978316410862E-2</v>
      </c>
      <c r="G1530" s="470"/>
      <c r="H1530" s="471"/>
    </row>
    <row r="1531" spans="1:8" x14ac:dyDescent="0.35">
      <c r="A1531" s="467">
        <v>39933</v>
      </c>
      <c r="B1531" s="468">
        <v>6.2711073643995086E-2</v>
      </c>
      <c r="C1531" s="468">
        <v>7.9816325869934257E-2</v>
      </c>
      <c r="D1531" s="469">
        <v>9.2546312399685027E-2</v>
      </c>
      <c r="G1531" s="470"/>
      <c r="H1531" s="471"/>
    </row>
    <row r="1532" spans="1:8" x14ac:dyDescent="0.35">
      <c r="A1532" s="467">
        <v>39937</v>
      </c>
      <c r="B1532" s="468">
        <v>6.230992483284159E-2</v>
      </c>
      <c r="C1532" s="468">
        <v>7.9615110007693835E-2</v>
      </c>
      <c r="D1532" s="469">
        <v>9.2725542191066657E-2</v>
      </c>
      <c r="G1532" s="470"/>
      <c r="H1532" s="471"/>
    </row>
    <row r="1533" spans="1:8" x14ac:dyDescent="0.35">
      <c r="A1533" s="467">
        <v>39938</v>
      </c>
      <c r="B1533" s="468">
        <v>6.2567073130341599E-2</v>
      </c>
      <c r="C1533" s="468">
        <v>8.0050238304373522E-2</v>
      </c>
      <c r="D1533" s="469">
        <v>9.2749782003377801E-2</v>
      </c>
      <c r="G1533" s="470"/>
      <c r="H1533" s="471"/>
    </row>
    <row r="1534" spans="1:8" x14ac:dyDescent="0.35">
      <c r="A1534" s="467">
        <v>39939</v>
      </c>
      <c r="B1534" s="468">
        <v>6.2305234757924932E-2</v>
      </c>
      <c r="C1534" s="468">
        <v>8.0086322627158646E-2</v>
      </c>
      <c r="D1534" s="469">
        <v>9.3154034322045387E-2</v>
      </c>
      <c r="G1534" s="470"/>
      <c r="H1534" s="471"/>
    </row>
    <row r="1535" spans="1:8" x14ac:dyDescent="0.35">
      <c r="A1535" s="467">
        <v>39940</v>
      </c>
      <c r="B1535" s="468">
        <v>6.1887549382867668E-2</v>
      </c>
      <c r="C1535" s="468">
        <v>8.0046597292889432E-2</v>
      </c>
      <c r="D1535" s="469">
        <v>9.287198959588272E-2</v>
      </c>
      <c r="G1535" s="470"/>
      <c r="H1535" s="471"/>
    </row>
    <row r="1536" spans="1:8" x14ac:dyDescent="0.35">
      <c r="A1536" s="467">
        <v>39941</v>
      </c>
      <c r="B1536" s="468">
        <v>6.1494051713787412E-2</v>
      </c>
      <c r="C1536" s="468">
        <v>7.9702212521012061E-2</v>
      </c>
      <c r="D1536" s="469">
        <v>9.2107114613941166E-2</v>
      </c>
      <c r="G1536" s="470"/>
      <c r="H1536" s="471"/>
    </row>
    <row r="1537" spans="1:8" x14ac:dyDescent="0.35">
      <c r="A1537" s="467">
        <v>39944</v>
      </c>
      <c r="B1537" s="468">
        <v>6.1713991709092975E-2</v>
      </c>
      <c r="C1537" s="468">
        <v>8.0142039708151591E-2</v>
      </c>
      <c r="D1537" s="469">
        <v>9.1727443642329431E-2</v>
      </c>
      <c r="G1537" s="470"/>
      <c r="H1537" s="471"/>
    </row>
    <row r="1538" spans="1:8" x14ac:dyDescent="0.35">
      <c r="A1538" s="467">
        <v>39945</v>
      </c>
      <c r="B1538" s="468">
        <v>6.1446975257601233E-2</v>
      </c>
      <c r="C1538" s="468">
        <v>7.9578701722051504E-2</v>
      </c>
      <c r="D1538" s="469">
        <v>9.0685934339381769E-2</v>
      </c>
      <c r="G1538" s="470"/>
      <c r="H1538" s="471"/>
    </row>
    <row r="1539" spans="1:8" x14ac:dyDescent="0.35">
      <c r="A1539" s="467">
        <v>39946</v>
      </c>
      <c r="B1539" s="468">
        <v>6.0835024885379285E-2</v>
      </c>
      <c r="C1539" s="468">
        <v>7.9519925302918626E-2</v>
      </c>
      <c r="D1539" s="469">
        <v>9.0336223649015945E-2</v>
      </c>
      <c r="G1539" s="470"/>
      <c r="H1539" s="471"/>
    </row>
    <row r="1540" spans="1:8" x14ac:dyDescent="0.35">
      <c r="A1540" s="467">
        <v>39947</v>
      </c>
      <c r="B1540" s="468">
        <v>5.8321438910000634E-2</v>
      </c>
      <c r="C1540" s="468">
        <v>7.8585379401927336E-2</v>
      </c>
      <c r="D1540" s="469">
        <v>9.0333102294114509E-2</v>
      </c>
      <c r="G1540" s="470"/>
      <c r="H1540" s="471"/>
    </row>
    <row r="1541" spans="1:8" x14ac:dyDescent="0.35">
      <c r="A1541" s="467">
        <v>39948</v>
      </c>
      <c r="B1541" s="468">
        <v>5.4961942078317616E-2</v>
      </c>
      <c r="C1541" s="468">
        <v>7.925597437087406E-2</v>
      </c>
      <c r="D1541" s="469">
        <v>9.0471245058336258E-2</v>
      </c>
      <c r="G1541" s="470"/>
      <c r="H1541" s="471"/>
    </row>
    <row r="1542" spans="1:8" x14ac:dyDescent="0.35">
      <c r="A1542" s="467">
        <v>39951</v>
      </c>
      <c r="B1542" s="468">
        <v>5.3157470342199531E-2</v>
      </c>
      <c r="C1542" s="468">
        <v>7.9144537518585301E-2</v>
      </c>
      <c r="D1542" s="469">
        <v>9.0604640494416522E-2</v>
      </c>
      <c r="G1542" s="470"/>
      <c r="H1542" s="471"/>
    </row>
    <row r="1543" spans="1:8" x14ac:dyDescent="0.35">
      <c r="A1543" s="467">
        <v>39952</v>
      </c>
      <c r="B1543" s="468">
        <v>5.2443769280861252E-2</v>
      </c>
      <c r="C1543" s="468">
        <v>7.8193623158052672E-2</v>
      </c>
      <c r="D1543" s="469">
        <v>9.0470790574053828E-2</v>
      </c>
      <c r="G1543" s="470"/>
      <c r="H1543" s="471"/>
    </row>
    <row r="1544" spans="1:8" x14ac:dyDescent="0.35">
      <c r="A1544" s="467">
        <v>39953</v>
      </c>
      <c r="B1544" s="468">
        <v>5.2511960989764184E-2</v>
      </c>
      <c r="C1544" s="468">
        <v>7.7724618296832082E-2</v>
      </c>
      <c r="D1544" s="469">
        <v>8.9799657000387612E-2</v>
      </c>
      <c r="G1544" s="470"/>
      <c r="H1544" s="471"/>
    </row>
    <row r="1545" spans="1:8" x14ac:dyDescent="0.35">
      <c r="A1545" s="467">
        <v>39954</v>
      </c>
      <c r="B1545" s="468">
        <v>5.4132379450224644E-2</v>
      </c>
      <c r="C1545" s="468">
        <v>7.9426006666661442E-2</v>
      </c>
      <c r="D1545" s="469">
        <v>9.0659313756792592E-2</v>
      </c>
      <c r="G1545" s="470"/>
      <c r="H1545" s="471"/>
    </row>
    <row r="1546" spans="1:8" x14ac:dyDescent="0.35">
      <c r="A1546" s="467">
        <v>39955</v>
      </c>
      <c r="B1546" s="468">
        <v>6.1980165803848353E-2</v>
      </c>
      <c r="C1546" s="468">
        <v>8.0513460507288137E-2</v>
      </c>
      <c r="D1546" s="469">
        <v>9.2576738451966012E-2</v>
      </c>
      <c r="G1546" s="470"/>
      <c r="H1546" s="471"/>
    </row>
    <row r="1547" spans="1:8" x14ac:dyDescent="0.35">
      <c r="A1547" s="467">
        <v>39959</v>
      </c>
      <c r="B1547" s="468">
        <v>6.0664242139018443E-2</v>
      </c>
      <c r="C1547" s="468">
        <v>8.1826441244887249E-2</v>
      </c>
      <c r="D1547" s="469">
        <v>9.2183814204776171E-2</v>
      </c>
      <c r="G1547" s="470"/>
      <c r="H1547" s="471"/>
    </row>
    <row r="1548" spans="1:8" x14ac:dyDescent="0.35">
      <c r="A1548" s="467">
        <v>39960</v>
      </c>
      <c r="B1548" s="468">
        <v>5.8947078565260158E-2</v>
      </c>
      <c r="C1548" s="468">
        <v>8.0650630996898842E-2</v>
      </c>
      <c r="D1548" s="469">
        <v>9.2117338645047342E-2</v>
      </c>
      <c r="G1548" s="470"/>
      <c r="H1548" s="471"/>
    </row>
    <row r="1549" spans="1:8" x14ac:dyDescent="0.35">
      <c r="A1549" s="467">
        <v>39961</v>
      </c>
      <c r="B1549" s="468">
        <v>5.923826769474827E-2</v>
      </c>
      <c r="C1549" s="468">
        <v>8.1929522145300027E-2</v>
      </c>
      <c r="D1549" s="469">
        <v>9.3906538910057069E-2</v>
      </c>
      <c r="G1549" s="470"/>
      <c r="H1549" s="471"/>
    </row>
    <row r="1550" spans="1:8" x14ac:dyDescent="0.35">
      <c r="A1550" s="467">
        <v>39962</v>
      </c>
      <c r="B1550" s="468">
        <v>5.9448534807941433E-2</v>
      </c>
      <c r="C1550" s="468">
        <v>8.0990100660865316E-2</v>
      </c>
      <c r="D1550" s="469">
        <v>9.4253228621364427E-2</v>
      </c>
      <c r="G1550" s="470"/>
      <c r="H1550" s="471"/>
    </row>
    <row r="1551" spans="1:8" x14ac:dyDescent="0.35">
      <c r="A1551" s="467">
        <v>39965</v>
      </c>
      <c r="B1551" s="468">
        <v>5.84785110604229E-2</v>
      </c>
      <c r="C1551" s="468">
        <v>8.1536297099626731E-2</v>
      </c>
      <c r="D1551" s="469">
        <v>9.4896914948423339E-2</v>
      </c>
      <c r="G1551" s="470"/>
      <c r="H1551" s="471"/>
    </row>
    <row r="1552" spans="1:8" x14ac:dyDescent="0.35">
      <c r="A1552" s="467">
        <v>39966</v>
      </c>
      <c r="B1552" s="468">
        <v>6.1157704368514532E-2</v>
      </c>
      <c r="C1552" s="468">
        <v>8.4132500411630451E-2</v>
      </c>
      <c r="D1552" s="469">
        <v>9.7647342783015123E-2</v>
      </c>
      <c r="G1552" s="470"/>
      <c r="H1552" s="471"/>
    </row>
    <row r="1553" spans="1:8" x14ac:dyDescent="0.35">
      <c r="A1553" s="467">
        <v>39969</v>
      </c>
      <c r="B1553" s="468">
        <v>6.0836740133018097E-2</v>
      </c>
      <c r="C1553" s="468">
        <v>8.6198099875695045E-2</v>
      </c>
      <c r="D1553" s="469">
        <v>9.9424540675099982E-2</v>
      </c>
      <c r="G1553" s="470"/>
      <c r="H1553" s="471"/>
    </row>
    <row r="1554" spans="1:8" x14ac:dyDescent="0.35">
      <c r="A1554" s="467">
        <v>39972</v>
      </c>
      <c r="B1554" s="468">
        <v>6.1723388415464209E-2</v>
      </c>
      <c r="C1554" s="468">
        <v>8.9147685594491044E-2</v>
      </c>
      <c r="D1554" s="469">
        <v>0.10069032361822416</v>
      </c>
      <c r="G1554" s="470"/>
      <c r="H1554" s="471"/>
    </row>
    <row r="1555" spans="1:8" x14ac:dyDescent="0.35">
      <c r="A1555" s="467">
        <v>39973</v>
      </c>
      <c r="B1555" s="468">
        <v>6.1283343348939923E-2</v>
      </c>
      <c r="C1555" s="468">
        <v>8.8545577443501777E-2</v>
      </c>
      <c r="D1555" s="469">
        <v>0.10062185124507406</v>
      </c>
      <c r="G1555" s="470"/>
      <c r="H1555" s="471"/>
    </row>
    <row r="1556" spans="1:8" x14ac:dyDescent="0.35">
      <c r="A1556" s="467">
        <v>39974</v>
      </c>
      <c r="B1556" s="468">
        <v>6.0769480719164992E-2</v>
      </c>
      <c r="C1556" s="468">
        <v>8.8792417333655616E-2</v>
      </c>
      <c r="D1556" s="469">
        <v>0.10008483363384801</v>
      </c>
      <c r="G1556" s="470"/>
      <c r="H1556" s="471"/>
    </row>
    <row r="1557" spans="1:8" x14ac:dyDescent="0.35">
      <c r="A1557" s="467">
        <v>39975</v>
      </c>
      <c r="B1557" s="468">
        <v>5.7640060081024735E-2</v>
      </c>
      <c r="C1557" s="468">
        <v>8.8652199704380097E-2</v>
      </c>
      <c r="D1557" s="469">
        <v>9.897258413400678E-2</v>
      </c>
      <c r="G1557" s="470"/>
      <c r="H1557" s="471"/>
    </row>
    <row r="1558" spans="1:8" x14ac:dyDescent="0.35">
      <c r="A1558" s="467">
        <v>39976</v>
      </c>
      <c r="B1558" s="468">
        <v>5.9158260231892745E-2</v>
      </c>
      <c r="C1558" s="468">
        <v>8.7371069133398205E-2</v>
      </c>
      <c r="D1558" s="469">
        <v>9.8739497072542814E-2</v>
      </c>
      <c r="G1558" s="470"/>
      <c r="H1558" s="471"/>
    </row>
    <row r="1559" spans="1:8" x14ac:dyDescent="0.35">
      <c r="A1559" s="467">
        <v>39980</v>
      </c>
      <c r="B1559" s="468">
        <v>6.1399535729302679E-2</v>
      </c>
      <c r="C1559" s="468">
        <v>8.9538013973346375E-2</v>
      </c>
      <c r="D1559" s="469">
        <v>0.10242822780230898</v>
      </c>
      <c r="G1559" s="470"/>
      <c r="H1559" s="471"/>
    </row>
    <row r="1560" spans="1:8" x14ac:dyDescent="0.35">
      <c r="A1560" s="467">
        <v>39981</v>
      </c>
      <c r="B1560" s="468">
        <v>5.9819340628886053E-2</v>
      </c>
      <c r="C1560" s="468">
        <v>8.8345136925402024E-2</v>
      </c>
      <c r="D1560" s="469">
        <v>0.10088296700455412</v>
      </c>
      <c r="G1560" s="470"/>
      <c r="H1560" s="471"/>
    </row>
    <row r="1561" spans="1:8" x14ac:dyDescent="0.35">
      <c r="A1561" s="467">
        <v>39982</v>
      </c>
      <c r="B1561" s="468">
        <v>5.9341235105585977E-2</v>
      </c>
      <c r="C1561" s="468">
        <v>8.9511954341154887E-2</v>
      </c>
      <c r="D1561" s="469">
        <v>0.10125258013292893</v>
      </c>
      <c r="G1561" s="470"/>
      <c r="H1561" s="471"/>
    </row>
    <row r="1562" spans="1:8" x14ac:dyDescent="0.35">
      <c r="A1562" s="467">
        <v>39983</v>
      </c>
      <c r="B1562" s="468">
        <v>5.7815023360481055E-2</v>
      </c>
      <c r="C1562" s="468">
        <v>8.9272480981484215E-2</v>
      </c>
      <c r="D1562" s="469">
        <v>0.1009397111940773</v>
      </c>
      <c r="G1562" s="470"/>
      <c r="H1562" s="471"/>
    </row>
    <row r="1563" spans="1:8" x14ac:dyDescent="0.35">
      <c r="A1563" s="467">
        <v>39988</v>
      </c>
      <c r="B1563" s="468">
        <v>5.6778356373561767E-2</v>
      </c>
      <c r="C1563" s="468">
        <v>9.0375771102221503E-2</v>
      </c>
      <c r="D1563" s="469">
        <v>0.10343007577830954</v>
      </c>
      <c r="G1563" s="470"/>
      <c r="H1563" s="471"/>
    </row>
    <row r="1564" spans="1:8" x14ac:dyDescent="0.35">
      <c r="A1564" s="467">
        <v>39989</v>
      </c>
      <c r="B1564" s="468">
        <v>5.6123876262919703E-2</v>
      </c>
      <c r="C1564" s="468">
        <v>8.9629832857695213E-2</v>
      </c>
      <c r="D1564" s="469">
        <v>0.10307256363278405</v>
      </c>
      <c r="G1564" s="470"/>
      <c r="H1564" s="471"/>
    </row>
    <row r="1565" spans="1:8" x14ac:dyDescent="0.35">
      <c r="A1565" s="467">
        <v>39990</v>
      </c>
      <c r="B1565" s="468">
        <v>5.5902300369815583E-2</v>
      </c>
      <c r="C1565" s="468">
        <v>8.8826672692029263E-2</v>
      </c>
      <c r="D1565" s="469">
        <v>0.10209765395536086</v>
      </c>
      <c r="G1565" s="470"/>
      <c r="H1565" s="471"/>
    </row>
    <row r="1566" spans="1:8" x14ac:dyDescent="0.35">
      <c r="A1566" s="467">
        <v>39994</v>
      </c>
      <c r="B1566" s="468">
        <v>5.6057741263768612E-2</v>
      </c>
      <c r="C1566" s="468">
        <v>8.8072700369518531E-2</v>
      </c>
      <c r="D1566" s="469">
        <v>0.10089231699206236</v>
      </c>
      <c r="G1566" s="470"/>
      <c r="H1566" s="471"/>
    </row>
    <row r="1567" spans="1:8" x14ac:dyDescent="0.35">
      <c r="A1567" s="467">
        <v>39995</v>
      </c>
      <c r="B1567" s="468">
        <v>5.7563494300387097E-2</v>
      </c>
      <c r="C1567" s="468">
        <v>8.7558307534397972E-2</v>
      </c>
      <c r="D1567" s="469">
        <v>0.10013508540547211</v>
      </c>
      <c r="G1567" s="470"/>
      <c r="H1567" s="471"/>
    </row>
    <row r="1568" spans="1:8" x14ac:dyDescent="0.35">
      <c r="A1568" s="467">
        <v>39996</v>
      </c>
      <c r="B1568" s="468">
        <v>5.664480488640744E-2</v>
      </c>
      <c r="C1568" s="468">
        <v>8.7849147010779394E-2</v>
      </c>
      <c r="D1568" s="469">
        <v>9.9888137407973865E-2</v>
      </c>
      <c r="G1568" s="470"/>
      <c r="H1568" s="471"/>
    </row>
    <row r="1569" spans="1:8" x14ac:dyDescent="0.35">
      <c r="A1569" s="467">
        <v>39997</v>
      </c>
      <c r="B1569" s="468">
        <v>5.6208353771450392E-2</v>
      </c>
      <c r="C1569" s="468">
        <v>8.7044473433868896E-2</v>
      </c>
      <c r="D1569" s="469">
        <v>9.9487977864370691E-2</v>
      </c>
      <c r="G1569" s="470"/>
      <c r="H1569" s="471"/>
    </row>
    <row r="1570" spans="1:8" x14ac:dyDescent="0.35">
      <c r="A1570" s="467">
        <v>40000</v>
      </c>
      <c r="B1570" s="468">
        <v>5.5425712047528553E-2</v>
      </c>
      <c r="C1570" s="468">
        <v>8.5634624473994503E-2</v>
      </c>
      <c r="D1570" s="469">
        <v>9.8875945638273066E-2</v>
      </c>
      <c r="G1570" s="470"/>
      <c r="H1570" s="471"/>
    </row>
    <row r="1571" spans="1:8" x14ac:dyDescent="0.35">
      <c r="A1571" s="467">
        <v>40001</v>
      </c>
      <c r="B1571" s="468">
        <v>5.4783955309326782E-2</v>
      </c>
      <c r="C1571" s="468">
        <v>8.3945208639613744E-2</v>
      </c>
      <c r="D1571" s="469">
        <v>9.7897405493081679E-2</v>
      </c>
      <c r="G1571" s="470"/>
      <c r="H1571" s="471"/>
    </row>
    <row r="1572" spans="1:8" x14ac:dyDescent="0.35">
      <c r="A1572" s="467">
        <v>40002</v>
      </c>
      <c r="B1572" s="468">
        <v>5.5466443722588021E-2</v>
      </c>
      <c r="C1572" s="468">
        <v>8.4568112991751709E-2</v>
      </c>
      <c r="D1572" s="469">
        <v>9.8293215358798758E-2</v>
      </c>
      <c r="G1572" s="470"/>
      <c r="H1572" s="471"/>
    </row>
    <row r="1573" spans="1:8" x14ac:dyDescent="0.35">
      <c r="A1573" s="467">
        <v>40003</v>
      </c>
      <c r="B1573" s="468">
        <v>5.64704841606809E-2</v>
      </c>
      <c r="C1573" s="468">
        <v>8.4163812398350579E-2</v>
      </c>
      <c r="D1573" s="469">
        <v>9.8055911416220498E-2</v>
      </c>
      <c r="G1573" s="470"/>
      <c r="H1573" s="471"/>
    </row>
    <row r="1574" spans="1:8" x14ac:dyDescent="0.35">
      <c r="A1574" s="467">
        <v>40004</v>
      </c>
      <c r="B1574" s="468">
        <v>4.8429040100758769E-2</v>
      </c>
      <c r="C1574" s="468">
        <v>8.7928589965251769E-2</v>
      </c>
      <c r="D1574" s="469">
        <v>9.8813023730978111E-2</v>
      </c>
      <c r="G1574" s="470"/>
      <c r="H1574" s="471"/>
    </row>
    <row r="1575" spans="1:8" x14ac:dyDescent="0.35">
      <c r="A1575" s="467">
        <v>40007</v>
      </c>
      <c r="B1575" s="468">
        <v>4.8369705791587503E-2</v>
      </c>
      <c r="C1575" s="468">
        <v>8.8839721183747056E-2</v>
      </c>
      <c r="D1575" s="469">
        <v>0.10016445010719321</v>
      </c>
      <c r="G1575" s="470"/>
      <c r="H1575" s="471"/>
    </row>
    <row r="1576" spans="1:8" x14ac:dyDescent="0.35">
      <c r="A1576" s="467">
        <v>40008</v>
      </c>
      <c r="B1576" s="468">
        <v>4.7924907131784655E-2</v>
      </c>
      <c r="C1576" s="468">
        <v>8.8957435862043743E-2</v>
      </c>
      <c r="D1576" s="469">
        <v>0.10008458854938596</v>
      </c>
      <c r="G1576" s="470"/>
      <c r="H1576" s="471"/>
    </row>
    <row r="1577" spans="1:8" x14ac:dyDescent="0.35">
      <c r="A1577" s="467">
        <v>40009</v>
      </c>
      <c r="B1577" s="468">
        <v>4.6960749496245624E-2</v>
      </c>
      <c r="C1577" s="468">
        <v>8.7817581351561147E-2</v>
      </c>
      <c r="D1577" s="469">
        <v>9.9264339174822691E-2</v>
      </c>
      <c r="G1577" s="470"/>
      <c r="H1577" s="471"/>
    </row>
    <row r="1578" spans="1:8" x14ac:dyDescent="0.35">
      <c r="A1578" s="467">
        <v>40010</v>
      </c>
      <c r="B1578" s="468">
        <v>4.728029844247672E-2</v>
      </c>
      <c r="C1578" s="468">
        <v>8.7388622755157686E-2</v>
      </c>
      <c r="D1578" s="469">
        <v>9.8119548296265569E-2</v>
      </c>
      <c r="G1578" s="470"/>
      <c r="H1578" s="471"/>
    </row>
    <row r="1579" spans="1:8" x14ac:dyDescent="0.35">
      <c r="A1579" s="467">
        <v>40011</v>
      </c>
      <c r="B1579" s="468">
        <v>4.7319484710985682E-2</v>
      </c>
      <c r="C1579" s="468">
        <v>8.6930350569788706E-2</v>
      </c>
      <c r="D1579" s="469">
        <v>9.7315063026885307E-2</v>
      </c>
      <c r="G1579" s="470"/>
      <c r="H1579" s="471"/>
    </row>
    <row r="1580" spans="1:8" x14ac:dyDescent="0.35">
      <c r="A1580" s="467">
        <v>40015</v>
      </c>
      <c r="B1580" s="468">
        <v>4.7207217202142271E-2</v>
      </c>
      <c r="C1580" s="468">
        <v>8.6410459683612384E-2</v>
      </c>
      <c r="D1580" s="469">
        <v>9.6433668966031227E-2</v>
      </c>
      <c r="G1580" s="470"/>
      <c r="H1580" s="471"/>
    </row>
    <row r="1581" spans="1:8" x14ac:dyDescent="0.35">
      <c r="A1581" s="467">
        <v>40016</v>
      </c>
      <c r="B1581" s="468">
        <v>4.7367985623300246E-2</v>
      </c>
      <c r="C1581" s="468">
        <v>8.6382717359703376E-2</v>
      </c>
      <c r="D1581" s="469">
        <v>9.6021857449541947E-2</v>
      </c>
      <c r="G1581" s="470"/>
      <c r="H1581" s="471"/>
    </row>
    <row r="1582" spans="1:8" x14ac:dyDescent="0.35">
      <c r="A1582" s="467">
        <v>40017</v>
      </c>
      <c r="B1582" s="468">
        <v>4.7062691227422793E-2</v>
      </c>
      <c r="C1582" s="468">
        <v>8.614685753949658E-2</v>
      </c>
      <c r="D1582" s="469">
        <v>9.5397578307468756E-2</v>
      </c>
      <c r="G1582" s="470"/>
      <c r="H1582" s="471"/>
    </row>
    <row r="1583" spans="1:8" x14ac:dyDescent="0.35">
      <c r="A1583" s="467">
        <v>40018</v>
      </c>
      <c r="B1583" s="468">
        <v>4.6295073719988755E-2</v>
      </c>
      <c r="C1583" s="468">
        <v>8.548144692359716E-2</v>
      </c>
      <c r="D1583" s="469">
        <v>9.484426128911827E-2</v>
      </c>
      <c r="G1583" s="470"/>
      <c r="H1583" s="471"/>
    </row>
    <row r="1584" spans="1:8" x14ac:dyDescent="0.35">
      <c r="A1584" s="467">
        <v>40021</v>
      </c>
      <c r="B1584" s="468">
        <v>4.6087237624466315E-2</v>
      </c>
      <c r="C1584" s="468">
        <v>8.5127102563156365E-2</v>
      </c>
      <c r="D1584" s="469">
        <v>9.5800412847502514E-2</v>
      </c>
      <c r="G1584" s="470"/>
      <c r="H1584" s="471"/>
    </row>
    <row r="1585" spans="1:8" x14ac:dyDescent="0.35">
      <c r="A1585" s="467">
        <v>40022</v>
      </c>
      <c r="B1585" s="468">
        <v>4.8406179986708819E-2</v>
      </c>
      <c r="C1585" s="468">
        <v>8.5770181919308186E-2</v>
      </c>
      <c r="D1585" s="469">
        <v>9.7119833990242377E-2</v>
      </c>
      <c r="G1585" s="470"/>
      <c r="H1585" s="471"/>
    </row>
    <row r="1586" spans="1:8" x14ac:dyDescent="0.35">
      <c r="A1586" s="467">
        <v>40023</v>
      </c>
      <c r="B1586" s="468">
        <v>4.8327265545514919E-2</v>
      </c>
      <c r="C1586" s="468">
        <v>8.7566144251532307E-2</v>
      </c>
      <c r="D1586" s="469">
        <v>9.7218630080951218E-2</v>
      </c>
      <c r="G1586" s="470"/>
      <c r="H1586" s="471"/>
    </row>
    <row r="1587" spans="1:8" x14ac:dyDescent="0.35">
      <c r="A1587" s="467">
        <v>40024</v>
      </c>
      <c r="B1587" s="468">
        <v>4.8466425123143475E-2</v>
      </c>
      <c r="C1587" s="468">
        <v>8.7846731192328775E-2</v>
      </c>
      <c r="D1587" s="469">
        <v>9.6247047551767828E-2</v>
      </c>
      <c r="G1587" s="470"/>
      <c r="H1587" s="471"/>
    </row>
    <row r="1588" spans="1:8" x14ac:dyDescent="0.35">
      <c r="A1588" s="467">
        <v>40028</v>
      </c>
      <c r="B1588" s="468">
        <v>4.7088610244460094E-2</v>
      </c>
      <c r="C1588" s="468">
        <v>8.6192990397119473E-2</v>
      </c>
      <c r="D1588" s="469">
        <v>9.5675592547215693E-2</v>
      </c>
      <c r="G1588" s="470"/>
      <c r="H1588" s="471"/>
    </row>
    <row r="1589" spans="1:8" x14ac:dyDescent="0.35">
      <c r="A1589" s="467">
        <v>40029</v>
      </c>
      <c r="B1589" s="468">
        <v>4.7761923996587408E-2</v>
      </c>
      <c r="C1589" s="468">
        <v>8.6591927005388092E-2</v>
      </c>
      <c r="D1589" s="469">
        <v>9.5981080526770013E-2</v>
      </c>
      <c r="G1589" s="470"/>
      <c r="H1589" s="471"/>
    </row>
    <row r="1590" spans="1:8" x14ac:dyDescent="0.35">
      <c r="A1590" s="467">
        <v>40030</v>
      </c>
      <c r="B1590" s="468">
        <v>4.8014090772642071E-2</v>
      </c>
      <c r="C1590" s="468">
        <v>8.7208094416543647E-2</v>
      </c>
      <c r="D1590" s="469">
        <v>9.7226415049302295E-2</v>
      </c>
      <c r="G1590" s="470"/>
      <c r="H1590" s="471"/>
    </row>
    <row r="1591" spans="1:8" x14ac:dyDescent="0.35">
      <c r="A1591" s="467">
        <v>40031</v>
      </c>
      <c r="B1591" s="468">
        <v>4.807382401239968E-2</v>
      </c>
      <c r="C1591" s="468">
        <v>8.673132499410241E-2</v>
      </c>
      <c r="D1591" s="469">
        <v>9.7095983298328914E-2</v>
      </c>
      <c r="G1591" s="470"/>
      <c r="H1591" s="471"/>
    </row>
    <row r="1592" spans="1:8" x14ac:dyDescent="0.35">
      <c r="A1592" s="467">
        <v>40035</v>
      </c>
      <c r="B1592" s="468">
        <v>4.8946705473747798E-2</v>
      </c>
      <c r="C1592" s="468">
        <v>8.820516595369865E-2</v>
      </c>
      <c r="D1592" s="469">
        <v>9.8194553591750999E-2</v>
      </c>
      <c r="G1592" s="470"/>
      <c r="H1592" s="471"/>
    </row>
    <row r="1593" spans="1:8" x14ac:dyDescent="0.35">
      <c r="A1593" s="467">
        <v>40036</v>
      </c>
      <c r="B1593" s="468">
        <v>4.8907334014454573E-2</v>
      </c>
      <c r="C1593" s="468">
        <v>8.7905633807540129E-2</v>
      </c>
      <c r="D1593" s="469">
        <v>9.8088840660757626E-2</v>
      </c>
      <c r="G1593" s="470"/>
      <c r="H1593" s="471"/>
    </row>
    <row r="1594" spans="1:8" x14ac:dyDescent="0.35">
      <c r="A1594" s="467">
        <v>40037</v>
      </c>
      <c r="B1594" s="468">
        <v>4.861348548590505E-2</v>
      </c>
      <c r="C1594" s="468">
        <v>8.7703104089026818E-2</v>
      </c>
      <c r="D1594" s="469">
        <v>9.8391795771255453E-2</v>
      </c>
      <c r="G1594" s="470"/>
      <c r="H1594" s="471"/>
    </row>
    <row r="1595" spans="1:8" x14ac:dyDescent="0.35">
      <c r="A1595" s="467">
        <v>40038</v>
      </c>
      <c r="B1595" s="468">
        <v>4.8482658071394624E-2</v>
      </c>
      <c r="C1595" s="468">
        <v>8.7561373240063078E-2</v>
      </c>
      <c r="D1595" s="469">
        <v>9.8273058433567151E-2</v>
      </c>
      <c r="G1595" s="470"/>
      <c r="H1595" s="471"/>
    </row>
    <row r="1596" spans="1:8" x14ac:dyDescent="0.35">
      <c r="A1596" s="467">
        <v>40039</v>
      </c>
      <c r="B1596" s="468">
        <v>4.7987192071689888E-2</v>
      </c>
      <c r="C1596" s="468">
        <v>8.714193630330791E-2</v>
      </c>
      <c r="D1596" s="469">
        <v>9.8968822393402434E-2</v>
      </c>
      <c r="G1596" s="470"/>
      <c r="H1596" s="471"/>
    </row>
    <row r="1597" spans="1:8" x14ac:dyDescent="0.35">
      <c r="A1597" s="467">
        <v>40043</v>
      </c>
      <c r="B1597" s="468">
        <v>4.8695222998275778E-2</v>
      </c>
      <c r="C1597" s="468">
        <v>8.7835944831283763E-2</v>
      </c>
      <c r="D1597" s="469">
        <v>0.10018520235683903</v>
      </c>
      <c r="G1597" s="470"/>
      <c r="H1597" s="471"/>
    </row>
    <row r="1598" spans="1:8" x14ac:dyDescent="0.35">
      <c r="A1598" s="467">
        <v>40044</v>
      </c>
      <c r="B1598" s="468">
        <v>4.8669269976621354E-2</v>
      </c>
      <c r="C1598" s="468">
        <v>8.9337843766891689E-2</v>
      </c>
      <c r="D1598" s="469">
        <v>0.10211443695144329</v>
      </c>
      <c r="G1598" s="470"/>
      <c r="H1598" s="471"/>
    </row>
    <row r="1599" spans="1:8" x14ac:dyDescent="0.35">
      <c r="A1599" s="467">
        <v>40045</v>
      </c>
      <c r="B1599" s="468">
        <v>4.8778245517996588E-2</v>
      </c>
      <c r="C1599" s="468">
        <v>8.851396998329597E-2</v>
      </c>
      <c r="D1599" s="469">
        <v>0.10113895920687543</v>
      </c>
      <c r="G1599" s="470"/>
      <c r="H1599" s="471"/>
    </row>
    <row r="1600" spans="1:8" x14ac:dyDescent="0.35">
      <c r="A1600" s="467">
        <v>40046</v>
      </c>
      <c r="B1600" s="468">
        <v>4.9018423744867867E-2</v>
      </c>
      <c r="C1600" s="468">
        <v>8.9579995413648472E-2</v>
      </c>
      <c r="D1600" s="469">
        <v>0.1020114660335758</v>
      </c>
      <c r="G1600" s="470"/>
      <c r="H1600" s="471"/>
    </row>
    <row r="1601" spans="1:8" x14ac:dyDescent="0.35">
      <c r="A1601" s="467">
        <v>40049</v>
      </c>
      <c r="B1601" s="468">
        <v>4.8575541194064931E-2</v>
      </c>
      <c r="C1601" s="468">
        <v>8.843424361348351E-2</v>
      </c>
      <c r="D1601" s="469">
        <v>0.10206140233818739</v>
      </c>
      <c r="G1601" s="470"/>
      <c r="H1601" s="471"/>
    </row>
    <row r="1602" spans="1:8" x14ac:dyDescent="0.35">
      <c r="A1602" s="467">
        <v>40050</v>
      </c>
      <c r="B1602" s="468">
        <v>4.8678424630583805E-2</v>
      </c>
      <c r="C1602" s="468">
        <v>8.9796881992530775E-2</v>
      </c>
      <c r="D1602" s="469">
        <v>0.10223867182481161</v>
      </c>
      <c r="G1602" s="470"/>
      <c r="H1602" s="471"/>
    </row>
    <row r="1603" spans="1:8" x14ac:dyDescent="0.35">
      <c r="A1603" s="467">
        <v>40051</v>
      </c>
      <c r="B1603" s="468">
        <v>4.8793497958491416E-2</v>
      </c>
      <c r="C1603" s="468">
        <v>8.9320175482821229E-2</v>
      </c>
      <c r="D1603" s="469">
        <v>0.10298334455604197</v>
      </c>
      <c r="G1603" s="470"/>
      <c r="H1603" s="471"/>
    </row>
    <row r="1604" spans="1:8" x14ac:dyDescent="0.35">
      <c r="A1604" s="467">
        <v>40052</v>
      </c>
      <c r="B1604" s="468">
        <v>4.8742372750658625E-2</v>
      </c>
      <c r="C1604" s="468">
        <v>8.894110647244502E-2</v>
      </c>
      <c r="D1604" s="469">
        <v>0.10217855368599826</v>
      </c>
      <c r="G1604" s="470"/>
      <c r="H1604" s="471"/>
    </row>
    <row r="1605" spans="1:8" x14ac:dyDescent="0.35">
      <c r="A1605" s="467">
        <v>40053</v>
      </c>
      <c r="B1605" s="468">
        <v>4.8690889685566896E-2</v>
      </c>
      <c r="C1605" s="468">
        <v>8.9419589299543079E-2</v>
      </c>
      <c r="D1605" s="469">
        <v>0.10196873852415078</v>
      </c>
      <c r="G1605" s="470"/>
      <c r="H1605" s="471"/>
    </row>
    <row r="1606" spans="1:8" x14ac:dyDescent="0.35">
      <c r="A1606" s="467">
        <v>40056</v>
      </c>
      <c r="B1606" s="468">
        <v>4.8916358805850102E-2</v>
      </c>
      <c r="C1606" s="468">
        <v>8.9581343964696414E-2</v>
      </c>
      <c r="D1606" s="469">
        <v>0.10254283698414524</v>
      </c>
      <c r="G1606" s="470"/>
      <c r="H1606" s="471"/>
    </row>
    <row r="1607" spans="1:8" x14ac:dyDescent="0.35">
      <c r="A1607" s="467">
        <v>40057</v>
      </c>
      <c r="B1607" s="468">
        <v>4.911233084161637E-2</v>
      </c>
      <c r="C1607" s="468">
        <v>8.9669733650265426E-2</v>
      </c>
      <c r="D1607" s="469">
        <v>0.10228273158611789</v>
      </c>
      <c r="G1607" s="470"/>
      <c r="H1607" s="471"/>
    </row>
    <row r="1608" spans="1:8" x14ac:dyDescent="0.35">
      <c r="A1608" s="467">
        <v>40059</v>
      </c>
      <c r="B1608" s="468">
        <v>4.9204475223344257E-2</v>
      </c>
      <c r="C1608" s="468">
        <v>8.9171316216210217E-2</v>
      </c>
      <c r="D1608" s="469">
        <v>0.10073734220022068</v>
      </c>
      <c r="G1608" s="470"/>
      <c r="H1608" s="471"/>
    </row>
    <row r="1609" spans="1:8" x14ac:dyDescent="0.35">
      <c r="A1609" s="467">
        <v>40060</v>
      </c>
      <c r="B1609" s="468">
        <v>4.9758182535283746E-2</v>
      </c>
      <c r="C1609" s="468">
        <v>8.8103358770917906E-2</v>
      </c>
      <c r="D1609" s="469">
        <v>0.10015127694102066</v>
      </c>
      <c r="G1609" s="470"/>
      <c r="H1609" s="471"/>
    </row>
    <row r="1610" spans="1:8" x14ac:dyDescent="0.35">
      <c r="A1610" s="467">
        <v>40063</v>
      </c>
      <c r="B1610" s="468">
        <v>5.0078307057413118E-2</v>
      </c>
      <c r="C1610" s="468">
        <v>8.7788137033990576E-2</v>
      </c>
      <c r="D1610" s="469">
        <v>0.10043214980205906</v>
      </c>
      <c r="G1610" s="470"/>
      <c r="H1610" s="471"/>
    </row>
    <row r="1611" spans="1:8" x14ac:dyDescent="0.35">
      <c r="A1611" s="467">
        <v>40064</v>
      </c>
      <c r="B1611" s="468">
        <v>5.031083781420409E-2</v>
      </c>
      <c r="C1611" s="468">
        <v>8.8893602203724109E-2</v>
      </c>
      <c r="D1611" s="469">
        <v>0.10050727593064912</v>
      </c>
      <c r="G1611" s="470"/>
      <c r="H1611" s="471"/>
    </row>
    <row r="1612" spans="1:8" x14ac:dyDescent="0.35">
      <c r="A1612" s="467">
        <v>40065</v>
      </c>
      <c r="B1612" s="468">
        <v>5.0250352357073425E-2</v>
      </c>
      <c r="C1612" s="468">
        <v>8.8991266371772904E-2</v>
      </c>
      <c r="D1612" s="469">
        <v>0.1025380129265987</v>
      </c>
      <c r="G1612" s="470"/>
      <c r="H1612" s="471"/>
    </row>
    <row r="1613" spans="1:8" x14ac:dyDescent="0.35">
      <c r="A1613" s="467">
        <v>40066</v>
      </c>
      <c r="B1613" s="468">
        <v>5.0715848847817213E-2</v>
      </c>
      <c r="C1613" s="468">
        <v>8.9545921856507116E-2</v>
      </c>
      <c r="D1613" s="469">
        <v>0.10211528961656624</v>
      </c>
      <c r="G1613" s="470"/>
      <c r="H1613" s="471"/>
    </row>
    <row r="1614" spans="1:8" x14ac:dyDescent="0.35">
      <c r="A1614" s="467">
        <v>40067</v>
      </c>
      <c r="B1614" s="468">
        <v>4.4611301075522469E-2</v>
      </c>
      <c r="C1614" s="468">
        <v>9.0695878547227382E-2</v>
      </c>
      <c r="D1614" s="469">
        <v>0.10055230887350719</v>
      </c>
      <c r="G1614" s="470"/>
      <c r="H1614" s="471"/>
    </row>
    <row r="1615" spans="1:8" x14ac:dyDescent="0.35">
      <c r="A1615" s="467">
        <v>40070</v>
      </c>
      <c r="B1615" s="468">
        <v>5.076404339964502E-2</v>
      </c>
      <c r="C1615" s="468">
        <v>8.8880032325310721E-2</v>
      </c>
      <c r="D1615" s="469">
        <v>0.10245588393459748</v>
      </c>
      <c r="G1615" s="470"/>
      <c r="H1615" s="471"/>
    </row>
    <row r="1616" spans="1:8" x14ac:dyDescent="0.35">
      <c r="A1616" s="467">
        <v>40071</v>
      </c>
      <c r="B1616" s="468">
        <v>5.0210394619319976E-2</v>
      </c>
      <c r="C1616" s="468">
        <v>8.9449541629920137E-2</v>
      </c>
      <c r="D1616" s="469">
        <v>0.10350047637692383</v>
      </c>
      <c r="G1616" s="470"/>
      <c r="H1616" s="471"/>
    </row>
    <row r="1617" spans="1:8" x14ac:dyDescent="0.35">
      <c r="A1617" s="467">
        <v>40072</v>
      </c>
      <c r="B1617" s="468">
        <v>5.066451857792198E-2</v>
      </c>
      <c r="C1617" s="468">
        <v>8.9906321827113445E-2</v>
      </c>
      <c r="D1617" s="469">
        <v>0.10269655037500991</v>
      </c>
      <c r="G1617" s="470"/>
      <c r="H1617" s="471"/>
    </row>
    <row r="1618" spans="1:8" x14ac:dyDescent="0.35">
      <c r="A1618" s="467">
        <v>40073</v>
      </c>
      <c r="B1618" s="468">
        <v>4.5642390505703734E-2</v>
      </c>
      <c r="C1618" s="468">
        <v>9.0917315430648626E-2</v>
      </c>
      <c r="D1618" s="469">
        <v>0.10016056602565127</v>
      </c>
      <c r="G1618" s="470"/>
      <c r="H1618" s="471"/>
    </row>
    <row r="1619" spans="1:8" x14ac:dyDescent="0.35">
      <c r="A1619" s="467">
        <v>40074</v>
      </c>
      <c r="B1619" s="468">
        <v>5.076959811927173E-2</v>
      </c>
      <c r="C1619" s="468">
        <v>8.8901570100543781E-2</v>
      </c>
      <c r="D1619" s="469">
        <v>0.10036560125279115</v>
      </c>
      <c r="G1619" s="470"/>
      <c r="H1619" s="471"/>
    </row>
    <row r="1620" spans="1:8" x14ac:dyDescent="0.35">
      <c r="A1620" s="467">
        <v>40077</v>
      </c>
      <c r="B1620" s="468">
        <v>5.1027614147473255E-2</v>
      </c>
      <c r="C1620" s="468">
        <v>8.8951581301944138E-2</v>
      </c>
      <c r="D1620" s="469">
        <v>0.10046982013109029</v>
      </c>
      <c r="G1620" s="470"/>
      <c r="H1620" s="471"/>
    </row>
    <row r="1621" spans="1:8" x14ac:dyDescent="0.35">
      <c r="A1621" s="467">
        <v>40078</v>
      </c>
      <c r="B1621" s="468">
        <v>5.1003340427906885E-2</v>
      </c>
      <c r="C1621" s="468">
        <v>8.8465668537750508E-2</v>
      </c>
      <c r="D1621" s="469">
        <v>9.9309138023801147E-2</v>
      </c>
      <c r="G1621" s="470"/>
      <c r="H1621" s="471"/>
    </row>
    <row r="1622" spans="1:8" x14ac:dyDescent="0.35">
      <c r="A1622" s="467">
        <v>40079</v>
      </c>
      <c r="B1622" s="468">
        <v>5.1292614784514967E-2</v>
      </c>
      <c r="C1622" s="468">
        <v>8.8757391327155988E-2</v>
      </c>
      <c r="D1622" s="469">
        <v>9.9644266226373457E-2</v>
      </c>
      <c r="G1622" s="470"/>
      <c r="H1622" s="471"/>
    </row>
    <row r="1623" spans="1:8" x14ac:dyDescent="0.35">
      <c r="A1623" s="467">
        <v>40080</v>
      </c>
      <c r="B1623" s="468">
        <v>5.1395928817480563E-2</v>
      </c>
      <c r="C1623" s="468">
        <v>8.8190838236847924E-2</v>
      </c>
      <c r="D1623" s="469">
        <v>9.881656172396136E-2</v>
      </c>
      <c r="G1623" s="470"/>
      <c r="H1623" s="471"/>
    </row>
    <row r="1624" spans="1:8" x14ac:dyDescent="0.35">
      <c r="A1624" s="467">
        <v>40081</v>
      </c>
      <c r="B1624" s="468">
        <v>5.0887510836406191E-2</v>
      </c>
      <c r="C1624" s="468">
        <v>8.8040085457491868E-2</v>
      </c>
      <c r="D1624" s="469">
        <v>9.8663244207177092E-2</v>
      </c>
      <c r="G1624" s="470"/>
      <c r="H1624" s="471"/>
    </row>
    <row r="1625" spans="1:8" x14ac:dyDescent="0.35">
      <c r="A1625" s="467">
        <v>40084</v>
      </c>
      <c r="B1625" s="468">
        <v>4.7223445084495719E-2</v>
      </c>
      <c r="C1625" s="468">
        <v>8.6506407394661089E-2</v>
      </c>
      <c r="D1625" s="469">
        <v>9.7388216522026561E-2</v>
      </c>
      <c r="G1625" s="470"/>
      <c r="H1625" s="471"/>
    </row>
    <row r="1626" spans="1:8" x14ac:dyDescent="0.35">
      <c r="A1626" s="467">
        <v>40085</v>
      </c>
      <c r="B1626" s="468">
        <v>4.7509894051292578E-2</v>
      </c>
      <c r="C1626" s="468">
        <v>8.610565245518309E-2</v>
      </c>
      <c r="D1626" s="469">
        <v>9.6676282325788288E-2</v>
      </c>
      <c r="G1626" s="470"/>
      <c r="H1626" s="471"/>
    </row>
    <row r="1627" spans="1:8" x14ac:dyDescent="0.35">
      <c r="A1627" s="467">
        <v>40086</v>
      </c>
      <c r="B1627" s="468">
        <v>4.7137250011819676E-2</v>
      </c>
      <c r="C1627" s="468">
        <v>8.5878959453877579E-2</v>
      </c>
      <c r="D1627" s="469">
        <v>9.6837947591773332E-2</v>
      </c>
      <c r="G1627" s="470"/>
      <c r="H1627" s="471"/>
    </row>
    <row r="1628" spans="1:8" x14ac:dyDescent="0.35">
      <c r="A1628" s="467">
        <v>40087</v>
      </c>
      <c r="B1628" s="468">
        <v>4.7870108230614328E-2</v>
      </c>
      <c r="C1628" s="468">
        <v>8.4787954072079952E-2</v>
      </c>
      <c r="D1628" s="469">
        <v>9.6514675095240143E-2</v>
      </c>
      <c r="G1628" s="470"/>
      <c r="H1628" s="471"/>
    </row>
    <row r="1629" spans="1:8" x14ac:dyDescent="0.35">
      <c r="A1629" s="467">
        <v>40088</v>
      </c>
      <c r="B1629" s="468">
        <v>4.7334253495813217E-2</v>
      </c>
      <c r="C1629" s="468">
        <v>8.5169740856199327E-2</v>
      </c>
      <c r="D1629" s="469">
        <v>9.6539098394942346E-2</v>
      </c>
      <c r="G1629" s="470"/>
      <c r="H1629" s="471"/>
    </row>
    <row r="1630" spans="1:8" x14ac:dyDescent="0.35">
      <c r="A1630" s="467">
        <v>40091</v>
      </c>
      <c r="B1630" s="468">
        <v>4.74639176871956E-2</v>
      </c>
      <c r="C1630" s="468">
        <v>8.5101499518282608E-2</v>
      </c>
      <c r="D1630" s="469">
        <v>9.6183353385943304E-2</v>
      </c>
      <c r="G1630" s="470"/>
      <c r="H1630" s="471"/>
    </row>
    <row r="1631" spans="1:8" x14ac:dyDescent="0.35">
      <c r="A1631" s="467">
        <v>40092</v>
      </c>
      <c r="B1631" s="468">
        <v>4.9972655873580241E-2</v>
      </c>
      <c r="C1631" s="468">
        <v>8.3496635017551446E-2</v>
      </c>
      <c r="D1631" s="469">
        <v>9.5314026140907337E-2</v>
      </c>
      <c r="G1631" s="470"/>
      <c r="H1631" s="471"/>
    </row>
    <row r="1632" spans="1:8" x14ac:dyDescent="0.35">
      <c r="A1632" s="467">
        <v>40093</v>
      </c>
      <c r="B1632" s="468">
        <v>4.673485165179847E-2</v>
      </c>
      <c r="C1632" s="468">
        <v>8.405692539067422E-2</v>
      </c>
      <c r="D1632" s="469">
        <v>9.5395494689900939E-2</v>
      </c>
      <c r="G1632" s="470"/>
      <c r="H1632" s="471"/>
    </row>
    <row r="1633" spans="1:8" x14ac:dyDescent="0.35">
      <c r="A1633" s="467">
        <v>40094</v>
      </c>
      <c r="B1633" s="468">
        <v>4.7249932814900086E-2</v>
      </c>
      <c r="C1633" s="468">
        <v>8.4349736029104561E-2</v>
      </c>
      <c r="D1633" s="469">
        <v>9.4685111268038247E-2</v>
      </c>
      <c r="G1633" s="470"/>
      <c r="H1633" s="471"/>
    </row>
    <row r="1634" spans="1:8" x14ac:dyDescent="0.35">
      <c r="A1634" s="467">
        <v>40095</v>
      </c>
      <c r="B1634" s="468">
        <v>4.6991514748036201E-2</v>
      </c>
      <c r="C1634" s="468">
        <v>8.420158756107976E-2</v>
      </c>
      <c r="D1634" s="469">
        <v>9.5264250005602458E-2</v>
      </c>
      <c r="G1634" s="470"/>
      <c r="H1634" s="471"/>
    </row>
    <row r="1635" spans="1:8" x14ac:dyDescent="0.35">
      <c r="A1635" s="467">
        <v>40099</v>
      </c>
      <c r="B1635" s="468">
        <v>4.708569636092097E-2</v>
      </c>
      <c r="C1635" s="468">
        <v>8.4389593334368351E-2</v>
      </c>
      <c r="D1635" s="469">
        <v>9.5215021164430702E-2</v>
      </c>
      <c r="G1635" s="470"/>
      <c r="H1635" s="471"/>
    </row>
    <row r="1636" spans="1:8" x14ac:dyDescent="0.35">
      <c r="A1636" s="467">
        <v>40100</v>
      </c>
      <c r="B1636" s="468">
        <v>4.6961900395304568E-2</v>
      </c>
      <c r="C1636" s="468">
        <v>8.3800128568750853E-2</v>
      </c>
      <c r="D1636" s="469">
        <v>9.4345151940962158E-2</v>
      </c>
      <c r="G1636" s="470"/>
      <c r="H1636" s="471"/>
    </row>
    <row r="1637" spans="1:8" x14ac:dyDescent="0.35">
      <c r="A1637" s="467">
        <v>40101</v>
      </c>
      <c r="B1637" s="468">
        <v>4.6708707293547036E-2</v>
      </c>
      <c r="C1637" s="468">
        <v>8.3432115547819263E-2</v>
      </c>
      <c r="D1637" s="469">
        <v>9.4479518799961193E-2</v>
      </c>
      <c r="G1637" s="470"/>
      <c r="H1637" s="471"/>
    </row>
    <row r="1638" spans="1:8" x14ac:dyDescent="0.35">
      <c r="A1638" s="467">
        <v>40102</v>
      </c>
      <c r="B1638" s="468">
        <v>4.720615767023606E-2</v>
      </c>
      <c r="C1638" s="468">
        <v>8.3515605003109616E-2</v>
      </c>
      <c r="D1638" s="469">
        <v>9.3986206347790091E-2</v>
      </c>
      <c r="G1638" s="470"/>
      <c r="H1638" s="471"/>
    </row>
    <row r="1639" spans="1:8" x14ac:dyDescent="0.35">
      <c r="A1639" s="467">
        <v>40105</v>
      </c>
      <c r="B1639" s="468">
        <v>4.6529355560863683E-2</v>
      </c>
      <c r="C1639" s="468">
        <v>8.1797001888597398E-2</v>
      </c>
      <c r="D1639" s="469">
        <v>9.2985214499814006E-2</v>
      </c>
      <c r="G1639" s="470"/>
      <c r="H1639" s="471"/>
    </row>
    <row r="1640" spans="1:8" x14ac:dyDescent="0.35">
      <c r="A1640" s="467">
        <v>40106</v>
      </c>
      <c r="B1640" s="468">
        <v>4.6690728801981107E-2</v>
      </c>
      <c r="C1640" s="468">
        <v>8.3189203356535346E-2</v>
      </c>
      <c r="D1640" s="469">
        <v>9.3655563523507679E-2</v>
      </c>
      <c r="G1640" s="470"/>
      <c r="H1640" s="471"/>
    </row>
    <row r="1641" spans="1:8" x14ac:dyDescent="0.35">
      <c r="A1641" s="467">
        <v>40107</v>
      </c>
      <c r="B1641" s="468">
        <v>4.7009102298253058E-2</v>
      </c>
      <c r="C1641" s="468">
        <v>8.3711552814534684E-2</v>
      </c>
      <c r="D1641" s="469">
        <v>9.3088532908878641E-2</v>
      </c>
      <c r="G1641" s="470"/>
      <c r="H1641" s="471"/>
    </row>
    <row r="1642" spans="1:8" x14ac:dyDescent="0.35">
      <c r="A1642" s="467">
        <v>40108</v>
      </c>
      <c r="B1642" s="468">
        <v>4.7304780787125633E-2</v>
      </c>
      <c r="C1642" s="468">
        <v>8.240611890237437E-2</v>
      </c>
      <c r="D1642" s="469">
        <v>9.2963545168464057E-2</v>
      </c>
      <c r="G1642" s="470"/>
      <c r="H1642" s="471"/>
    </row>
    <row r="1643" spans="1:8" x14ac:dyDescent="0.35">
      <c r="A1643" s="467">
        <v>40109</v>
      </c>
      <c r="B1643" s="468">
        <v>4.6600354162122493E-2</v>
      </c>
      <c r="C1643" s="468">
        <v>8.2489094550173503E-2</v>
      </c>
      <c r="D1643" s="469">
        <v>9.2352088318706116E-2</v>
      </c>
      <c r="G1643" s="470"/>
      <c r="H1643" s="471"/>
    </row>
    <row r="1644" spans="1:8" x14ac:dyDescent="0.35">
      <c r="A1644" s="467">
        <v>40112</v>
      </c>
      <c r="B1644" s="468">
        <v>4.6945125672672949E-2</v>
      </c>
      <c r="C1644" s="468">
        <v>8.0144603830914374E-2</v>
      </c>
      <c r="D1644" s="469">
        <v>9.0834751871136099E-2</v>
      </c>
      <c r="G1644" s="470"/>
      <c r="H1644" s="471"/>
    </row>
    <row r="1645" spans="1:8" x14ac:dyDescent="0.35">
      <c r="A1645" s="467">
        <v>40113</v>
      </c>
      <c r="B1645" s="468">
        <v>4.6086085125062404E-2</v>
      </c>
      <c r="C1645" s="468">
        <v>7.9070081131362269E-2</v>
      </c>
      <c r="D1645" s="469">
        <v>9.0845727919067532E-2</v>
      </c>
      <c r="G1645" s="470"/>
      <c r="H1645" s="471"/>
    </row>
    <row r="1646" spans="1:8" x14ac:dyDescent="0.35">
      <c r="A1646" s="467">
        <v>40114</v>
      </c>
      <c r="B1646" s="468">
        <v>4.6863293522498628E-2</v>
      </c>
      <c r="C1646" s="468">
        <v>7.917546079613702E-2</v>
      </c>
      <c r="D1646" s="469">
        <v>9.0404972121373994E-2</v>
      </c>
      <c r="G1646" s="470"/>
      <c r="H1646" s="471"/>
    </row>
    <row r="1647" spans="1:8" x14ac:dyDescent="0.35">
      <c r="A1647" s="467">
        <v>40115</v>
      </c>
      <c r="B1647" s="468">
        <v>4.6478937699883538E-2</v>
      </c>
      <c r="C1647" s="468">
        <v>7.8188083613354165E-2</v>
      </c>
      <c r="D1647" s="469">
        <v>8.9867549776929678E-2</v>
      </c>
      <c r="G1647" s="470"/>
      <c r="H1647" s="471"/>
    </row>
    <row r="1648" spans="1:8" x14ac:dyDescent="0.35">
      <c r="A1648" s="467">
        <v>40116</v>
      </c>
      <c r="B1648" s="468">
        <v>4.6698689555230377E-2</v>
      </c>
      <c r="C1648" s="468">
        <v>7.7465496337196793E-2</v>
      </c>
      <c r="D1648" s="469">
        <v>8.9773926393385661E-2</v>
      </c>
      <c r="G1648" s="470"/>
      <c r="H1648" s="471"/>
    </row>
    <row r="1649" spans="1:8" x14ac:dyDescent="0.35">
      <c r="A1649" s="467">
        <v>40120</v>
      </c>
      <c r="B1649" s="468">
        <v>4.2736087179433557E-2</v>
      </c>
      <c r="C1649" s="468">
        <v>7.7725236153809663E-2</v>
      </c>
      <c r="D1649" s="469">
        <v>8.8592887831069556E-2</v>
      </c>
      <c r="G1649" s="470"/>
      <c r="H1649" s="471"/>
    </row>
    <row r="1650" spans="1:8" x14ac:dyDescent="0.35">
      <c r="A1650" s="467">
        <v>40121</v>
      </c>
      <c r="B1650" s="468">
        <v>4.5083911902757068E-2</v>
      </c>
      <c r="C1650" s="468">
        <v>7.5829639754535938E-2</v>
      </c>
      <c r="D1650" s="469">
        <v>8.841681831276782E-2</v>
      </c>
      <c r="G1650" s="470"/>
      <c r="H1650" s="471"/>
    </row>
    <row r="1651" spans="1:8" x14ac:dyDescent="0.35">
      <c r="A1651" s="467">
        <v>40122</v>
      </c>
      <c r="B1651" s="468">
        <v>4.2651489231546824E-2</v>
      </c>
      <c r="C1651" s="468">
        <v>7.7282908486568713E-2</v>
      </c>
      <c r="D1651" s="469">
        <v>8.7834588842802042E-2</v>
      </c>
      <c r="G1651" s="470"/>
      <c r="H1651" s="471"/>
    </row>
    <row r="1652" spans="1:8" x14ac:dyDescent="0.35">
      <c r="A1652" s="467">
        <v>40123</v>
      </c>
      <c r="B1652" s="468">
        <v>4.5142757692638869E-2</v>
      </c>
      <c r="C1652" s="468">
        <v>7.4089655905344998E-2</v>
      </c>
      <c r="D1652" s="469">
        <v>8.7069895226668637E-2</v>
      </c>
      <c r="G1652" s="470"/>
      <c r="H1652" s="471"/>
    </row>
    <row r="1653" spans="1:8" x14ac:dyDescent="0.35">
      <c r="A1653" s="467">
        <v>40126</v>
      </c>
      <c r="B1653" s="468">
        <v>4.4188099150727966E-2</v>
      </c>
      <c r="C1653" s="468">
        <v>7.4436167434245304E-2</v>
      </c>
      <c r="D1653" s="469">
        <v>8.7310481657579597E-2</v>
      </c>
      <c r="G1653" s="470"/>
      <c r="H1653" s="471"/>
    </row>
    <row r="1654" spans="1:8" x14ac:dyDescent="0.35">
      <c r="A1654" s="467">
        <v>40127</v>
      </c>
      <c r="B1654" s="468">
        <v>4.4379928613992314E-2</v>
      </c>
      <c r="C1654" s="468">
        <v>7.3542518919075262E-2</v>
      </c>
      <c r="D1654" s="469">
        <v>8.6526210289266103E-2</v>
      </c>
      <c r="G1654" s="470"/>
      <c r="H1654" s="471"/>
    </row>
    <row r="1655" spans="1:8" x14ac:dyDescent="0.35">
      <c r="A1655" s="467">
        <v>40128</v>
      </c>
      <c r="B1655" s="468">
        <v>4.4645864105342215E-2</v>
      </c>
      <c r="C1655" s="468">
        <v>7.2427171196930207E-2</v>
      </c>
      <c r="D1655" s="469">
        <v>8.6063639451177121E-2</v>
      </c>
      <c r="G1655" s="470"/>
      <c r="H1655" s="471"/>
    </row>
    <row r="1656" spans="1:8" x14ac:dyDescent="0.35">
      <c r="A1656" s="467">
        <v>40129</v>
      </c>
      <c r="B1656" s="468">
        <v>4.2906271350386938E-2</v>
      </c>
      <c r="C1656" s="468">
        <v>7.1442737877772222E-2</v>
      </c>
      <c r="D1656" s="469">
        <v>8.599826991293158E-2</v>
      </c>
      <c r="G1656" s="470"/>
      <c r="H1656" s="471"/>
    </row>
    <row r="1657" spans="1:8" x14ac:dyDescent="0.35">
      <c r="A1657" s="467">
        <v>40130</v>
      </c>
      <c r="B1657" s="468">
        <v>4.2270936699850381E-2</v>
      </c>
      <c r="C1657" s="468">
        <v>7.054105498333052E-2</v>
      </c>
      <c r="D1657" s="469">
        <v>8.4831364401042997E-2</v>
      </c>
      <c r="G1657" s="470"/>
      <c r="H1657" s="471"/>
    </row>
    <row r="1658" spans="1:8" x14ac:dyDescent="0.35">
      <c r="A1658" s="467">
        <v>40134</v>
      </c>
      <c r="B1658" s="468">
        <v>4.3715719755566207E-2</v>
      </c>
      <c r="C1658" s="468">
        <v>7.2826313356580963E-2</v>
      </c>
      <c r="D1658" s="469">
        <v>8.6071934484139856E-2</v>
      </c>
      <c r="G1658" s="470"/>
      <c r="H1658" s="471"/>
    </row>
    <row r="1659" spans="1:8" x14ac:dyDescent="0.35">
      <c r="A1659" s="467">
        <v>40135</v>
      </c>
      <c r="B1659" s="468">
        <v>4.3657981481043162E-2</v>
      </c>
      <c r="C1659" s="468">
        <v>7.2928686984917501E-2</v>
      </c>
      <c r="D1659" s="469">
        <v>8.6522714839633696E-2</v>
      </c>
      <c r="G1659" s="470"/>
      <c r="H1659" s="471"/>
    </row>
    <row r="1660" spans="1:8" x14ac:dyDescent="0.35">
      <c r="A1660" s="467">
        <v>40136</v>
      </c>
      <c r="B1660" s="468">
        <v>4.3351596758697708E-2</v>
      </c>
      <c r="C1660" s="468">
        <v>7.2799404001945289E-2</v>
      </c>
      <c r="D1660" s="469">
        <v>8.6207398283791647E-2</v>
      </c>
      <c r="G1660" s="470"/>
      <c r="H1660" s="471"/>
    </row>
    <row r="1661" spans="1:8" x14ac:dyDescent="0.35">
      <c r="A1661" s="467">
        <v>40137</v>
      </c>
      <c r="B1661" s="468">
        <v>4.255614394976015E-2</v>
      </c>
      <c r="C1661" s="468">
        <v>7.1612486591795532E-2</v>
      </c>
      <c r="D1661" s="469">
        <v>8.5771946165350332E-2</v>
      </c>
      <c r="G1661" s="470"/>
      <c r="H1661" s="471"/>
    </row>
    <row r="1662" spans="1:8" x14ac:dyDescent="0.35">
      <c r="A1662" s="467">
        <v>40136</v>
      </c>
      <c r="B1662" s="468">
        <v>4.3351596758697708E-2</v>
      </c>
      <c r="C1662" s="468">
        <v>7.2799404001945289E-2</v>
      </c>
      <c r="D1662" s="469">
        <v>8.6207398283791647E-2</v>
      </c>
      <c r="G1662" s="470"/>
      <c r="H1662" s="471"/>
    </row>
    <row r="1663" spans="1:8" x14ac:dyDescent="0.35">
      <c r="A1663" s="467">
        <v>40137</v>
      </c>
      <c r="B1663" s="468">
        <v>4.255614394976015E-2</v>
      </c>
      <c r="C1663" s="468">
        <v>7.1612486591795532E-2</v>
      </c>
      <c r="D1663" s="469">
        <v>8.5771946165350332E-2</v>
      </c>
      <c r="G1663" s="470"/>
      <c r="H1663" s="471"/>
    </row>
    <row r="1664" spans="1:8" x14ac:dyDescent="0.35">
      <c r="A1664" s="467">
        <v>40140</v>
      </c>
      <c r="B1664" s="468">
        <v>3.7334621137564028E-2</v>
      </c>
      <c r="C1664" s="468">
        <v>7.2776216436673868E-2</v>
      </c>
      <c r="D1664" s="469">
        <v>8.5885272233096499E-2</v>
      </c>
      <c r="G1664" s="470"/>
      <c r="H1664" s="471"/>
    </row>
    <row r="1665" spans="1:8" x14ac:dyDescent="0.35">
      <c r="A1665" s="467">
        <v>40141</v>
      </c>
      <c r="B1665" s="468">
        <v>3.8954410053382071E-2</v>
      </c>
      <c r="C1665" s="468">
        <v>7.0639990295106925E-2</v>
      </c>
      <c r="D1665" s="469">
        <v>8.4019160066693521E-2</v>
      </c>
      <c r="G1665" s="470"/>
      <c r="H1665" s="471"/>
    </row>
    <row r="1666" spans="1:8" x14ac:dyDescent="0.35">
      <c r="A1666" s="467">
        <v>40142</v>
      </c>
      <c r="B1666" s="468">
        <v>3.4088996939680927E-2</v>
      </c>
      <c r="C1666" s="468">
        <v>6.9910471918905426E-2</v>
      </c>
      <c r="D1666" s="469">
        <v>8.4213890558786586E-2</v>
      </c>
      <c r="G1666" s="470"/>
      <c r="H1666" s="471"/>
    </row>
    <row r="1667" spans="1:8" x14ac:dyDescent="0.35">
      <c r="A1667" s="467">
        <v>40143</v>
      </c>
      <c r="B1667" s="468">
        <v>3.7601684486301634E-2</v>
      </c>
      <c r="C1667" s="468">
        <v>6.7572720076352066E-2</v>
      </c>
      <c r="D1667" s="469">
        <v>8.4041103075874757E-2</v>
      </c>
      <c r="G1667" s="470"/>
      <c r="H1667" s="471"/>
    </row>
    <row r="1668" spans="1:8" x14ac:dyDescent="0.35">
      <c r="A1668" s="467">
        <v>40144</v>
      </c>
      <c r="B1668" s="468">
        <v>3.3716336711468564E-2</v>
      </c>
      <c r="C1668" s="468">
        <v>7.0542660549354874E-2</v>
      </c>
      <c r="D1668" s="469">
        <v>8.4434450011396489E-2</v>
      </c>
      <c r="G1668" s="470"/>
      <c r="H1668" s="471"/>
    </row>
    <row r="1669" spans="1:8" x14ac:dyDescent="0.35">
      <c r="A1669" s="467">
        <v>40147</v>
      </c>
      <c r="B1669" s="468">
        <v>3.7947260349566525E-2</v>
      </c>
      <c r="C1669" s="468">
        <v>6.8888250410477303E-2</v>
      </c>
      <c r="D1669" s="469">
        <v>8.420680533449576E-2</v>
      </c>
      <c r="G1669" s="470"/>
      <c r="H1669" s="471"/>
    </row>
    <row r="1670" spans="1:8" x14ac:dyDescent="0.35">
      <c r="A1670" s="467">
        <v>40148</v>
      </c>
      <c r="B1670" s="468">
        <v>3.7515698442239787E-2</v>
      </c>
      <c r="C1670" s="468">
        <v>6.7879755780375861E-2</v>
      </c>
      <c r="D1670" s="469">
        <v>8.3745541432004078E-2</v>
      </c>
      <c r="G1670" s="470"/>
      <c r="H1670" s="471"/>
    </row>
    <row r="1671" spans="1:8" x14ac:dyDescent="0.35">
      <c r="A1671" s="467">
        <v>40149</v>
      </c>
      <c r="B1671" s="468">
        <v>3.820428473392945E-2</v>
      </c>
      <c r="C1671" s="468">
        <v>6.8075217860232407E-2</v>
      </c>
      <c r="D1671" s="469">
        <v>8.3986890462381281E-2</v>
      </c>
      <c r="G1671" s="470"/>
      <c r="H1671" s="471"/>
    </row>
    <row r="1672" spans="1:8" x14ac:dyDescent="0.35">
      <c r="A1672" s="467">
        <v>40150</v>
      </c>
      <c r="B1672" s="468">
        <v>3.667141980837485E-2</v>
      </c>
      <c r="C1672" s="468">
        <v>6.9737432628713236E-2</v>
      </c>
      <c r="D1672" s="469">
        <v>8.2585848068401191E-2</v>
      </c>
      <c r="G1672" s="470"/>
      <c r="H1672" s="471"/>
    </row>
    <row r="1673" spans="1:8" x14ac:dyDescent="0.35">
      <c r="A1673" s="467">
        <v>40151</v>
      </c>
      <c r="B1673" s="468">
        <v>4.0944851289957285E-2</v>
      </c>
      <c r="C1673" s="468">
        <v>7.138175849782713E-2</v>
      </c>
      <c r="D1673" s="469">
        <v>8.6031668734266153E-2</v>
      </c>
      <c r="G1673" s="470"/>
      <c r="H1673" s="471"/>
    </row>
    <row r="1674" spans="1:8" x14ac:dyDescent="0.35">
      <c r="A1674" s="467">
        <v>40154</v>
      </c>
      <c r="B1674" s="468">
        <v>4.0729052113388065E-2</v>
      </c>
      <c r="C1674" s="468">
        <v>7.0468447447407323E-2</v>
      </c>
      <c r="D1674" s="469">
        <v>8.6733827274487751E-2</v>
      </c>
      <c r="G1674" s="470"/>
      <c r="H1674" s="471"/>
    </row>
    <row r="1675" spans="1:8" x14ac:dyDescent="0.35">
      <c r="A1675" s="467">
        <v>40156</v>
      </c>
      <c r="B1675" s="468">
        <v>3.8069123068969812E-2</v>
      </c>
      <c r="C1675" s="468">
        <v>7.2275434526086091E-2</v>
      </c>
      <c r="D1675" s="469">
        <v>8.6755820732252742E-2</v>
      </c>
      <c r="G1675" s="470"/>
      <c r="H1675" s="471"/>
    </row>
    <row r="1676" spans="1:8" x14ac:dyDescent="0.35">
      <c r="A1676" s="467">
        <v>40157</v>
      </c>
      <c r="B1676" s="468">
        <v>3.7747680337678169E-2</v>
      </c>
      <c r="C1676" s="468">
        <v>7.1207087043402284E-2</v>
      </c>
      <c r="D1676" s="469">
        <v>8.3882142360112821E-2</v>
      </c>
      <c r="G1676" s="470"/>
      <c r="H1676" s="471"/>
    </row>
    <row r="1677" spans="1:8" x14ac:dyDescent="0.35">
      <c r="A1677" s="467">
        <v>40158</v>
      </c>
      <c r="B1677" s="468">
        <v>3.728348218047528E-2</v>
      </c>
      <c r="C1677" s="468">
        <v>7.145624145799867E-2</v>
      </c>
      <c r="D1677" s="469">
        <v>8.5834625879490201E-2</v>
      </c>
      <c r="G1677" s="470"/>
      <c r="H1677" s="471"/>
    </row>
    <row r="1678" spans="1:8" x14ac:dyDescent="0.35">
      <c r="A1678" s="467">
        <v>40161</v>
      </c>
      <c r="B1678" s="468">
        <v>3.6585004341363803E-2</v>
      </c>
      <c r="C1678" s="468">
        <v>7.0958743020292481E-2</v>
      </c>
      <c r="D1678" s="469">
        <v>8.5675984176226239E-2</v>
      </c>
      <c r="G1678" s="470"/>
      <c r="H1678" s="471"/>
    </row>
    <row r="1679" spans="1:8" x14ac:dyDescent="0.35">
      <c r="A1679" s="467">
        <v>40162</v>
      </c>
      <c r="B1679" s="468">
        <v>4.025978140287978E-2</v>
      </c>
      <c r="C1679" s="468">
        <v>7.0856605933864891E-2</v>
      </c>
      <c r="D1679" s="469">
        <v>8.6733871130890927E-2</v>
      </c>
      <c r="G1679" s="470"/>
      <c r="H1679" s="471"/>
    </row>
    <row r="1680" spans="1:8" x14ac:dyDescent="0.35">
      <c r="A1680" s="467">
        <v>40163</v>
      </c>
      <c r="B1680" s="468">
        <v>3.6676670263033229E-2</v>
      </c>
      <c r="C1680" s="468">
        <v>7.1843988116433888E-2</v>
      </c>
      <c r="D1680" s="469">
        <v>8.6936438402474225E-2</v>
      </c>
      <c r="G1680" s="470"/>
      <c r="H1680" s="471"/>
    </row>
    <row r="1681" spans="1:8" x14ac:dyDescent="0.35">
      <c r="A1681" s="467">
        <v>40164</v>
      </c>
      <c r="B1681" s="468">
        <v>3.6788902591828654E-2</v>
      </c>
      <c r="C1681" s="468">
        <v>7.2604250612318344E-2</v>
      </c>
      <c r="D1681" s="469">
        <v>8.6907353670395704E-2</v>
      </c>
      <c r="G1681" s="470"/>
      <c r="H1681" s="471"/>
    </row>
    <row r="1682" spans="1:8" x14ac:dyDescent="0.35">
      <c r="A1682" s="467">
        <v>40165</v>
      </c>
      <c r="B1682" s="468">
        <v>3.9680033898265687E-2</v>
      </c>
      <c r="C1682" s="468">
        <v>7.1494815178503979E-2</v>
      </c>
      <c r="D1682" s="469">
        <v>8.8457163934576588E-2</v>
      </c>
      <c r="G1682" s="470"/>
      <c r="H1682" s="471"/>
    </row>
    <row r="1683" spans="1:8" x14ac:dyDescent="0.35">
      <c r="A1683" s="467">
        <v>40168</v>
      </c>
      <c r="B1683" s="468">
        <v>4.0871969062791003E-2</v>
      </c>
      <c r="C1683" s="468">
        <v>7.3610591959332838E-2</v>
      </c>
      <c r="D1683" s="469">
        <v>9.098288751237904E-2</v>
      </c>
      <c r="G1683" s="470"/>
      <c r="H1683" s="471"/>
    </row>
    <row r="1684" spans="1:8" x14ac:dyDescent="0.35">
      <c r="A1684" s="467">
        <v>40169</v>
      </c>
      <c r="B1684" s="468">
        <v>4.1484631759685753E-2</v>
      </c>
      <c r="C1684" s="468">
        <v>7.2034317182477992E-2</v>
      </c>
      <c r="D1684" s="469">
        <v>8.9133281326739366E-2</v>
      </c>
      <c r="G1684" s="470"/>
      <c r="H1684" s="471"/>
    </row>
    <row r="1685" spans="1:8" x14ac:dyDescent="0.35">
      <c r="A1685" s="467">
        <v>40170</v>
      </c>
      <c r="B1685" s="468">
        <v>4.1589328706477247E-2</v>
      </c>
      <c r="C1685" s="468">
        <v>7.2778015014805852E-2</v>
      </c>
      <c r="D1685" s="469">
        <v>9.0166223292925896E-2</v>
      </c>
      <c r="G1685" s="470"/>
      <c r="H1685" s="471"/>
    </row>
    <row r="1686" spans="1:8" x14ac:dyDescent="0.35">
      <c r="A1686" s="467">
        <v>40171</v>
      </c>
      <c r="B1686" s="468">
        <v>4.1881563857939064E-2</v>
      </c>
      <c r="C1686" s="468">
        <v>7.1415080856333635E-2</v>
      </c>
      <c r="D1686" s="469">
        <v>8.8089388652744738E-2</v>
      </c>
      <c r="G1686" s="470"/>
      <c r="H1686" s="471"/>
    </row>
    <row r="1687" spans="1:8" x14ac:dyDescent="0.35">
      <c r="A1687" s="467">
        <v>40175</v>
      </c>
      <c r="B1687" s="468">
        <v>4.2001229370488335E-2</v>
      </c>
      <c r="C1687" s="468">
        <v>7.2079054111179541E-2</v>
      </c>
      <c r="D1687" s="469">
        <v>8.8909951058786518E-2</v>
      </c>
      <c r="G1687" s="470"/>
      <c r="H1687" s="471"/>
    </row>
    <row r="1688" spans="1:8" x14ac:dyDescent="0.35">
      <c r="A1688" s="467">
        <v>40176</v>
      </c>
      <c r="B1688" s="468">
        <v>4.1944228810930184E-2</v>
      </c>
      <c r="C1688" s="468">
        <v>7.2215625678866635E-2</v>
      </c>
      <c r="D1688" s="469">
        <v>8.9170559254815096E-2</v>
      </c>
      <c r="G1688" s="470"/>
      <c r="H1688" s="471"/>
    </row>
    <row r="1689" spans="1:8" x14ac:dyDescent="0.35">
      <c r="A1689" s="467">
        <v>40177</v>
      </c>
      <c r="B1689" s="468">
        <v>4.1001971301196205E-2</v>
      </c>
      <c r="C1689" s="468">
        <v>7.2826503472340987E-2</v>
      </c>
      <c r="D1689" s="469">
        <v>9.0421302263826941E-2</v>
      </c>
      <c r="G1689" s="470"/>
      <c r="H1689" s="471"/>
    </row>
    <row r="1690" spans="1:8" x14ac:dyDescent="0.35">
      <c r="A1690" s="467">
        <v>40182</v>
      </c>
      <c r="B1690" s="468">
        <v>4.1652691584760593E-2</v>
      </c>
      <c r="C1690" s="468">
        <v>7.3243829365161162E-2</v>
      </c>
      <c r="D1690" s="469">
        <v>9.1235772922668268E-2</v>
      </c>
      <c r="G1690" s="470"/>
      <c r="H1690" s="471"/>
    </row>
    <row r="1691" spans="1:8" x14ac:dyDescent="0.35">
      <c r="A1691" s="467">
        <v>40183</v>
      </c>
      <c r="B1691" s="468">
        <v>4.1582136243080825E-2</v>
      </c>
      <c r="C1691" s="468">
        <v>7.3417817559684684E-2</v>
      </c>
      <c r="D1691" s="469">
        <v>9.0587207809472936E-2</v>
      </c>
      <c r="G1691" s="470"/>
      <c r="H1691" s="471"/>
    </row>
    <row r="1692" spans="1:8" x14ac:dyDescent="0.35">
      <c r="A1692" s="467">
        <v>40184</v>
      </c>
      <c r="B1692" s="468">
        <v>4.1424547886089291E-2</v>
      </c>
      <c r="C1692" s="468">
        <v>7.3342314447843782E-2</v>
      </c>
      <c r="D1692" s="469">
        <v>9.051117017307897E-2</v>
      </c>
      <c r="G1692" s="470"/>
      <c r="H1692" s="471"/>
    </row>
    <row r="1693" spans="1:8" x14ac:dyDescent="0.35">
      <c r="A1693" s="467">
        <v>40185</v>
      </c>
      <c r="B1693" s="468">
        <v>4.3469431847089401E-2</v>
      </c>
      <c r="C1693" s="468">
        <v>7.6236737134621091E-2</v>
      </c>
      <c r="D1693" s="469">
        <v>9.1854776071028876E-2</v>
      </c>
      <c r="G1693" s="470"/>
      <c r="H1693" s="471"/>
    </row>
    <row r="1694" spans="1:8" x14ac:dyDescent="0.35">
      <c r="A1694" s="467">
        <v>40186</v>
      </c>
      <c r="B1694" s="468">
        <v>4.3230390054564749E-2</v>
      </c>
      <c r="C1694" s="468">
        <v>7.5494667463693377E-2</v>
      </c>
      <c r="D1694" s="469">
        <v>9.0935848542540887E-2</v>
      </c>
      <c r="G1694" s="470"/>
      <c r="H1694" s="471"/>
    </row>
    <row r="1695" spans="1:8" x14ac:dyDescent="0.35">
      <c r="A1695" s="467">
        <v>40190</v>
      </c>
      <c r="B1695" s="468">
        <v>4.3907775785256176E-2</v>
      </c>
      <c r="C1695" s="468">
        <v>7.7150655185517669E-2</v>
      </c>
      <c r="D1695" s="469">
        <v>9.0507437731993656E-2</v>
      </c>
      <c r="G1695" s="470"/>
      <c r="H1695" s="471"/>
    </row>
    <row r="1696" spans="1:8" x14ac:dyDescent="0.35">
      <c r="A1696" s="467">
        <v>40191</v>
      </c>
      <c r="B1696" s="468">
        <v>4.6086597236955074E-2</v>
      </c>
      <c r="C1696" s="468">
        <v>7.9285533769131611E-2</v>
      </c>
      <c r="D1696" s="469">
        <v>9.331387682957315E-2</v>
      </c>
      <c r="G1696" s="470"/>
      <c r="H1696" s="471"/>
    </row>
    <row r="1697" spans="1:8" x14ac:dyDescent="0.35">
      <c r="A1697" s="467">
        <v>40192</v>
      </c>
      <c r="B1697" s="468">
        <v>4.7379587481485741E-2</v>
      </c>
      <c r="C1697" s="468">
        <v>8.0467756978798377E-2</v>
      </c>
      <c r="D1697" s="469">
        <v>9.2574860339327936E-2</v>
      </c>
      <c r="G1697" s="470"/>
      <c r="H1697" s="471"/>
    </row>
    <row r="1698" spans="1:8" x14ac:dyDescent="0.35">
      <c r="A1698" s="467">
        <v>40193</v>
      </c>
      <c r="B1698" s="468">
        <v>4.691823619899993E-2</v>
      </c>
      <c r="C1698" s="468">
        <v>8.1815265628170319E-2</v>
      </c>
      <c r="D1698" s="469">
        <v>9.3741986031082192E-2</v>
      </c>
      <c r="G1698" s="470"/>
      <c r="H1698" s="471"/>
    </row>
    <row r="1699" spans="1:8" x14ac:dyDescent="0.35">
      <c r="A1699" s="467">
        <v>40196</v>
      </c>
      <c r="B1699" s="468">
        <v>4.6407915883394546E-2</v>
      </c>
      <c r="C1699" s="468">
        <v>8.025466725994912E-2</v>
      </c>
      <c r="D1699" s="469">
        <v>9.2495304584032212E-2</v>
      </c>
      <c r="G1699" s="470"/>
      <c r="H1699" s="471"/>
    </row>
    <row r="1700" spans="1:8" x14ac:dyDescent="0.35">
      <c r="A1700" s="467">
        <v>40197</v>
      </c>
      <c r="B1700" s="468">
        <v>4.6276329273636785E-2</v>
      </c>
      <c r="C1700" s="468">
        <v>7.9548015423258622E-2</v>
      </c>
      <c r="D1700" s="469">
        <v>9.1609944446070291E-2</v>
      </c>
      <c r="G1700" s="470"/>
      <c r="H1700" s="471"/>
    </row>
    <row r="1701" spans="1:8" x14ac:dyDescent="0.35">
      <c r="A1701" s="467">
        <v>40198</v>
      </c>
      <c r="B1701" s="468">
        <v>4.6981282375406774E-2</v>
      </c>
      <c r="C1701" s="468">
        <v>8.0282969028072415E-2</v>
      </c>
      <c r="D1701" s="469">
        <v>9.176540897206853E-2</v>
      </c>
      <c r="G1701" s="470"/>
      <c r="H1701" s="471"/>
    </row>
    <row r="1702" spans="1:8" x14ac:dyDescent="0.35">
      <c r="A1702" s="467">
        <v>40199</v>
      </c>
      <c r="B1702" s="468">
        <v>4.7836571892114321E-2</v>
      </c>
      <c r="C1702" s="468">
        <v>8.0402458621068984E-2</v>
      </c>
      <c r="D1702" s="469">
        <v>9.0739612125771751E-2</v>
      </c>
      <c r="G1702" s="470"/>
      <c r="H1702" s="471"/>
    </row>
    <row r="1703" spans="1:8" x14ac:dyDescent="0.35">
      <c r="A1703" s="467">
        <v>40200</v>
      </c>
      <c r="B1703" s="468">
        <v>4.6911154791832388E-2</v>
      </c>
      <c r="C1703" s="468">
        <v>7.9489141745620273E-2</v>
      </c>
      <c r="D1703" s="469">
        <v>9.0379325538953115E-2</v>
      </c>
      <c r="G1703" s="470"/>
      <c r="H1703" s="471"/>
    </row>
    <row r="1704" spans="1:8" x14ac:dyDescent="0.35">
      <c r="A1704" s="467">
        <v>40203</v>
      </c>
      <c r="B1704" s="468">
        <v>4.5279072764205175E-2</v>
      </c>
      <c r="C1704" s="468">
        <v>7.9569680361150974E-2</v>
      </c>
      <c r="D1704" s="469">
        <v>8.8765692634191318E-2</v>
      </c>
      <c r="G1704" s="470"/>
      <c r="H1704" s="471"/>
    </row>
    <row r="1705" spans="1:8" x14ac:dyDescent="0.35">
      <c r="A1705" s="467">
        <v>40204</v>
      </c>
      <c r="B1705" s="468">
        <v>4.734021573534819E-2</v>
      </c>
      <c r="C1705" s="468">
        <v>7.9664798464446296E-2</v>
      </c>
      <c r="D1705" s="469">
        <v>8.9849733184185432E-2</v>
      </c>
      <c r="G1705" s="470"/>
      <c r="H1705" s="471"/>
    </row>
    <row r="1706" spans="1:8" x14ac:dyDescent="0.35">
      <c r="A1706" s="467">
        <v>40205</v>
      </c>
      <c r="B1706" s="468">
        <v>4.7260883332917336E-2</v>
      </c>
      <c r="C1706" s="468">
        <v>8.101255249005801E-2</v>
      </c>
      <c r="D1706" s="469">
        <v>9.2240359264548433E-2</v>
      </c>
      <c r="G1706" s="470"/>
      <c r="H1706" s="471"/>
    </row>
    <row r="1707" spans="1:8" x14ac:dyDescent="0.35">
      <c r="A1707" s="467">
        <v>40206</v>
      </c>
      <c r="B1707" s="468">
        <v>4.7897964003987381E-2</v>
      </c>
      <c r="C1707" s="468">
        <v>8.1878464923988092E-2</v>
      </c>
      <c r="D1707" s="469">
        <v>9.3062683253698264E-2</v>
      </c>
      <c r="G1707" s="470"/>
      <c r="H1707" s="471"/>
    </row>
    <row r="1708" spans="1:8" x14ac:dyDescent="0.35">
      <c r="A1708" s="467">
        <v>40207</v>
      </c>
      <c r="B1708" s="468">
        <v>4.7422907065996389E-2</v>
      </c>
      <c r="C1708" s="468">
        <v>8.1877553447885054E-2</v>
      </c>
      <c r="D1708" s="469">
        <v>9.3269702097023455E-2</v>
      </c>
      <c r="G1708" s="470"/>
      <c r="H1708" s="471"/>
    </row>
    <row r="1709" spans="1:8" x14ac:dyDescent="0.35">
      <c r="A1709" s="467">
        <v>40210</v>
      </c>
      <c r="B1709" s="468">
        <v>4.8028564021959985E-2</v>
      </c>
      <c r="C1709" s="468">
        <v>8.3010111054713676E-2</v>
      </c>
      <c r="D1709" s="469">
        <v>9.3622409702263099E-2</v>
      </c>
      <c r="G1709" s="470"/>
      <c r="H1709" s="471"/>
    </row>
    <row r="1710" spans="1:8" x14ac:dyDescent="0.35">
      <c r="A1710" s="467">
        <v>40211</v>
      </c>
      <c r="B1710" s="468">
        <v>4.7866103769945489E-2</v>
      </c>
      <c r="C1710" s="468">
        <v>8.4373236019007702E-2</v>
      </c>
      <c r="D1710" s="469">
        <v>9.5128541577621961E-2</v>
      </c>
      <c r="G1710" s="470"/>
      <c r="H1710" s="471"/>
    </row>
    <row r="1711" spans="1:8" x14ac:dyDescent="0.35">
      <c r="A1711" s="467">
        <v>40212</v>
      </c>
      <c r="B1711" s="468">
        <v>4.5738022336734518E-2</v>
      </c>
      <c r="C1711" s="468">
        <v>8.314744089926962E-2</v>
      </c>
      <c r="D1711" s="469">
        <v>9.3635984887552315E-2</v>
      </c>
      <c r="G1711" s="470"/>
      <c r="H1711" s="471"/>
    </row>
    <row r="1712" spans="1:8" x14ac:dyDescent="0.35">
      <c r="A1712" s="467">
        <v>40213</v>
      </c>
      <c r="B1712" s="468">
        <v>4.8381194482326917E-2</v>
      </c>
      <c r="C1712" s="468">
        <v>8.4756934950747986E-2</v>
      </c>
      <c r="D1712" s="469">
        <v>9.5746991443008911E-2</v>
      </c>
      <c r="G1712" s="470"/>
      <c r="H1712" s="471"/>
    </row>
    <row r="1713" spans="1:8" x14ac:dyDescent="0.35">
      <c r="A1713" s="467">
        <v>40214</v>
      </c>
      <c r="B1713" s="468">
        <v>4.7152321987584234E-2</v>
      </c>
      <c r="C1713" s="468">
        <v>8.482493834978766E-2</v>
      </c>
      <c r="D1713" s="469">
        <v>9.5253290317849348E-2</v>
      </c>
      <c r="G1713" s="470"/>
      <c r="H1713" s="471"/>
    </row>
    <row r="1714" spans="1:8" x14ac:dyDescent="0.35">
      <c r="A1714" s="467">
        <v>40217</v>
      </c>
      <c r="B1714" s="468">
        <v>4.4391878677275454E-2</v>
      </c>
      <c r="C1714" s="468">
        <v>8.3166080258576081E-2</v>
      </c>
      <c r="D1714" s="469">
        <v>9.3294847636775646E-2</v>
      </c>
      <c r="G1714" s="470"/>
      <c r="H1714" s="471"/>
    </row>
    <row r="1715" spans="1:8" x14ac:dyDescent="0.35">
      <c r="A1715" s="467">
        <v>40218</v>
      </c>
      <c r="B1715" s="468">
        <v>4.3607348604452145E-2</v>
      </c>
      <c r="C1715" s="468">
        <v>8.3523287842917071E-2</v>
      </c>
      <c r="D1715" s="469">
        <v>9.3149652539364691E-2</v>
      </c>
      <c r="G1715" s="470"/>
      <c r="H1715" s="471"/>
    </row>
    <row r="1716" spans="1:8" x14ac:dyDescent="0.35">
      <c r="A1716" s="467">
        <v>40219</v>
      </c>
      <c r="B1716" s="468">
        <v>4.6462403700499477E-2</v>
      </c>
      <c r="C1716" s="468">
        <v>8.3408986936790663E-2</v>
      </c>
      <c r="D1716" s="469">
        <v>9.4574576629924634E-2</v>
      </c>
      <c r="G1716" s="470"/>
      <c r="H1716" s="471"/>
    </row>
    <row r="1717" spans="1:8" x14ac:dyDescent="0.35">
      <c r="A1717" s="467">
        <v>40220</v>
      </c>
      <c r="B1717" s="468">
        <v>4.5139915855671564E-2</v>
      </c>
      <c r="C1717" s="468">
        <v>8.3281366926653444E-2</v>
      </c>
      <c r="D1717" s="469">
        <v>9.439433487970228E-2</v>
      </c>
      <c r="G1717" s="470"/>
      <c r="H1717" s="471"/>
    </row>
    <row r="1718" spans="1:8" x14ac:dyDescent="0.35">
      <c r="A1718" s="467">
        <v>40221</v>
      </c>
      <c r="B1718" s="468">
        <v>4.2303729032410642E-2</v>
      </c>
      <c r="C1718" s="468">
        <v>8.3257027164661102E-2</v>
      </c>
      <c r="D1718" s="469">
        <v>9.2555502628948183E-2</v>
      </c>
      <c r="G1718" s="470"/>
      <c r="H1718" s="471"/>
    </row>
    <row r="1719" spans="1:8" x14ac:dyDescent="0.35">
      <c r="A1719" s="467">
        <v>40224</v>
      </c>
      <c r="B1719" s="468">
        <v>4.2420892152724932E-2</v>
      </c>
      <c r="C1719" s="468">
        <v>8.3711917532754754E-2</v>
      </c>
      <c r="D1719" s="469">
        <v>9.331113875846242E-2</v>
      </c>
      <c r="G1719" s="470"/>
      <c r="H1719" s="471"/>
    </row>
    <row r="1720" spans="1:8" x14ac:dyDescent="0.35">
      <c r="A1720" s="467">
        <v>40225</v>
      </c>
      <c r="B1720" s="468">
        <v>4.3384721789293756E-2</v>
      </c>
      <c r="C1720" s="468">
        <v>8.5859201857345413E-2</v>
      </c>
      <c r="D1720" s="469">
        <v>9.5259040258019123E-2</v>
      </c>
      <c r="G1720" s="470"/>
      <c r="H1720" s="471"/>
    </row>
    <row r="1721" spans="1:8" x14ac:dyDescent="0.35">
      <c r="A1721" s="467">
        <v>40226</v>
      </c>
      <c r="B1721" s="468">
        <v>4.3389553529626035E-2</v>
      </c>
      <c r="C1721" s="468">
        <v>8.4199183488755436E-2</v>
      </c>
      <c r="D1721" s="469">
        <v>9.3903630629034396E-2</v>
      </c>
      <c r="G1721" s="470"/>
      <c r="H1721" s="471"/>
    </row>
    <row r="1722" spans="1:8" x14ac:dyDescent="0.35">
      <c r="A1722" s="467">
        <v>40227</v>
      </c>
      <c r="B1722" s="468">
        <v>4.2560100992068195E-2</v>
      </c>
      <c r="C1722" s="468">
        <v>8.4705881687601181E-2</v>
      </c>
      <c r="D1722" s="469">
        <v>9.4878294695891707E-2</v>
      </c>
      <c r="G1722" s="470"/>
      <c r="H1722" s="471"/>
    </row>
    <row r="1723" spans="1:8" x14ac:dyDescent="0.35">
      <c r="A1723" s="467">
        <v>40228</v>
      </c>
      <c r="B1723" s="468">
        <v>4.3178246883100346E-2</v>
      </c>
      <c r="C1723" s="468">
        <v>8.5103598450651852E-2</v>
      </c>
      <c r="D1723" s="469">
        <v>9.5776009010642094E-2</v>
      </c>
      <c r="G1723" s="470"/>
      <c r="H1723" s="471"/>
    </row>
    <row r="1724" spans="1:8" x14ac:dyDescent="0.35">
      <c r="A1724" s="467">
        <v>40231</v>
      </c>
      <c r="B1724" s="468">
        <v>4.2864007722795527E-2</v>
      </c>
      <c r="C1724" s="468">
        <v>8.5277499601073448E-2</v>
      </c>
      <c r="D1724" s="469">
        <v>9.6136759341880262E-2</v>
      </c>
      <c r="G1724" s="470"/>
      <c r="H1724" s="471"/>
    </row>
    <row r="1725" spans="1:8" x14ac:dyDescent="0.35">
      <c r="A1725" s="467">
        <v>40232</v>
      </c>
      <c r="B1725" s="468">
        <v>4.2973426070989529E-2</v>
      </c>
      <c r="C1725" s="468">
        <v>8.5816775664329548E-2</v>
      </c>
      <c r="D1725" s="469">
        <v>9.5894627272425703E-2</v>
      </c>
      <c r="G1725" s="470"/>
      <c r="H1725" s="471"/>
    </row>
    <row r="1726" spans="1:8" x14ac:dyDescent="0.35">
      <c r="A1726" s="467">
        <v>40233</v>
      </c>
      <c r="B1726" s="468">
        <v>4.1490005890733039E-2</v>
      </c>
      <c r="C1726" s="468">
        <v>8.5038384562324376E-2</v>
      </c>
      <c r="D1726" s="469">
        <v>9.540768854013959E-2</v>
      </c>
      <c r="G1726" s="470"/>
      <c r="H1726" s="471"/>
    </row>
    <row r="1727" spans="1:8" x14ac:dyDescent="0.35">
      <c r="A1727" s="467">
        <v>40234</v>
      </c>
      <c r="B1727" s="468">
        <v>4.0545562059077334E-2</v>
      </c>
      <c r="C1727" s="468">
        <v>8.579619371858116E-2</v>
      </c>
      <c r="D1727" s="469">
        <v>9.6190616657083838E-2</v>
      </c>
      <c r="G1727" s="470"/>
      <c r="H1727" s="471"/>
    </row>
    <row r="1728" spans="1:8" x14ac:dyDescent="0.35">
      <c r="A1728" s="467">
        <v>40235</v>
      </c>
      <c r="B1728" s="468">
        <v>4.1603176458542945E-2</v>
      </c>
      <c r="C1728" s="468">
        <v>8.5485225374596352E-2</v>
      </c>
      <c r="D1728" s="469">
        <v>9.5592556127989115E-2</v>
      </c>
      <c r="G1728" s="470"/>
      <c r="H1728" s="471"/>
    </row>
    <row r="1729" spans="1:8" x14ac:dyDescent="0.35">
      <c r="A1729" s="467">
        <v>40238</v>
      </c>
      <c r="B1729" s="468">
        <v>4.0692679941415122E-2</v>
      </c>
      <c r="C1729" s="468">
        <v>8.5148281359900935E-2</v>
      </c>
      <c r="D1729" s="469">
        <v>9.4722446425665741E-2</v>
      </c>
      <c r="G1729" s="470"/>
      <c r="H1729" s="471"/>
    </row>
    <row r="1730" spans="1:8" x14ac:dyDescent="0.35">
      <c r="A1730" s="467">
        <v>40239</v>
      </c>
      <c r="B1730" s="468">
        <v>4.0657501049443434E-2</v>
      </c>
      <c r="C1730" s="468">
        <v>8.4459541249338965E-2</v>
      </c>
      <c r="D1730" s="469">
        <v>9.4093289504227906E-2</v>
      </c>
      <c r="G1730" s="470"/>
      <c r="H1730" s="471"/>
    </row>
    <row r="1731" spans="1:8" x14ac:dyDescent="0.35">
      <c r="A1731" s="467">
        <v>40240</v>
      </c>
      <c r="B1731" s="468">
        <v>4.1465833681736841E-2</v>
      </c>
      <c r="C1731" s="468">
        <v>8.464076728571146E-2</v>
      </c>
      <c r="D1731" s="469">
        <v>9.3618300734320536E-2</v>
      </c>
      <c r="G1731" s="470"/>
      <c r="H1731" s="471"/>
    </row>
    <row r="1732" spans="1:8" x14ac:dyDescent="0.35">
      <c r="A1732" s="467">
        <v>40241</v>
      </c>
      <c r="B1732" s="468">
        <v>4.074132683998366E-2</v>
      </c>
      <c r="C1732" s="468">
        <v>8.525222010049549E-2</v>
      </c>
      <c r="D1732" s="469">
        <v>9.49729651843636E-2</v>
      </c>
      <c r="G1732" s="470"/>
      <c r="H1732" s="471"/>
    </row>
    <row r="1733" spans="1:8" x14ac:dyDescent="0.35">
      <c r="A1733" s="467">
        <v>40242</v>
      </c>
      <c r="B1733" s="468">
        <v>4.0630503763091408E-2</v>
      </c>
      <c r="C1733" s="468">
        <v>8.4170612066143846E-2</v>
      </c>
      <c r="D1733" s="469">
        <v>9.3527613743793925E-2</v>
      </c>
      <c r="G1733" s="470"/>
      <c r="H1733" s="471"/>
    </row>
    <row r="1734" spans="1:8" x14ac:dyDescent="0.35">
      <c r="A1734" s="467">
        <v>40245</v>
      </c>
      <c r="B1734" s="468">
        <v>4.0236972365751855E-2</v>
      </c>
      <c r="C1734" s="468">
        <v>8.4023639152195351E-2</v>
      </c>
      <c r="D1734" s="469">
        <v>9.3331364060740718E-2</v>
      </c>
      <c r="G1734" s="470"/>
      <c r="H1734" s="471"/>
    </row>
    <row r="1735" spans="1:8" x14ac:dyDescent="0.35">
      <c r="A1735" s="467">
        <v>40246</v>
      </c>
      <c r="B1735" s="468">
        <v>4.0693428844720714E-2</v>
      </c>
      <c r="C1735" s="468">
        <v>8.5060934593258697E-2</v>
      </c>
      <c r="D1735" s="469">
        <v>9.4548101440958598E-2</v>
      </c>
      <c r="G1735" s="470"/>
      <c r="H1735" s="471"/>
    </row>
    <row r="1736" spans="1:8" x14ac:dyDescent="0.35">
      <c r="A1736" s="467">
        <v>40247</v>
      </c>
      <c r="B1736" s="468">
        <v>4.1008655778541847E-2</v>
      </c>
      <c r="C1736" s="468">
        <v>8.5217015922906869E-2</v>
      </c>
      <c r="D1736" s="469">
        <v>9.4278707825805164E-2</v>
      </c>
      <c r="G1736" s="470"/>
      <c r="H1736" s="471"/>
    </row>
    <row r="1737" spans="1:8" x14ac:dyDescent="0.35">
      <c r="A1737" s="467">
        <v>40248</v>
      </c>
      <c r="B1737" s="468">
        <v>4.0895516741390248E-2</v>
      </c>
      <c r="C1737" s="468">
        <v>8.5111317643437934E-2</v>
      </c>
      <c r="D1737" s="469">
        <v>9.3659392497822846E-2</v>
      </c>
      <c r="G1737" s="470"/>
      <c r="H1737" s="471"/>
    </row>
    <row r="1738" spans="1:8" x14ac:dyDescent="0.35">
      <c r="A1738" s="467">
        <v>40249</v>
      </c>
      <c r="B1738" s="468">
        <v>4.0926116057233397E-2</v>
      </c>
      <c r="C1738" s="468">
        <v>8.4720727468792445E-2</v>
      </c>
      <c r="D1738" s="469">
        <v>9.3167723601300656E-2</v>
      </c>
      <c r="G1738" s="470"/>
      <c r="H1738" s="471"/>
    </row>
    <row r="1739" spans="1:8" x14ac:dyDescent="0.35">
      <c r="A1739" s="467">
        <v>40252</v>
      </c>
      <c r="B1739" s="468">
        <v>4.1315736975852557E-2</v>
      </c>
      <c r="C1739" s="468">
        <v>8.4907335882594026E-2</v>
      </c>
      <c r="D1739" s="469">
        <v>9.3076318461738694E-2</v>
      </c>
      <c r="G1739" s="470"/>
      <c r="H1739" s="471"/>
    </row>
    <row r="1740" spans="1:8" x14ac:dyDescent="0.35">
      <c r="A1740" s="467">
        <v>40253</v>
      </c>
      <c r="B1740" s="468">
        <v>4.2204006402775995E-2</v>
      </c>
      <c r="C1740" s="468">
        <v>8.3663339595907216E-2</v>
      </c>
      <c r="D1740" s="469">
        <v>9.243133304346185E-2</v>
      </c>
      <c r="G1740" s="470"/>
      <c r="H1740" s="471"/>
    </row>
    <row r="1741" spans="1:8" x14ac:dyDescent="0.35">
      <c r="A1741" s="467">
        <v>40254</v>
      </c>
      <c r="B1741" s="468">
        <v>4.2209751034656851E-2</v>
      </c>
      <c r="C1741" s="468">
        <v>8.3328703988084563E-2</v>
      </c>
      <c r="D1741" s="469">
        <v>9.19796533154984E-2</v>
      </c>
      <c r="G1741" s="470"/>
      <c r="H1741" s="471"/>
    </row>
    <row r="1742" spans="1:8" x14ac:dyDescent="0.35">
      <c r="A1742" s="467">
        <v>40255</v>
      </c>
      <c r="B1742" s="468">
        <v>4.350208369361086E-2</v>
      </c>
      <c r="C1742" s="468">
        <v>8.4018454242885676E-2</v>
      </c>
      <c r="D1742" s="469">
        <v>9.2688431284807526E-2</v>
      </c>
      <c r="G1742" s="470"/>
      <c r="H1742" s="471"/>
    </row>
    <row r="1743" spans="1:8" x14ac:dyDescent="0.35">
      <c r="A1743" s="467">
        <v>40256</v>
      </c>
      <c r="B1743" s="468">
        <v>4.4462425196418298E-2</v>
      </c>
      <c r="C1743" s="468">
        <v>8.3918849555175035E-2</v>
      </c>
      <c r="D1743" s="469">
        <v>9.2967339290342288E-2</v>
      </c>
      <c r="G1743" s="470"/>
      <c r="H1743" s="471"/>
    </row>
    <row r="1744" spans="1:8" x14ac:dyDescent="0.35">
      <c r="A1744" s="467">
        <v>40260</v>
      </c>
      <c r="B1744" s="468">
        <v>4.412913092644577E-2</v>
      </c>
      <c r="C1744" s="468">
        <v>8.3834523306623776E-2</v>
      </c>
      <c r="D1744" s="469">
        <v>9.271697457116157E-2</v>
      </c>
      <c r="G1744" s="470"/>
      <c r="H1744" s="471"/>
    </row>
    <row r="1745" spans="1:8" x14ac:dyDescent="0.35">
      <c r="A1745" s="467">
        <v>40261</v>
      </c>
      <c r="B1745" s="468">
        <v>4.3817154823721172E-2</v>
      </c>
      <c r="C1745" s="468">
        <v>8.3902721809170799E-2</v>
      </c>
      <c r="D1745" s="469">
        <v>9.2491395821985511E-2</v>
      </c>
      <c r="G1745" s="470"/>
      <c r="H1745" s="471"/>
    </row>
    <row r="1746" spans="1:8" x14ac:dyDescent="0.35">
      <c r="A1746" s="467">
        <v>40262</v>
      </c>
      <c r="B1746" s="468">
        <v>4.4180737772041789E-2</v>
      </c>
      <c r="C1746" s="468">
        <v>8.4055019809520459E-2</v>
      </c>
      <c r="D1746" s="469">
        <v>9.2754613518959861E-2</v>
      </c>
      <c r="G1746" s="470"/>
      <c r="H1746" s="471"/>
    </row>
    <row r="1747" spans="1:8" x14ac:dyDescent="0.35">
      <c r="A1747" s="467">
        <v>40263</v>
      </c>
      <c r="B1747" s="468">
        <v>4.4121307654497732E-2</v>
      </c>
      <c r="C1747" s="468">
        <v>8.4726280123945008E-2</v>
      </c>
      <c r="D1747" s="469">
        <v>9.3377046998604607E-2</v>
      </c>
      <c r="G1747" s="470"/>
      <c r="H1747" s="471"/>
    </row>
    <row r="1748" spans="1:8" x14ac:dyDescent="0.35">
      <c r="A1748" s="467">
        <v>40266</v>
      </c>
      <c r="B1748" s="468">
        <v>4.431715337016584E-2</v>
      </c>
      <c r="C1748" s="468">
        <v>8.4110555503587703E-2</v>
      </c>
      <c r="D1748" s="469">
        <v>9.2658507780918997E-2</v>
      </c>
      <c r="G1748" s="470"/>
      <c r="H1748" s="471"/>
    </row>
    <row r="1749" spans="1:8" x14ac:dyDescent="0.35">
      <c r="A1749" s="467">
        <v>40267</v>
      </c>
      <c r="B1749" s="468">
        <v>4.4510630310528931E-2</v>
      </c>
      <c r="C1749" s="468">
        <v>8.3912838083260999E-2</v>
      </c>
      <c r="D1749" s="469">
        <v>9.2680250535727149E-2</v>
      </c>
      <c r="G1749" s="470"/>
      <c r="H1749" s="471"/>
    </row>
    <row r="1750" spans="1:8" x14ac:dyDescent="0.35">
      <c r="A1750" s="467">
        <v>40268</v>
      </c>
      <c r="B1750" s="468">
        <v>4.4151913451319968E-2</v>
      </c>
      <c r="C1750" s="468">
        <v>8.4417025098727505E-2</v>
      </c>
      <c r="D1750" s="469">
        <v>9.3184917306477599E-2</v>
      </c>
      <c r="G1750" s="470"/>
      <c r="H1750" s="471"/>
    </row>
    <row r="1751" spans="1:8" x14ac:dyDescent="0.35">
      <c r="A1751" s="467">
        <v>40273</v>
      </c>
      <c r="B1751" s="468">
        <v>4.4249984928381503E-2</v>
      </c>
      <c r="C1751" s="468">
        <v>8.3974289037345606E-2</v>
      </c>
      <c r="D1751" s="469">
        <v>9.2461398499417369E-2</v>
      </c>
      <c r="G1751" s="470"/>
      <c r="H1751" s="471"/>
    </row>
    <row r="1752" spans="1:8" x14ac:dyDescent="0.35">
      <c r="A1752" s="467">
        <v>40274</v>
      </c>
      <c r="B1752" s="468">
        <v>4.3277959655740439E-2</v>
      </c>
      <c r="C1752" s="468">
        <v>8.2749363109966723E-2</v>
      </c>
      <c r="D1752" s="469">
        <v>9.099586230043144E-2</v>
      </c>
      <c r="G1752" s="470"/>
      <c r="H1752" s="471"/>
    </row>
    <row r="1753" spans="1:8" x14ac:dyDescent="0.35">
      <c r="A1753" s="467">
        <v>40275</v>
      </c>
      <c r="B1753" s="468">
        <v>4.3451824881468148E-2</v>
      </c>
      <c r="C1753" s="468">
        <v>8.1173846893777046E-2</v>
      </c>
      <c r="D1753" s="469">
        <v>8.9552184561199288E-2</v>
      </c>
      <c r="G1753" s="470"/>
      <c r="H1753" s="471"/>
    </row>
    <row r="1754" spans="1:8" x14ac:dyDescent="0.35">
      <c r="A1754" s="467">
        <v>40276</v>
      </c>
      <c r="B1754" s="468">
        <v>4.3004762832149268E-2</v>
      </c>
      <c r="C1754" s="468">
        <v>8.1690719902760112E-2</v>
      </c>
      <c r="D1754" s="469">
        <v>9.0376142980850727E-2</v>
      </c>
      <c r="G1754" s="470"/>
      <c r="H1754" s="471"/>
    </row>
    <row r="1755" spans="1:8" x14ac:dyDescent="0.35">
      <c r="A1755" s="467">
        <v>40277</v>
      </c>
      <c r="B1755" s="468">
        <v>4.3056412878440975E-2</v>
      </c>
      <c r="C1755" s="468">
        <v>8.0631893205450389E-2</v>
      </c>
      <c r="D1755" s="469">
        <v>8.9338297132151245E-2</v>
      </c>
      <c r="G1755" s="470"/>
      <c r="H1755" s="471"/>
    </row>
    <row r="1756" spans="1:8" x14ac:dyDescent="0.35">
      <c r="A1756" s="467">
        <v>40280</v>
      </c>
      <c r="B1756" s="468">
        <v>4.3069878975769083E-2</v>
      </c>
      <c r="C1756" s="468">
        <v>7.9766978480894091E-2</v>
      </c>
      <c r="D1756" s="469">
        <v>8.8895220368515604E-2</v>
      </c>
      <c r="G1756" s="470"/>
      <c r="H1756" s="471"/>
    </row>
    <row r="1757" spans="1:8" x14ac:dyDescent="0.35">
      <c r="A1757" s="467">
        <v>40281</v>
      </c>
      <c r="B1757" s="468">
        <v>4.3667678332383719E-2</v>
      </c>
      <c r="C1757" s="468">
        <v>8.0754112661969968E-2</v>
      </c>
      <c r="D1757" s="469">
        <v>8.9947118497202272E-2</v>
      </c>
      <c r="G1757" s="470"/>
      <c r="H1757" s="471"/>
    </row>
    <row r="1758" spans="1:8" x14ac:dyDescent="0.35">
      <c r="A1758" s="467">
        <v>40282</v>
      </c>
      <c r="B1758" s="468">
        <v>4.3614894869265841E-2</v>
      </c>
      <c r="C1758" s="468">
        <v>8.08320152757529E-2</v>
      </c>
      <c r="D1758" s="469">
        <v>8.9565367123445316E-2</v>
      </c>
      <c r="G1758" s="470"/>
      <c r="H1758" s="471"/>
    </row>
    <row r="1759" spans="1:8" x14ac:dyDescent="0.35">
      <c r="A1759" s="467">
        <v>40283</v>
      </c>
      <c r="B1759" s="468">
        <v>4.3483283816712737E-2</v>
      </c>
      <c r="C1759" s="468">
        <v>8.0319506107945804E-2</v>
      </c>
      <c r="D1759" s="469">
        <v>8.8983346452813805E-2</v>
      </c>
      <c r="G1759" s="470"/>
      <c r="H1759" s="471"/>
    </row>
    <row r="1760" spans="1:8" x14ac:dyDescent="0.35">
      <c r="A1760" s="467">
        <v>40284</v>
      </c>
      <c r="B1760" s="468">
        <v>4.4225572578589167E-2</v>
      </c>
      <c r="C1760" s="468">
        <v>8.0373901410156545E-2</v>
      </c>
      <c r="D1760" s="469">
        <v>8.8654522701884231E-2</v>
      </c>
      <c r="G1760" s="470"/>
      <c r="H1760" s="471"/>
    </row>
    <row r="1761" spans="1:8" x14ac:dyDescent="0.35">
      <c r="A1761" s="467">
        <v>40287</v>
      </c>
      <c r="B1761" s="468">
        <v>4.3924554819051664E-2</v>
      </c>
      <c r="C1761" s="468">
        <v>8.0448658390521954E-2</v>
      </c>
      <c r="D1761" s="469">
        <v>8.8499825840888668E-2</v>
      </c>
      <c r="G1761" s="470"/>
      <c r="H1761" s="471"/>
    </row>
    <row r="1762" spans="1:8" x14ac:dyDescent="0.35">
      <c r="A1762" s="467">
        <v>40288</v>
      </c>
      <c r="B1762" s="468">
        <v>4.4082182324448826E-2</v>
      </c>
      <c r="C1762" s="468">
        <v>7.9533022606302017E-2</v>
      </c>
      <c r="D1762" s="469">
        <v>8.7448555549567875E-2</v>
      </c>
      <c r="G1762" s="470"/>
      <c r="H1762" s="471"/>
    </row>
    <row r="1763" spans="1:8" x14ac:dyDescent="0.35">
      <c r="A1763" s="467">
        <v>40289</v>
      </c>
      <c r="B1763" s="468">
        <v>4.3097738622785986E-2</v>
      </c>
      <c r="C1763" s="468">
        <v>7.9871462848694286E-2</v>
      </c>
      <c r="D1763" s="469">
        <v>8.7628716395470541E-2</v>
      </c>
      <c r="G1763" s="470"/>
      <c r="H1763" s="471"/>
    </row>
    <row r="1764" spans="1:8" x14ac:dyDescent="0.35">
      <c r="A1764" s="467">
        <v>40290</v>
      </c>
      <c r="B1764" s="468">
        <v>4.3884799416701537E-2</v>
      </c>
      <c r="C1764" s="468">
        <v>7.9907377936676571E-2</v>
      </c>
      <c r="D1764" s="469">
        <v>8.7550253936637956E-2</v>
      </c>
      <c r="G1764" s="470"/>
      <c r="H1764" s="471"/>
    </row>
    <row r="1765" spans="1:8" x14ac:dyDescent="0.35">
      <c r="A1765" s="467">
        <v>40291</v>
      </c>
      <c r="B1765" s="468">
        <v>4.3465306563794659E-2</v>
      </c>
      <c r="C1765" s="468">
        <v>8.0513449833772954E-2</v>
      </c>
      <c r="D1765" s="469">
        <v>8.8120022967062894E-2</v>
      </c>
      <c r="G1765" s="470"/>
      <c r="H1765" s="471"/>
    </row>
    <row r="1766" spans="1:8" x14ac:dyDescent="0.35">
      <c r="A1766" s="467">
        <v>40294</v>
      </c>
      <c r="B1766" s="468">
        <v>4.2678591012795142E-2</v>
      </c>
      <c r="C1766" s="468">
        <v>8.0238418457749594E-2</v>
      </c>
      <c r="D1766" s="469">
        <v>8.8006031739108703E-2</v>
      </c>
      <c r="G1766" s="470"/>
      <c r="H1766" s="471"/>
    </row>
    <row r="1767" spans="1:8" x14ac:dyDescent="0.35">
      <c r="A1767" s="467">
        <v>40295</v>
      </c>
      <c r="B1767" s="468">
        <v>4.3512315657080691E-2</v>
      </c>
      <c r="C1767" s="468">
        <v>8.1068642772524013E-2</v>
      </c>
      <c r="D1767" s="469">
        <v>8.8908629388552818E-2</v>
      </c>
      <c r="G1767" s="470"/>
      <c r="H1767" s="471"/>
    </row>
    <row r="1768" spans="1:8" x14ac:dyDescent="0.35">
      <c r="A1768" s="467">
        <v>40296</v>
      </c>
      <c r="B1768" s="468">
        <v>4.4324076113099187E-2</v>
      </c>
      <c r="C1768" s="468">
        <v>8.1045765217588661E-2</v>
      </c>
      <c r="D1768" s="469">
        <v>8.8648488139523529E-2</v>
      </c>
      <c r="G1768" s="470"/>
      <c r="H1768" s="471"/>
    </row>
    <row r="1769" spans="1:8" x14ac:dyDescent="0.35">
      <c r="A1769" s="467">
        <v>40297</v>
      </c>
      <c r="B1769" s="468">
        <v>4.4690910990413002E-2</v>
      </c>
      <c r="C1769" s="468">
        <v>8.069533314318611E-2</v>
      </c>
      <c r="D1769" s="469">
        <v>8.7739579531992407E-2</v>
      </c>
      <c r="G1769" s="470"/>
      <c r="H1769" s="471"/>
    </row>
    <row r="1770" spans="1:8" x14ac:dyDescent="0.35">
      <c r="A1770" s="467">
        <v>40298</v>
      </c>
      <c r="B1770" s="468">
        <v>4.3976771947641602E-2</v>
      </c>
      <c r="C1770" s="468">
        <v>8.0995065995540738E-2</v>
      </c>
      <c r="D1770" s="469">
        <v>8.8371229243433325E-2</v>
      </c>
      <c r="G1770" s="470"/>
      <c r="H1770" s="471"/>
    </row>
    <row r="1771" spans="1:8" x14ac:dyDescent="0.35">
      <c r="A1771" s="467">
        <v>40301</v>
      </c>
      <c r="B1771" s="468">
        <v>4.0216502284220912E-2</v>
      </c>
      <c r="C1771" s="468">
        <v>7.7774120521032053E-2</v>
      </c>
      <c r="D1771" s="469">
        <v>8.4939600191784592E-2</v>
      </c>
      <c r="G1771" s="470"/>
      <c r="H1771" s="471"/>
    </row>
    <row r="1772" spans="1:8" x14ac:dyDescent="0.35">
      <c r="A1772" s="467">
        <v>40302</v>
      </c>
      <c r="B1772" s="468">
        <v>3.9559109469366582E-2</v>
      </c>
      <c r="C1772" s="468">
        <v>7.7515969759761383E-2</v>
      </c>
      <c r="D1772" s="469">
        <v>8.4528211482404192E-2</v>
      </c>
      <c r="G1772" s="470"/>
      <c r="H1772" s="471"/>
    </row>
    <row r="1773" spans="1:8" x14ac:dyDescent="0.35">
      <c r="A1773" s="467">
        <v>40303</v>
      </c>
      <c r="B1773" s="468">
        <v>3.9669459544077412E-2</v>
      </c>
      <c r="C1773" s="468">
        <v>7.8136832487605945E-2</v>
      </c>
      <c r="D1773" s="469">
        <v>8.5479055171901797E-2</v>
      </c>
      <c r="G1773" s="470"/>
      <c r="H1773" s="471"/>
    </row>
    <row r="1774" spans="1:8" x14ac:dyDescent="0.35">
      <c r="A1774" s="467">
        <v>40304</v>
      </c>
      <c r="B1774" s="468">
        <v>3.9049339219000556E-2</v>
      </c>
      <c r="C1774" s="468">
        <v>7.7521163768268897E-2</v>
      </c>
      <c r="D1774" s="469">
        <v>8.5993205776725201E-2</v>
      </c>
      <c r="G1774" s="470"/>
      <c r="H1774" s="471"/>
    </row>
    <row r="1775" spans="1:8" x14ac:dyDescent="0.35">
      <c r="A1775" s="467">
        <v>40305</v>
      </c>
      <c r="B1775" s="468">
        <v>4.1074629574794574E-2</v>
      </c>
      <c r="C1775" s="468">
        <v>7.928396450965991E-2</v>
      </c>
      <c r="D1775" s="469">
        <v>8.7319131489148383E-2</v>
      </c>
      <c r="G1775" s="470"/>
      <c r="H1775" s="471"/>
    </row>
    <row r="1776" spans="1:8" x14ac:dyDescent="0.35">
      <c r="A1776" s="467">
        <v>40308</v>
      </c>
      <c r="B1776" s="468">
        <v>4.0204738494153514E-2</v>
      </c>
      <c r="C1776" s="468">
        <v>7.8657526267954303E-2</v>
      </c>
      <c r="D1776" s="469">
        <v>8.6091908138044682E-2</v>
      </c>
      <c r="G1776" s="470"/>
      <c r="H1776" s="471"/>
    </row>
    <row r="1777" spans="1:8" x14ac:dyDescent="0.35">
      <c r="A1777" s="467">
        <v>40309</v>
      </c>
      <c r="B1777" s="468">
        <v>4.0090347374837965E-2</v>
      </c>
      <c r="C1777" s="468">
        <v>7.8384884675545941E-2</v>
      </c>
      <c r="D1777" s="469">
        <v>8.6634930114431574E-2</v>
      </c>
      <c r="G1777" s="470"/>
      <c r="H1777" s="471"/>
    </row>
    <row r="1778" spans="1:8" x14ac:dyDescent="0.35">
      <c r="A1778" s="467">
        <v>40310</v>
      </c>
      <c r="B1778" s="468">
        <v>3.9207466741119523E-2</v>
      </c>
      <c r="C1778" s="468">
        <v>7.8005558399235175E-2</v>
      </c>
      <c r="D1778" s="469">
        <v>8.5972375057077999E-2</v>
      </c>
      <c r="G1778" s="470"/>
      <c r="H1778" s="471"/>
    </row>
    <row r="1779" spans="1:8" x14ac:dyDescent="0.35">
      <c r="A1779" s="467">
        <v>40311</v>
      </c>
      <c r="B1779" s="468">
        <v>3.9329288151612074E-2</v>
      </c>
      <c r="C1779" s="468">
        <v>7.8286580933704553E-2</v>
      </c>
      <c r="D1779" s="469">
        <v>8.6169005554984412E-2</v>
      </c>
      <c r="G1779" s="470"/>
      <c r="H1779" s="471"/>
    </row>
    <row r="1780" spans="1:8" x14ac:dyDescent="0.35">
      <c r="A1780" s="467">
        <v>40312</v>
      </c>
      <c r="B1780" s="468">
        <v>3.9476662090343062E-2</v>
      </c>
      <c r="C1780" s="468">
        <v>7.9589929384906055E-2</v>
      </c>
      <c r="D1780" s="469">
        <v>8.7815352996933438E-2</v>
      </c>
      <c r="G1780" s="470"/>
      <c r="H1780" s="471"/>
    </row>
    <row r="1781" spans="1:8" x14ac:dyDescent="0.35">
      <c r="A1781" s="467">
        <v>40316</v>
      </c>
      <c r="B1781" s="468">
        <v>3.9589030150575022E-2</v>
      </c>
      <c r="C1781" s="468">
        <v>7.9914297932039968E-2</v>
      </c>
      <c r="D1781" s="469">
        <v>8.8822704983424039E-2</v>
      </c>
      <c r="G1781" s="470"/>
      <c r="H1781" s="471"/>
    </row>
    <row r="1782" spans="1:8" x14ac:dyDescent="0.35">
      <c r="A1782" s="467">
        <v>40317</v>
      </c>
      <c r="B1782" s="468">
        <v>4.0282602413561408E-2</v>
      </c>
      <c r="C1782" s="468">
        <v>8.023428884903927E-2</v>
      </c>
      <c r="D1782" s="469">
        <v>8.8708564670437973E-2</v>
      </c>
      <c r="G1782" s="470"/>
      <c r="H1782" s="471"/>
    </row>
    <row r="1783" spans="1:8" x14ac:dyDescent="0.35">
      <c r="A1783" s="467">
        <v>40318</v>
      </c>
      <c r="B1783" s="468">
        <v>4.0170375198369301E-2</v>
      </c>
      <c r="C1783" s="468">
        <v>8.0145542163106764E-2</v>
      </c>
      <c r="D1783" s="469">
        <v>8.8619849685880547E-2</v>
      </c>
      <c r="G1783" s="470"/>
      <c r="H1783" s="471"/>
    </row>
    <row r="1784" spans="1:8" x14ac:dyDescent="0.35">
      <c r="A1784" s="467">
        <v>40319</v>
      </c>
      <c r="B1784" s="468">
        <v>3.8688132295784161E-2</v>
      </c>
      <c r="C1784" s="468">
        <v>7.9335442937385592E-2</v>
      </c>
      <c r="D1784" s="469">
        <v>8.8246528796929402E-2</v>
      </c>
      <c r="G1784" s="470"/>
      <c r="H1784" s="471"/>
    </row>
    <row r="1785" spans="1:8" x14ac:dyDescent="0.35">
      <c r="A1785" s="467">
        <v>40322</v>
      </c>
      <c r="B1785" s="468">
        <v>3.8895500560288232E-2</v>
      </c>
      <c r="C1785" s="468">
        <v>7.8535997410848601E-2</v>
      </c>
      <c r="D1785" s="469">
        <v>8.6641734571158535E-2</v>
      </c>
      <c r="G1785" s="470"/>
      <c r="H1785" s="471"/>
    </row>
    <row r="1786" spans="1:8" x14ac:dyDescent="0.35">
      <c r="A1786" s="467">
        <v>40323</v>
      </c>
      <c r="B1786" s="468">
        <v>3.9964730753462963E-2</v>
      </c>
      <c r="C1786" s="468">
        <v>7.8982023911588373E-2</v>
      </c>
      <c r="D1786" s="469">
        <v>8.6544146537820277E-2</v>
      </c>
      <c r="G1786" s="470"/>
      <c r="H1786" s="471"/>
    </row>
    <row r="1787" spans="1:8" x14ac:dyDescent="0.35">
      <c r="A1787" s="467">
        <v>40324</v>
      </c>
      <c r="B1787" s="468">
        <v>3.9775123089127895E-2</v>
      </c>
      <c r="C1787" s="468">
        <v>7.8353386737608943E-2</v>
      </c>
      <c r="D1787" s="469">
        <v>8.5796041839972137E-2</v>
      </c>
      <c r="G1787" s="470"/>
      <c r="H1787" s="471"/>
    </row>
    <row r="1788" spans="1:8" x14ac:dyDescent="0.35">
      <c r="A1788" s="467">
        <v>40325</v>
      </c>
      <c r="B1788" s="468">
        <v>3.9402316753162081E-2</v>
      </c>
      <c r="C1788" s="468">
        <v>7.8107218437702741E-2</v>
      </c>
      <c r="D1788" s="469">
        <v>8.5461917550966326E-2</v>
      </c>
      <c r="G1788" s="470"/>
      <c r="H1788" s="471"/>
    </row>
    <row r="1789" spans="1:8" x14ac:dyDescent="0.35">
      <c r="A1789" s="467">
        <v>40326</v>
      </c>
      <c r="B1789" s="468">
        <v>3.9148746504293008E-2</v>
      </c>
      <c r="C1789" s="468">
        <v>7.8682079801200233E-2</v>
      </c>
      <c r="D1789" s="469">
        <v>8.6213435072698186E-2</v>
      </c>
      <c r="G1789" s="470"/>
      <c r="H1789" s="471"/>
    </row>
    <row r="1790" spans="1:8" x14ac:dyDescent="0.35">
      <c r="A1790" s="467">
        <v>40329</v>
      </c>
      <c r="B1790" s="468">
        <v>3.9900391427997173E-2</v>
      </c>
      <c r="C1790" s="468">
        <v>7.8575827602962001E-2</v>
      </c>
      <c r="D1790" s="469">
        <v>8.5992062754868703E-2</v>
      </c>
      <c r="G1790" s="470"/>
      <c r="H1790" s="471"/>
    </row>
    <row r="1791" spans="1:8" x14ac:dyDescent="0.35">
      <c r="A1791" s="467">
        <v>40330</v>
      </c>
      <c r="B1791" s="468">
        <v>3.984711799889129E-2</v>
      </c>
      <c r="C1791" s="468">
        <v>7.8286829488868115E-2</v>
      </c>
      <c r="D1791" s="469">
        <v>8.5155303760837242E-2</v>
      </c>
      <c r="G1791" s="470"/>
      <c r="H1791" s="471"/>
    </row>
    <row r="1792" spans="1:8" x14ac:dyDescent="0.35">
      <c r="A1792" s="467">
        <v>40331</v>
      </c>
      <c r="B1792" s="468">
        <v>3.9741134296536806E-2</v>
      </c>
      <c r="C1792" s="468">
        <v>7.7716881965494755E-2</v>
      </c>
      <c r="D1792" s="469">
        <v>8.4792077725449388E-2</v>
      </c>
      <c r="G1792" s="470"/>
      <c r="H1792" s="471"/>
    </row>
    <row r="1793" spans="1:8" x14ac:dyDescent="0.35">
      <c r="A1793" s="467">
        <v>40332</v>
      </c>
      <c r="B1793" s="468">
        <v>3.9547081091179992E-2</v>
      </c>
      <c r="C1793" s="468">
        <v>7.7294170882332036E-2</v>
      </c>
      <c r="D1793" s="469">
        <v>8.5154721331241578E-2</v>
      </c>
      <c r="G1793" s="470"/>
      <c r="H1793" s="471"/>
    </row>
    <row r="1794" spans="1:8" x14ac:dyDescent="0.35">
      <c r="A1794" s="467">
        <v>40333</v>
      </c>
      <c r="B1794" s="468">
        <v>3.9374727902149464E-2</v>
      </c>
      <c r="C1794" s="468">
        <v>7.7404748367913001E-2</v>
      </c>
      <c r="D1794" s="469">
        <v>8.5313006026993765E-2</v>
      </c>
      <c r="G1794" s="470"/>
      <c r="H1794" s="471"/>
    </row>
    <row r="1795" spans="1:8" x14ac:dyDescent="0.35">
      <c r="A1795" s="467">
        <v>40337</v>
      </c>
      <c r="B1795" s="468">
        <v>3.9877604077032336E-2</v>
      </c>
      <c r="C1795" s="468">
        <v>7.62977679484238E-2</v>
      </c>
      <c r="D1795" s="469">
        <v>8.5039500902842402E-2</v>
      </c>
      <c r="G1795" s="470"/>
      <c r="H1795" s="471"/>
    </row>
    <row r="1796" spans="1:8" x14ac:dyDescent="0.35">
      <c r="A1796" s="467">
        <v>40338</v>
      </c>
      <c r="B1796" s="468">
        <v>3.784681935825196E-2</v>
      </c>
      <c r="C1796" s="468">
        <v>7.5527597593437523E-2</v>
      </c>
      <c r="D1796" s="469">
        <v>8.4863605553530785E-2</v>
      </c>
      <c r="G1796" s="470"/>
      <c r="H1796" s="471"/>
    </row>
    <row r="1797" spans="1:8" x14ac:dyDescent="0.35">
      <c r="A1797" s="467">
        <v>40339</v>
      </c>
      <c r="B1797" s="468">
        <v>3.8425168609948823E-2</v>
      </c>
      <c r="C1797" s="468">
        <v>7.5289779987883998E-2</v>
      </c>
      <c r="D1797" s="469">
        <v>8.478785583843873E-2</v>
      </c>
      <c r="G1797" s="470"/>
      <c r="H1797" s="471"/>
    </row>
    <row r="1798" spans="1:8" x14ac:dyDescent="0.35">
      <c r="A1798" s="467">
        <v>40340</v>
      </c>
      <c r="B1798" s="468">
        <v>3.7303157709194235E-2</v>
      </c>
      <c r="C1798" s="468">
        <v>7.5330923655144044E-2</v>
      </c>
      <c r="D1798" s="469">
        <v>8.5001674147357154E-2</v>
      </c>
      <c r="G1798" s="470"/>
      <c r="H1798" s="471"/>
    </row>
    <row r="1799" spans="1:8" x14ac:dyDescent="0.35">
      <c r="A1799" s="467">
        <v>40344</v>
      </c>
      <c r="B1799" s="468">
        <v>3.9402348025257217E-2</v>
      </c>
      <c r="C1799" s="468">
        <v>7.4881952283915032E-2</v>
      </c>
      <c r="D1799" s="469">
        <v>8.505251569575889E-2</v>
      </c>
      <c r="G1799" s="470"/>
      <c r="H1799" s="471"/>
    </row>
    <row r="1800" spans="1:8" x14ac:dyDescent="0.35">
      <c r="A1800" s="467">
        <v>40345</v>
      </c>
      <c r="B1800" s="468">
        <v>4.011781381660251E-2</v>
      </c>
      <c r="C1800" s="468">
        <v>7.591654725196717E-2</v>
      </c>
      <c r="D1800" s="469">
        <v>8.5973647812303655E-2</v>
      </c>
      <c r="G1800" s="470"/>
      <c r="H1800" s="471"/>
    </row>
    <row r="1801" spans="1:8" x14ac:dyDescent="0.35">
      <c r="A1801" s="467">
        <v>40346</v>
      </c>
      <c r="B1801" s="468">
        <v>4.0799390264574242E-2</v>
      </c>
      <c r="C1801" s="468">
        <v>7.5997953170197752E-2</v>
      </c>
      <c r="D1801" s="469">
        <v>8.6248630560380013E-2</v>
      </c>
      <c r="G1801" s="470"/>
      <c r="H1801" s="471"/>
    </row>
    <row r="1802" spans="1:8" x14ac:dyDescent="0.35">
      <c r="A1802" s="467">
        <v>40347</v>
      </c>
      <c r="B1802" s="468">
        <v>3.9358387804352635E-2</v>
      </c>
      <c r="C1802" s="468">
        <v>7.5906946130934738E-2</v>
      </c>
      <c r="D1802" s="469">
        <v>8.5496439848277372E-2</v>
      </c>
      <c r="G1802" s="470"/>
      <c r="H1802" s="471"/>
    </row>
    <row r="1803" spans="1:8" x14ac:dyDescent="0.35">
      <c r="A1803" s="467">
        <v>40350</v>
      </c>
      <c r="B1803" s="468">
        <v>4.0627754151262074E-2</v>
      </c>
      <c r="C1803" s="468">
        <v>7.6633998243302415E-2</v>
      </c>
      <c r="D1803" s="469">
        <v>8.532365964526023E-2</v>
      </c>
      <c r="G1803" s="470"/>
      <c r="H1803" s="471"/>
    </row>
    <row r="1804" spans="1:8" x14ac:dyDescent="0.35">
      <c r="A1804" s="467">
        <v>40351</v>
      </c>
      <c r="B1804" s="468">
        <v>4.0275381019008849E-2</v>
      </c>
      <c r="C1804" s="468">
        <v>7.6540441041862195E-2</v>
      </c>
      <c r="D1804" s="469">
        <v>8.5903054922872535E-2</v>
      </c>
      <c r="G1804" s="470"/>
      <c r="H1804" s="471"/>
    </row>
    <row r="1805" spans="1:8" x14ac:dyDescent="0.35">
      <c r="A1805" s="467">
        <v>40352</v>
      </c>
      <c r="B1805" s="468">
        <v>3.9691329163102029E-2</v>
      </c>
      <c r="C1805" s="468">
        <v>7.6586460857395178E-2</v>
      </c>
      <c r="D1805" s="469">
        <v>8.6238655992619151E-2</v>
      </c>
      <c r="G1805" s="470"/>
      <c r="H1805" s="471"/>
    </row>
    <row r="1806" spans="1:8" x14ac:dyDescent="0.35">
      <c r="A1806" s="467">
        <v>40353</v>
      </c>
      <c r="B1806" s="468">
        <v>4.0705854398368269E-2</v>
      </c>
      <c r="C1806" s="468">
        <v>7.6026274066387067E-2</v>
      </c>
      <c r="D1806" s="469">
        <v>8.6143589322320135E-2</v>
      </c>
      <c r="G1806" s="470"/>
      <c r="H1806" s="471"/>
    </row>
    <row r="1807" spans="1:8" x14ac:dyDescent="0.35">
      <c r="A1807" s="467">
        <v>40354</v>
      </c>
      <c r="B1807" s="468">
        <v>4.0198528962397617E-2</v>
      </c>
      <c r="C1807" s="468">
        <v>7.5788794043854191E-2</v>
      </c>
      <c r="D1807" s="469">
        <v>8.5675146413759062E-2</v>
      </c>
      <c r="G1807" s="470"/>
      <c r="H1807" s="471"/>
    </row>
    <row r="1808" spans="1:8" x14ac:dyDescent="0.35">
      <c r="A1808" s="467">
        <v>40357</v>
      </c>
      <c r="B1808" s="468">
        <v>3.9856841584330338E-2</v>
      </c>
      <c r="C1808" s="468">
        <v>7.5454040717752857E-2</v>
      </c>
      <c r="D1808" s="469">
        <v>8.5501312098551718E-2</v>
      </c>
      <c r="G1808" s="470"/>
      <c r="H1808" s="471"/>
    </row>
    <row r="1809" spans="1:8" x14ac:dyDescent="0.35">
      <c r="A1809" s="467">
        <v>40358</v>
      </c>
      <c r="B1809" s="468">
        <v>4.0107763642804661E-2</v>
      </c>
      <c r="C1809" s="468">
        <v>7.5078504743242069E-2</v>
      </c>
      <c r="D1809" s="469">
        <v>8.5055704648111741E-2</v>
      </c>
      <c r="G1809" s="470"/>
      <c r="H1809" s="471"/>
    </row>
    <row r="1810" spans="1:8" x14ac:dyDescent="0.35">
      <c r="A1810" s="467">
        <v>40359</v>
      </c>
      <c r="B1810" s="468">
        <v>4.026598583270613E-2</v>
      </c>
      <c r="C1810" s="468">
        <v>7.4840973181787396E-2</v>
      </c>
      <c r="D1810" s="469">
        <v>8.4756963460841162E-2</v>
      </c>
      <c r="G1810" s="470"/>
      <c r="H1810" s="471"/>
    </row>
    <row r="1811" spans="1:8" x14ac:dyDescent="0.35">
      <c r="A1811" s="467">
        <v>40360</v>
      </c>
      <c r="B1811" s="468">
        <v>3.9958340804247205E-2</v>
      </c>
      <c r="C1811" s="468">
        <v>7.2883652298561419E-2</v>
      </c>
      <c r="D1811" s="469">
        <v>8.3268905788104419E-2</v>
      </c>
      <c r="G1811" s="470"/>
      <c r="H1811" s="471"/>
    </row>
    <row r="1812" spans="1:8" x14ac:dyDescent="0.35">
      <c r="A1812" s="467">
        <v>40361</v>
      </c>
      <c r="B1812" s="468">
        <v>3.9758417458220174E-2</v>
      </c>
      <c r="C1812" s="468">
        <v>7.2585839060113733E-2</v>
      </c>
      <c r="D1812" s="469">
        <v>8.3529434580299045E-2</v>
      </c>
      <c r="G1812" s="470"/>
      <c r="H1812" s="471"/>
    </row>
    <row r="1813" spans="1:8" x14ac:dyDescent="0.35">
      <c r="A1813" s="467">
        <v>40365</v>
      </c>
      <c r="B1813" s="468">
        <v>3.9716263219240044E-2</v>
      </c>
      <c r="C1813" s="468">
        <v>7.2410462782174001E-2</v>
      </c>
      <c r="D1813" s="469">
        <v>8.3449297622299357E-2</v>
      </c>
      <c r="G1813" s="470"/>
      <c r="H1813" s="471"/>
    </row>
    <row r="1814" spans="1:8" x14ac:dyDescent="0.35">
      <c r="A1814" s="467">
        <v>40366</v>
      </c>
      <c r="B1814" s="468">
        <v>3.9612128011836001E-2</v>
      </c>
      <c r="C1814" s="468">
        <v>7.3157108310565988E-2</v>
      </c>
      <c r="D1814" s="469">
        <v>8.426216431310074E-2</v>
      </c>
      <c r="G1814" s="470"/>
      <c r="H1814" s="471"/>
    </row>
    <row r="1815" spans="1:8" x14ac:dyDescent="0.35">
      <c r="A1815" s="467">
        <v>40367</v>
      </c>
      <c r="B1815" s="468">
        <v>3.928208903185082E-2</v>
      </c>
      <c r="C1815" s="468">
        <v>7.2035364120544898E-2</v>
      </c>
      <c r="D1815" s="469">
        <v>8.3366539266733097E-2</v>
      </c>
      <c r="G1815" s="470"/>
      <c r="H1815" s="471"/>
    </row>
    <row r="1816" spans="1:8" x14ac:dyDescent="0.35">
      <c r="A1816" s="467">
        <v>40368</v>
      </c>
      <c r="B1816" s="468">
        <v>3.9733332416086231E-2</v>
      </c>
      <c r="C1816" s="468">
        <v>7.2482810216986104E-2</v>
      </c>
      <c r="D1816" s="469">
        <v>8.3245986588765808E-2</v>
      </c>
      <c r="G1816" s="470"/>
      <c r="H1816" s="471"/>
    </row>
    <row r="1817" spans="1:8" x14ac:dyDescent="0.35">
      <c r="A1817" s="467">
        <v>40371</v>
      </c>
      <c r="B1817" s="468">
        <v>3.9422061686393839E-2</v>
      </c>
      <c r="C1817" s="468">
        <v>7.189516578647015E-2</v>
      </c>
      <c r="D1817" s="469">
        <v>8.2675290053724648E-2</v>
      </c>
      <c r="G1817" s="470"/>
      <c r="H1817" s="471"/>
    </row>
    <row r="1818" spans="1:8" x14ac:dyDescent="0.35">
      <c r="A1818" s="467">
        <v>40372</v>
      </c>
      <c r="B1818" s="468">
        <v>3.9611041705133632E-2</v>
      </c>
      <c r="C1818" s="468">
        <v>7.2863289596049707E-2</v>
      </c>
      <c r="D1818" s="469">
        <v>8.2003411666688564E-2</v>
      </c>
      <c r="G1818" s="470"/>
      <c r="H1818" s="471"/>
    </row>
    <row r="1819" spans="1:8" x14ac:dyDescent="0.35">
      <c r="A1819" s="467">
        <v>40373</v>
      </c>
      <c r="B1819" s="468">
        <v>3.9611506291570286E-2</v>
      </c>
      <c r="C1819" s="468">
        <v>7.17458291085602E-2</v>
      </c>
      <c r="D1819" s="469">
        <v>8.1719302151673112E-2</v>
      </c>
      <c r="G1819" s="470"/>
      <c r="H1819" s="471"/>
    </row>
    <row r="1820" spans="1:8" x14ac:dyDescent="0.35">
      <c r="A1820" s="467">
        <v>40374</v>
      </c>
      <c r="B1820" s="468">
        <v>3.988183436358117E-2</v>
      </c>
      <c r="C1820" s="468">
        <v>7.137148309799235E-2</v>
      </c>
      <c r="D1820" s="469">
        <v>8.113770220282035E-2</v>
      </c>
      <c r="G1820" s="470"/>
      <c r="H1820" s="471"/>
    </row>
    <row r="1821" spans="1:8" x14ac:dyDescent="0.35">
      <c r="A1821" s="467">
        <v>40375</v>
      </c>
      <c r="B1821" s="468">
        <v>4.0032719487005375E-2</v>
      </c>
      <c r="C1821" s="468">
        <v>7.1579168920443026E-2</v>
      </c>
      <c r="D1821" s="469">
        <v>8.0840537909301569E-2</v>
      </c>
      <c r="G1821" s="470"/>
      <c r="H1821" s="471"/>
    </row>
    <row r="1822" spans="1:8" x14ac:dyDescent="0.35">
      <c r="A1822" s="467">
        <v>40378</v>
      </c>
      <c r="B1822" s="468">
        <v>4.0004305976268695E-2</v>
      </c>
      <c r="C1822" s="468">
        <v>6.9382865911039815E-2</v>
      </c>
      <c r="D1822" s="469">
        <v>7.9568046647323198E-2</v>
      </c>
      <c r="G1822" s="470"/>
      <c r="H1822" s="471"/>
    </row>
    <row r="1823" spans="1:8" x14ac:dyDescent="0.35">
      <c r="A1823" s="467">
        <v>40380</v>
      </c>
      <c r="B1823" s="468">
        <v>4.0103267343301718E-2</v>
      </c>
      <c r="C1823" s="468">
        <v>6.9855360553357171E-2</v>
      </c>
      <c r="D1823" s="469">
        <v>7.9684486456853998E-2</v>
      </c>
      <c r="G1823" s="470"/>
      <c r="H1823" s="471"/>
    </row>
    <row r="1824" spans="1:8" x14ac:dyDescent="0.35">
      <c r="A1824" s="467">
        <v>40381</v>
      </c>
      <c r="B1824" s="468">
        <v>4.0463408066196083E-2</v>
      </c>
      <c r="C1824" s="468">
        <v>7.1626538609580459E-2</v>
      </c>
      <c r="D1824" s="469">
        <v>8.1346506354923909E-2</v>
      </c>
      <c r="G1824" s="470"/>
      <c r="H1824" s="471"/>
    </row>
    <row r="1825" spans="1:8" x14ac:dyDescent="0.35">
      <c r="A1825" s="467">
        <v>40382</v>
      </c>
      <c r="B1825" s="468">
        <v>4.0812585659707468E-2</v>
      </c>
      <c r="C1825" s="468">
        <v>7.2305068352027879E-2</v>
      </c>
      <c r="D1825" s="469">
        <v>8.1928109947262406E-2</v>
      </c>
      <c r="G1825" s="470"/>
      <c r="H1825" s="471"/>
    </row>
    <row r="1826" spans="1:8" x14ac:dyDescent="0.35">
      <c r="A1826" s="467">
        <v>40385</v>
      </c>
      <c r="B1826" s="468">
        <v>4.0669109603764797E-2</v>
      </c>
      <c r="C1826" s="468">
        <v>7.2453801651183758E-2</v>
      </c>
      <c r="D1826" s="469">
        <v>8.2334807415743061E-2</v>
      </c>
      <c r="G1826" s="470"/>
      <c r="H1826" s="471"/>
    </row>
    <row r="1827" spans="1:8" x14ac:dyDescent="0.35">
      <c r="A1827" s="467">
        <v>40386</v>
      </c>
      <c r="B1827" s="468">
        <v>4.0745167812646699E-2</v>
      </c>
      <c r="C1827" s="468">
        <v>7.2505733991439669E-2</v>
      </c>
      <c r="D1827" s="469">
        <v>8.2197871886973806E-2</v>
      </c>
      <c r="G1827" s="470"/>
      <c r="H1827" s="471"/>
    </row>
    <row r="1828" spans="1:8" x14ac:dyDescent="0.35">
      <c r="A1828" s="467">
        <v>40387</v>
      </c>
      <c r="B1828" s="468">
        <v>4.0210582199603273E-2</v>
      </c>
      <c r="C1828" s="468">
        <v>7.2883455358311755E-2</v>
      </c>
      <c r="D1828" s="469">
        <v>8.1687061583276099E-2</v>
      </c>
      <c r="G1828" s="470"/>
      <c r="H1828" s="471"/>
    </row>
    <row r="1829" spans="1:8" x14ac:dyDescent="0.35">
      <c r="A1829" s="467">
        <v>40388</v>
      </c>
      <c r="B1829" s="468">
        <v>4.0655795603437239E-2</v>
      </c>
      <c r="C1829" s="468">
        <v>7.2037368734439333E-2</v>
      </c>
      <c r="D1829" s="469">
        <v>8.1177653606670175E-2</v>
      </c>
      <c r="G1829" s="470"/>
      <c r="H1829" s="471"/>
    </row>
    <row r="1830" spans="1:8" x14ac:dyDescent="0.35">
      <c r="A1830" s="467">
        <v>40389</v>
      </c>
      <c r="B1830" s="468">
        <v>3.9962399814049698E-2</v>
      </c>
      <c r="C1830" s="468">
        <v>7.1253303656647837E-2</v>
      </c>
      <c r="D1830" s="469">
        <v>8.0571389725284437E-2</v>
      </c>
      <c r="G1830" s="470"/>
      <c r="H1830" s="471"/>
    </row>
    <row r="1831" spans="1:8" x14ac:dyDescent="0.35">
      <c r="A1831" s="467">
        <v>40392</v>
      </c>
      <c r="B1831" s="468">
        <v>3.9972570220977888E-2</v>
      </c>
      <c r="C1831" s="468">
        <v>7.060072865875533E-2</v>
      </c>
      <c r="D1831" s="469">
        <v>8.0421282765362312E-2</v>
      </c>
      <c r="G1831" s="470"/>
      <c r="H1831" s="471"/>
    </row>
    <row r="1832" spans="1:8" x14ac:dyDescent="0.35">
      <c r="A1832" s="467">
        <v>40393</v>
      </c>
      <c r="B1832" s="468">
        <v>4.0480327346722023E-2</v>
      </c>
      <c r="C1832" s="468">
        <v>7.1968088467253333E-2</v>
      </c>
      <c r="D1832" s="469">
        <v>7.9978043953967237E-2</v>
      </c>
      <c r="G1832" s="470"/>
      <c r="H1832" s="471"/>
    </row>
    <row r="1833" spans="1:8" x14ac:dyDescent="0.35">
      <c r="A1833" s="467">
        <v>40394</v>
      </c>
      <c r="B1833" s="468">
        <v>4.0274272589480242E-2</v>
      </c>
      <c r="C1833" s="468">
        <v>7.0682475019200997E-2</v>
      </c>
      <c r="D1833" s="469">
        <v>7.9594884896426299E-2</v>
      </c>
      <c r="G1833" s="470"/>
      <c r="H1833" s="471"/>
    </row>
    <row r="1834" spans="1:8" x14ac:dyDescent="0.35">
      <c r="A1834" s="467">
        <v>40395</v>
      </c>
      <c r="B1834" s="468">
        <v>4.0455452909134992E-2</v>
      </c>
      <c r="C1834" s="468">
        <v>7.0582751706327995E-2</v>
      </c>
      <c r="D1834" s="469">
        <v>7.935461893120821E-2</v>
      </c>
      <c r="G1834" s="470"/>
      <c r="H1834" s="471"/>
    </row>
    <row r="1835" spans="1:8" x14ac:dyDescent="0.35">
      <c r="A1835" s="467">
        <v>40396</v>
      </c>
      <c r="B1835" s="468">
        <v>4.0293270638074752E-2</v>
      </c>
      <c r="C1835" s="468">
        <v>6.9278439759572041E-2</v>
      </c>
      <c r="D1835" s="469">
        <v>7.7999143342845967E-2</v>
      </c>
      <c r="G1835" s="470"/>
      <c r="H1835" s="471"/>
    </row>
    <row r="1836" spans="1:8" x14ac:dyDescent="0.35">
      <c r="A1836" s="467">
        <v>40399</v>
      </c>
      <c r="B1836" s="468">
        <v>3.9294068464616139E-2</v>
      </c>
      <c r="C1836" s="468">
        <v>6.8238998809483586E-2</v>
      </c>
      <c r="D1836" s="469">
        <v>7.6442826487662652E-2</v>
      </c>
      <c r="G1836" s="470"/>
      <c r="H1836" s="471"/>
    </row>
    <row r="1837" spans="1:8" x14ac:dyDescent="0.35">
      <c r="A1837" s="467">
        <v>40400</v>
      </c>
      <c r="B1837" s="468">
        <v>4.041831590783751E-2</v>
      </c>
      <c r="C1837" s="468">
        <v>6.8934664783260935E-2</v>
      </c>
      <c r="D1837" s="469">
        <v>7.7510833922795452E-2</v>
      </c>
      <c r="G1837" s="470"/>
      <c r="H1837" s="471"/>
    </row>
    <row r="1838" spans="1:8" x14ac:dyDescent="0.35">
      <c r="A1838" s="467">
        <v>40401</v>
      </c>
      <c r="B1838" s="468">
        <v>4.0628041087326761E-2</v>
      </c>
      <c r="C1838" s="468">
        <v>6.8917366695013138E-2</v>
      </c>
      <c r="D1838" s="469">
        <v>7.7321694847191313E-2</v>
      </c>
      <c r="G1838" s="470"/>
      <c r="H1838" s="471"/>
    </row>
    <row r="1839" spans="1:8" x14ac:dyDescent="0.35">
      <c r="A1839" s="467">
        <v>40402</v>
      </c>
      <c r="B1839" s="468">
        <v>4.1116599162331902E-2</v>
      </c>
      <c r="C1839" s="468">
        <v>7.0861931729908179E-2</v>
      </c>
      <c r="D1839" s="469">
        <v>7.8031977713379996E-2</v>
      </c>
      <c r="G1839" s="470"/>
      <c r="H1839" s="471"/>
    </row>
    <row r="1840" spans="1:8" x14ac:dyDescent="0.35">
      <c r="A1840" s="467">
        <v>40403</v>
      </c>
      <c r="B1840" s="468">
        <v>4.1069513061182894E-2</v>
      </c>
      <c r="C1840" s="468">
        <v>6.982026955475118E-2</v>
      </c>
      <c r="D1840" s="469">
        <v>7.8184548731669912E-2</v>
      </c>
      <c r="G1840" s="470"/>
      <c r="H1840" s="471"/>
    </row>
    <row r="1841" spans="1:8" x14ac:dyDescent="0.35">
      <c r="A1841" s="467">
        <v>40407</v>
      </c>
      <c r="B1841" s="468">
        <v>4.0993016335604038E-2</v>
      </c>
      <c r="C1841" s="468">
        <v>6.9516529942534433E-2</v>
      </c>
      <c r="D1841" s="469">
        <v>7.7542761723650155E-2</v>
      </c>
      <c r="G1841" s="470"/>
      <c r="H1841" s="471"/>
    </row>
    <row r="1842" spans="1:8" x14ac:dyDescent="0.35">
      <c r="A1842" s="467">
        <v>40408</v>
      </c>
      <c r="B1842" s="468">
        <v>4.0860474680166181E-2</v>
      </c>
      <c r="C1842" s="468">
        <v>6.8873883915473222E-2</v>
      </c>
      <c r="D1842" s="469">
        <v>7.6722575713013663E-2</v>
      </c>
      <c r="G1842" s="470"/>
      <c r="H1842" s="471"/>
    </row>
    <row r="1843" spans="1:8" x14ac:dyDescent="0.35">
      <c r="A1843" s="467">
        <v>40409</v>
      </c>
      <c r="B1843" s="468">
        <v>4.0917604969265664E-2</v>
      </c>
      <c r="C1843" s="468">
        <v>6.8439870472272402E-2</v>
      </c>
      <c r="D1843" s="469">
        <v>7.6227512758888949E-2</v>
      </c>
      <c r="G1843" s="470"/>
      <c r="H1843" s="471"/>
    </row>
    <row r="1844" spans="1:8" x14ac:dyDescent="0.35">
      <c r="A1844" s="467">
        <v>40410</v>
      </c>
      <c r="B1844" s="468">
        <v>4.0611340887342529E-2</v>
      </c>
      <c r="C1844" s="468">
        <v>6.8418451405928504E-2</v>
      </c>
      <c r="D1844" s="469">
        <v>7.60464183992966E-2</v>
      </c>
      <c r="G1844" s="470"/>
      <c r="H1844" s="471"/>
    </row>
    <row r="1845" spans="1:8" x14ac:dyDescent="0.35">
      <c r="A1845" s="467">
        <v>40413</v>
      </c>
      <c r="B1845" s="468">
        <v>3.9009612748492462E-2</v>
      </c>
      <c r="C1845" s="468">
        <v>6.8359700120684597E-2</v>
      </c>
      <c r="D1845" s="469">
        <v>7.5730568762333972E-2</v>
      </c>
      <c r="G1845" s="470"/>
      <c r="H1845" s="471"/>
    </row>
    <row r="1846" spans="1:8" x14ac:dyDescent="0.35">
      <c r="A1846" s="467">
        <v>40414</v>
      </c>
      <c r="B1846" s="468">
        <v>4.0645644978473117E-2</v>
      </c>
      <c r="C1846" s="468">
        <v>6.8433848870807612E-2</v>
      </c>
      <c r="D1846" s="469">
        <v>7.6871726234875482E-2</v>
      </c>
      <c r="G1846" s="470"/>
      <c r="H1846" s="471"/>
    </row>
    <row r="1847" spans="1:8" x14ac:dyDescent="0.35">
      <c r="A1847" s="467">
        <v>40415</v>
      </c>
      <c r="B1847" s="468">
        <v>4.0502745097317439E-2</v>
      </c>
      <c r="C1847" s="468">
        <v>6.8178626729369807E-2</v>
      </c>
      <c r="D1847" s="469">
        <v>7.6749456088736512E-2</v>
      </c>
      <c r="G1847" s="470"/>
      <c r="H1847" s="471"/>
    </row>
    <row r="1848" spans="1:8" x14ac:dyDescent="0.35">
      <c r="A1848" s="467">
        <v>40416</v>
      </c>
      <c r="B1848" s="468">
        <v>4.0473267346936126E-2</v>
      </c>
      <c r="C1848" s="468">
        <v>6.7870954060222921E-2</v>
      </c>
      <c r="D1848" s="469">
        <v>7.6212010228447813E-2</v>
      </c>
      <c r="G1848" s="470"/>
      <c r="H1848" s="471"/>
    </row>
    <row r="1849" spans="1:8" x14ac:dyDescent="0.35">
      <c r="A1849" s="467">
        <v>40417</v>
      </c>
      <c r="B1849" s="468">
        <v>4.0276425933254867E-2</v>
      </c>
      <c r="C1849" s="468">
        <v>6.8036354872367699E-2</v>
      </c>
      <c r="D1849" s="469">
        <v>7.6409570023039164E-2</v>
      </c>
      <c r="G1849" s="470"/>
      <c r="H1849" s="471"/>
    </row>
    <row r="1850" spans="1:8" x14ac:dyDescent="0.35">
      <c r="A1850" s="467">
        <v>40420</v>
      </c>
      <c r="B1850" s="468">
        <v>3.9949322883261917E-2</v>
      </c>
      <c r="C1850" s="468">
        <v>6.7045588576215787E-2</v>
      </c>
      <c r="D1850" s="469">
        <v>7.5756996159422219E-2</v>
      </c>
      <c r="G1850" s="470"/>
      <c r="H1850" s="471"/>
    </row>
    <row r="1851" spans="1:8" x14ac:dyDescent="0.35">
      <c r="A1851" s="467">
        <v>40421</v>
      </c>
      <c r="B1851" s="468">
        <v>3.8887323333168133E-2</v>
      </c>
      <c r="C1851" s="468">
        <v>6.7719028706519691E-2</v>
      </c>
      <c r="D1851" s="469">
        <v>7.7052777578482168E-2</v>
      </c>
      <c r="G1851" s="470"/>
      <c r="H1851" s="471"/>
    </row>
    <row r="1852" spans="1:8" x14ac:dyDescent="0.35">
      <c r="A1852" s="467">
        <v>40422</v>
      </c>
      <c r="B1852" s="468">
        <v>3.9380259898045944E-2</v>
      </c>
      <c r="C1852" s="468">
        <v>6.6629690964005395E-2</v>
      </c>
      <c r="D1852" s="469">
        <v>7.6785364260368638E-2</v>
      </c>
      <c r="G1852" s="470"/>
      <c r="H1852" s="471"/>
    </row>
    <row r="1853" spans="1:8" x14ac:dyDescent="0.35">
      <c r="A1853" s="467">
        <v>40423</v>
      </c>
      <c r="B1853" s="468">
        <v>3.9818883882637213E-2</v>
      </c>
      <c r="C1853" s="468">
        <v>6.6830526850714334E-2</v>
      </c>
      <c r="D1853" s="469">
        <v>7.6692506145286332E-2</v>
      </c>
      <c r="G1853" s="470"/>
      <c r="H1853" s="471"/>
    </row>
    <row r="1854" spans="1:8" x14ac:dyDescent="0.35">
      <c r="A1854" s="467">
        <v>40424</v>
      </c>
      <c r="B1854" s="468">
        <v>3.9909201731170851E-2</v>
      </c>
      <c r="C1854" s="468">
        <v>6.6742144739398102E-2</v>
      </c>
      <c r="D1854" s="469">
        <v>7.6768699812324703E-2</v>
      </c>
      <c r="G1854" s="470"/>
      <c r="H1854" s="471"/>
    </row>
    <row r="1855" spans="1:8" x14ac:dyDescent="0.35">
      <c r="A1855" s="467">
        <v>40427</v>
      </c>
      <c r="B1855" s="468">
        <v>3.8069546825427958E-2</v>
      </c>
      <c r="C1855" s="468">
        <v>6.6040462018154944E-2</v>
      </c>
      <c r="D1855" s="469">
        <v>7.551438849469494E-2</v>
      </c>
      <c r="G1855" s="470"/>
      <c r="H1855" s="471"/>
    </row>
    <row r="1856" spans="1:8" x14ac:dyDescent="0.35">
      <c r="A1856" s="467">
        <v>40428</v>
      </c>
      <c r="B1856" s="468">
        <v>3.8914053299093476E-2</v>
      </c>
      <c r="C1856" s="468">
        <v>6.7074324419106102E-2</v>
      </c>
      <c r="D1856" s="469">
        <v>7.6775653349202999E-2</v>
      </c>
      <c r="G1856" s="470"/>
      <c r="H1856" s="471"/>
    </row>
    <row r="1857" spans="1:8" x14ac:dyDescent="0.35">
      <c r="A1857" s="467">
        <v>40429</v>
      </c>
      <c r="B1857" s="468">
        <v>3.8753767197065914E-2</v>
      </c>
      <c r="C1857" s="468">
        <v>6.716427392241342E-2</v>
      </c>
      <c r="D1857" s="469">
        <v>7.69379567318631E-2</v>
      </c>
      <c r="G1857" s="470"/>
      <c r="H1857" s="471"/>
    </row>
    <row r="1858" spans="1:8" x14ac:dyDescent="0.35">
      <c r="A1858" s="467">
        <v>40430</v>
      </c>
      <c r="B1858" s="468">
        <v>4.0695163074619067E-2</v>
      </c>
      <c r="C1858" s="468">
        <v>6.8616000780354458E-2</v>
      </c>
      <c r="D1858" s="469">
        <v>7.9632475798070201E-2</v>
      </c>
      <c r="G1858" s="470"/>
      <c r="H1858" s="471"/>
    </row>
    <row r="1859" spans="1:8" x14ac:dyDescent="0.35">
      <c r="A1859" s="467">
        <v>40431</v>
      </c>
      <c r="B1859" s="468">
        <v>3.7156122830075855E-2</v>
      </c>
      <c r="C1859" s="468">
        <v>6.9228722179316859E-2</v>
      </c>
      <c r="D1859" s="469">
        <v>7.8889950803933573E-2</v>
      </c>
      <c r="G1859" s="470"/>
      <c r="H1859" s="471"/>
    </row>
    <row r="1860" spans="1:8" x14ac:dyDescent="0.35">
      <c r="A1860" s="467">
        <v>40434</v>
      </c>
      <c r="B1860" s="468">
        <v>4.0154301724476094E-2</v>
      </c>
      <c r="C1860" s="468">
        <v>6.9423069096470114E-2</v>
      </c>
      <c r="D1860" s="469">
        <v>8.0371460182663723E-2</v>
      </c>
      <c r="G1860" s="470"/>
      <c r="H1860" s="471"/>
    </row>
    <row r="1861" spans="1:8" x14ac:dyDescent="0.35">
      <c r="A1861" s="467">
        <v>40435</v>
      </c>
      <c r="B1861" s="468">
        <v>3.9916725710205991E-2</v>
      </c>
      <c r="C1861" s="468">
        <v>6.8633266272302151E-2</v>
      </c>
      <c r="D1861" s="469">
        <v>7.9701850058907731E-2</v>
      </c>
      <c r="G1861" s="470"/>
      <c r="H1861" s="471"/>
    </row>
    <row r="1862" spans="1:8" x14ac:dyDescent="0.35">
      <c r="A1862" s="467">
        <v>40436</v>
      </c>
      <c r="B1862" s="468">
        <v>4.0618447032087168E-2</v>
      </c>
      <c r="C1862" s="468">
        <v>6.7935583365659857E-2</v>
      </c>
      <c r="D1862" s="469">
        <v>7.9227359067030712E-2</v>
      </c>
      <c r="G1862" s="470"/>
      <c r="H1862" s="471"/>
    </row>
    <row r="1863" spans="1:8" x14ac:dyDescent="0.35">
      <c r="A1863" s="467">
        <v>40437</v>
      </c>
      <c r="B1863" s="468">
        <v>4.0277099539306471E-2</v>
      </c>
      <c r="C1863" s="468">
        <v>6.7805280856231276E-2</v>
      </c>
      <c r="D1863" s="469">
        <v>7.8412201737264597E-2</v>
      </c>
      <c r="G1863" s="470"/>
      <c r="H1863" s="471"/>
    </row>
    <row r="1864" spans="1:8" x14ac:dyDescent="0.35">
      <c r="A1864" s="467">
        <v>40438</v>
      </c>
      <c r="B1864" s="468">
        <v>3.8009981536406556E-2</v>
      </c>
      <c r="C1864" s="468">
        <v>6.7077866567521793E-2</v>
      </c>
      <c r="D1864" s="469">
        <v>7.6622418426587569E-2</v>
      </c>
      <c r="G1864" s="470"/>
      <c r="H1864" s="471"/>
    </row>
    <row r="1865" spans="1:8" x14ac:dyDescent="0.35">
      <c r="A1865" s="467">
        <v>40441</v>
      </c>
      <c r="B1865" s="468">
        <v>3.8500348543904828E-2</v>
      </c>
      <c r="C1865" s="468">
        <v>6.7000184103315208E-2</v>
      </c>
      <c r="D1865" s="469">
        <v>7.6391852263453686E-2</v>
      </c>
      <c r="G1865" s="470"/>
      <c r="H1865" s="471"/>
    </row>
    <row r="1866" spans="1:8" x14ac:dyDescent="0.35">
      <c r="A1866" s="467">
        <v>40442</v>
      </c>
      <c r="B1866" s="468">
        <v>4.0019488677226045E-2</v>
      </c>
      <c r="C1866" s="468">
        <v>6.7170155863707448E-2</v>
      </c>
      <c r="D1866" s="469">
        <v>7.7826393781158965E-2</v>
      </c>
      <c r="G1866" s="470"/>
      <c r="H1866" s="471"/>
    </row>
    <row r="1867" spans="1:8" x14ac:dyDescent="0.35">
      <c r="A1867" s="467">
        <v>40443</v>
      </c>
      <c r="B1867" s="468">
        <v>3.9931481122274848E-2</v>
      </c>
      <c r="C1867" s="468">
        <v>6.7723225481568949E-2</v>
      </c>
      <c r="D1867" s="469">
        <v>7.8740671204873047E-2</v>
      </c>
      <c r="G1867" s="470"/>
      <c r="H1867" s="471"/>
    </row>
    <row r="1868" spans="1:8" x14ac:dyDescent="0.35">
      <c r="A1868" s="467">
        <v>40444</v>
      </c>
      <c r="B1868" s="468">
        <v>3.9818080516301313E-2</v>
      </c>
      <c r="C1868" s="468">
        <v>6.7487735347892208E-2</v>
      </c>
      <c r="D1868" s="469">
        <v>7.7636934445313388E-2</v>
      </c>
      <c r="G1868" s="470"/>
      <c r="H1868" s="471"/>
    </row>
    <row r="1869" spans="1:8" x14ac:dyDescent="0.35">
      <c r="A1869" s="467">
        <v>40445</v>
      </c>
      <c r="B1869" s="468">
        <v>4.0728487152481119E-2</v>
      </c>
      <c r="C1869" s="468">
        <v>6.746906882040693E-2</v>
      </c>
      <c r="D1869" s="469">
        <v>7.9109648127440479E-2</v>
      </c>
      <c r="G1869" s="470"/>
      <c r="H1869" s="471"/>
    </row>
    <row r="1870" spans="1:8" x14ac:dyDescent="0.35">
      <c r="A1870" s="467">
        <v>40448</v>
      </c>
      <c r="B1870" s="468">
        <v>4.0601101681416063E-2</v>
      </c>
      <c r="C1870" s="468">
        <v>6.7023202279668848E-2</v>
      </c>
      <c r="D1870" s="469">
        <v>7.8677627821011065E-2</v>
      </c>
      <c r="G1870" s="470"/>
      <c r="H1870" s="471"/>
    </row>
    <row r="1871" spans="1:8" x14ac:dyDescent="0.35">
      <c r="A1871" s="467">
        <v>40449</v>
      </c>
      <c r="B1871" s="468">
        <v>3.9526245828367612E-2</v>
      </c>
      <c r="C1871" s="468">
        <v>6.6555320718097999E-2</v>
      </c>
      <c r="D1871" s="469">
        <v>7.7102761625001959E-2</v>
      </c>
      <c r="G1871" s="470"/>
      <c r="H1871" s="471"/>
    </row>
    <row r="1872" spans="1:8" x14ac:dyDescent="0.35">
      <c r="A1872" s="467">
        <v>40450</v>
      </c>
      <c r="B1872" s="468">
        <v>3.9750125219624177E-2</v>
      </c>
      <c r="C1872" s="468">
        <v>6.6554088911085829E-2</v>
      </c>
      <c r="D1872" s="469">
        <v>7.712588056347669E-2</v>
      </c>
      <c r="G1872" s="470"/>
      <c r="H1872" s="471"/>
    </row>
    <row r="1873" spans="1:8" x14ac:dyDescent="0.35">
      <c r="A1873" s="467">
        <v>40451</v>
      </c>
      <c r="B1873" s="468">
        <v>3.9224919870989083E-2</v>
      </c>
      <c r="C1873" s="468">
        <v>6.764608985763676E-2</v>
      </c>
      <c r="D1873" s="469">
        <v>7.8897210207286461E-2</v>
      </c>
      <c r="G1873" s="470"/>
      <c r="H1873" s="471"/>
    </row>
    <row r="1874" spans="1:8" x14ac:dyDescent="0.35">
      <c r="A1874" s="467">
        <v>40452</v>
      </c>
      <c r="B1874" s="468">
        <v>3.9189542091234708E-2</v>
      </c>
      <c r="C1874" s="468">
        <v>6.725085322727975E-2</v>
      </c>
      <c r="D1874" s="469">
        <v>7.8260399549262116E-2</v>
      </c>
      <c r="G1874" s="470"/>
      <c r="H1874" s="471"/>
    </row>
    <row r="1875" spans="1:8" x14ac:dyDescent="0.35">
      <c r="A1875" s="467">
        <v>40455</v>
      </c>
      <c r="B1875" s="468">
        <v>3.9657088000427443E-2</v>
      </c>
      <c r="C1875" s="468">
        <v>6.8483583215944499E-2</v>
      </c>
      <c r="D1875" s="469">
        <v>7.8121609201395215E-2</v>
      </c>
      <c r="G1875" s="470"/>
      <c r="H1875" s="471"/>
    </row>
    <row r="1876" spans="1:8" x14ac:dyDescent="0.35">
      <c r="A1876" s="467">
        <v>40456</v>
      </c>
      <c r="B1876" s="468">
        <v>4.0468107172862977E-2</v>
      </c>
      <c r="C1876" s="468">
        <v>6.770067362616583E-2</v>
      </c>
      <c r="D1876" s="469">
        <v>7.8579397590398559E-2</v>
      </c>
      <c r="G1876" s="470"/>
      <c r="H1876" s="471"/>
    </row>
    <row r="1877" spans="1:8" x14ac:dyDescent="0.35">
      <c r="A1877" s="467">
        <v>40457</v>
      </c>
      <c r="B1877" s="468">
        <v>3.9823587478203581E-2</v>
      </c>
      <c r="C1877" s="468">
        <v>6.7013402964288815E-2</v>
      </c>
      <c r="D1877" s="469">
        <v>7.8942236901821783E-2</v>
      </c>
      <c r="G1877" s="470"/>
      <c r="H1877" s="471"/>
    </row>
    <row r="1878" spans="1:8" x14ac:dyDescent="0.35">
      <c r="A1878" s="467">
        <v>40458</v>
      </c>
      <c r="B1878" s="468">
        <v>3.7570424267044933E-2</v>
      </c>
      <c r="C1878" s="468">
        <v>6.6949472402072496E-2</v>
      </c>
      <c r="D1878" s="469">
        <v>7.7220580156043939E-2</v>
      </c>
      <c r="G1878" s="470"/>
      <c r="H1878" s="471"/>
    </row>
    <row r="1879" spans="1:8" x14ac:dyDescent="0.35">
      <c r="A1879" s="467">
        <v>40459</v>
      </c>
      <c r="B1879" s="468">
        <v>3.7060239195624067E-2</v>
      </c>
      <c r="C1879" s="468">
        <v>6.6392350193940519E-2</v>
      </c>
      <c r="D1879" s="469">
        <v>7.6084194948690342E-2</v>
      </c>
      <c r="G1879" s="470"/>
      <c r="H1879" s="471"/>
    </row>
    <row r="1880" spans="1:8" x14ac:dyDescent="0.35">
      <c r="A1880" s="467">
        <v>40462</v>
      </c>
      <c r="B1880" s="468">
        <v>3.7907972295773806E-2</v>
      </c>
      <c r="C1880" s="468">
        <v>6.5948998296482042E-2</v>
      </c>
      <c r="D1880" s="469">
        <v>7.567164266450721E-2</v>
      </c>
      <c r="G1880" s="470"/>
      <c r="H1880" s="471"/>
    </row>
    <row r="1881" spans="1:8" x14ac:dyDescent="0.35">
      <c r="A1881" s="467">
        <v>40463</v>
      </c>
      <c r="B1881" s="468">
        <v>3.8539945377387586E-2</v>
      </c>
      <c r="C1881" s="468">
        <v>6.6085325238613324E-2</v>
      </c>
      <c r="D1881" s="469">
        <v>7.5472726136002422E-2</v>
      </c>
      <c r="G1881" s="470"/>
      <c r="H1881" s="471"/>
    </row>
    <row r="1882" spans="1:8" x14ac:dyDescent="0.35">
      <c r="A1882" s="467">
        <v>40464</v>
      </c>
      <c r="B1882" s="468">
        <v>3.7760315570587899E-2</v>
      </c>
      <c r="C1882" s="468">
        <v>6.632965002471769E-2</v>
      </c>
      <c r="D1882" s="469">
        <v>7.6033413908521696E-2</v>
      </c>
      <c r="G1882" s="470"/>
      <c r="H1882" s="471"/>
    </row>
    <row r="1883" spans="1:8" x14ac:dyDescent="0.35">
      <c r="A1883" s="467">
        <v>40465</v>
      </c>
      <c r="B1883" s="468">
        <v>3.9205155041209805E-2</v>
      </c>
      <c r="C1883" s="468">
        <v>6.583983369644697E-2</v>
      </c>
      <c r="D1883" s="469">
        <v>7.5424942431138398E-2</v>
      </c>
      <c r="G1883" s="470"/>
      <c r="H1883" s="471"/>
    </row>
    <row r="1884" spans="1:8" x14ac:dyDescent="0.35">
      <c r="A1884" s="467">
        <v>40466</v>
      </c>
      <c r="B1884" s="468">
        <v>3.941721235523632E-2</v>
      </c>
      <c r="C1884" s="468">
        <v>6.5893440769133838E-2</v>
      </c>
      <c r="D1884" s="469">
        <v>7.5739845026522534E-2</v>
      </c>
      <c r="G1884" s="470"/>
      <c r="H1884" s="471"/>
    </row>
    <row r="1885" spans="1:8" x14ac:dyDescent="0.35">
      <c r="A1885" s="467">
        <v>40470</v>
      </c>
      <c r="B1885" s="468">
        <v>4.0061056034226938E-2</v>
      </c>
      <c r="C1885" s="468">
        <v>6.5913262465275402E-2</v>
      </c>
      <c r="D1885" s="469">
        <v>7.7100148383106859E-2</v>
      </c>
      <c r="G1885" s="470"/>
      <c r="H1885" s="471"/>
    </row>
    <row r="1886" spans="1:8" x14ac:dyDescent="0.35">
      <c r="A1886" s="467">
        <v>40471</v>
      </c>
      <c r="B1886" s="468">
        <v>3.7214457548210511E-2</v>
      </c>
      <c r="C1886" s="468">
        <v>6.636634942383135E-2</v>
      </c>
      <c r="D1886" s="469">
        <v>7.5790061016550503E-2</v>
      </c>
      <c r="G1886" s="470"/>
      <c r="H1886" s="471"/>
    </row>
    <row r="1887" spans="1:8" x14ac:dyDescent="0.35">
      <c r="A1887" s="467">
        <v>40472</v>
      </c>
      <c r="B1887" s="468">
        <v>3.8507800944805215E-2</v>
      </c>
      <c r="C1887" s="468">
        <v>6.5698454221335023E-2</v>
      </c>
      <c r="D1887" s="469">
        <v>7.5978239602865427E-2</v>
      </c>
      <c r="G1887" s="470"/>
      <c r="H1887" s="471"/>
    </row>
    <row r="1888" spans="1:8" x14ac:dyDescent="0.35">
      <c r="A1888" s="467">
        <v>40473</v>
      </c>
      <c r="B1888" s="468">
        <v>3.7169031333388558E-2</v>
      </c>
      <c r="C1888" s="468">
        <v>6.5391223469078552E-2</v>
      </c>
      <c r="D1888" s="469">
        <v>7.4954267490329407E-2</v>
      </c>
      <c r="G1888" s="470"/>
      <c r="H1888" s="471"/>
    </row>
    <row r="1889" spans="1:8" x14ac:dyDescent="0.35">
      <c r="A1889" s="467">
        <v>40476</v>
      </c>
      <c r="B1889" s="468">
        <v>3.831242971283344E-2</v>
      </c>
      <c r="C1889" s="468">
        <v>6.4782442259639916E-2</v>
      </c>
      <c r="D1889" s="469">
        <v>7.4963103910212769E-2</v>
      </c>
      <c r="G1889" s="470"/>
      <c r="H1889" s="471"/>
    </row>
    <row r="1890" spans="1:8" x14ac:dyDescent="0.35">
      <c r="A1890" s="467">
        <v>40477</v>
      </c>
      <c r="B1890" s="468">
        <v>3.7411222776722486E-2</v>
      </c>
      <c r="C1890" s="468">
        <v>6.5305970866538443E-2</v>
      </c>
      <c r="D1890" s="469">
        <v>7.6041844374469258E-2</v>
      </c>
      <c r="G1890" s="470"/>
      <c r="H1890" s="471"/>
    </row>
    <row r="1891" spans="1:8" x14ac:dyDescent="0.35">
      <c r="A1891" s="467">
        <v>40478</v>
      </c>
      <c r="B1891" s="468">
        <v>3.7758774154412533E-2</v>
      </c>
      <c r="C1891" s="468">
        <v>6.4914684483696083E-2</v>
      </c>
      <c r="D1891" s="469">
        <v>7.5288799693904895E-2</v>
      </c>
      <c r="G1891" s="470"/>
      <c r="H1891" s="471"/>
    </row>
    <row r="1892" spans="1:8" x14ac:dyDescent="0.35">
      <c r="A1892" s="467">
        <v>40479</v>
      </c>
      <c r="B1892" s="468">
        <v>3.8116804549636951E-2</v>
      </c>
      <c r="C1892" s="468">
        <v>6.4230503620003709E-2</v>
      </c>
      <c r="D1892" s="469">
        <v>7.5118442512037698E-2</v>
      </c>
      <c r="G1892" s="470"/>
      <c r="H1892" s="471"/>
    </row>
    <row r="1893" spans="1:8" x14ac:dyDescent="0.35">
      <c r="A1893" s="467">
        <v>40480</v>
      </c>
      <c r="B1893" s="468">
        <v>3.8314683727730392E-2</v>
      </c>
      <c r="C1893" s="468">
        <v>6.4559422888958107E-2</v>
      </c>
      <c r="D1893" s="469">
        <v>7.4983202361558199E-2</v>
      </c>
      <c r="G1893" s="470"/>
      <c r="H1893" s="471"/>
    </row>
    <row r="1894" spans="1:8" x14ac:dyDescent="0.35">
      <c r="A1894" s="467">
        <v>40484</v>
      </c>
      <c r="B1894" s="468">
        <v>3.7989443183877869E-2</v>
      </c>
      <c r="C1894" s="468">
        <v>6.4980443600697324E-2</v>
      </c>
      <c r="D1894" s="469">
        <v>7.5492035591747664E-2</v>
      </c>
      <c r="G1894" s="470"/>
      <c r="H1894" s="471"/>
    </row>
    <row r="1895" spans="1:8" x14ac:dyDescent="0.35">
      <c r="A1895" s="467">
        <v>40485</v>
      </c>
      <c r="B1895" s="468">
        <v>3.6609213962736309E-2</v>
      </c>
      <c r="C1895" s="468">
        <v>6.5937443383821348E-2</v>
      </c>
      <c r="D1895" s="469">
        <v>7.6553031116748604E-2</v>
      </c>
      <c r="G1895" s="470"/>
      <c r="H1895" s="471"/>
    </row>
    <row r="1896" spans="1:8" x14ac:dyDescent="0.35">
      <c r="A1896" s="467">
        <v>40486</v>
      </c>
      <c r="B1896" s="468">
        <v>3.8133931985092628E-2</v>
      </c>
      <c r="C1896" s="468">
        <v>6.5262388694593332E-2</v>
      </c>
      <c r="D1896" s="469">
        <v>7.637358261581384E-2</v>
      </c>
      <c r="G1896" s="470"/>
      <c r="H1896" s="471"/>
    </row>
    <row r="1897" spans="1:8" x14ac:dyDescent="0.35">
      <c r="A1897" s="467">
        <v>40487</v>
      </c>
      <c r="B1897" s="468">
        <v>3.7552251393553115E-2</v>
      </c>
      <c r="C1897" s="468">
        <v>6.5113860917869637E-2</v>
      </c>
      <c r="D1897" s="469">
        <v>7.5725737118209402E-2</v>
      </c>
      <c r="G1897" s="470"/>
      <c r="H1897" s="471"/>
    </row>
    <row r="1898" spans="1:8" x14ac:dyDescent="0.35">
      <c r="A1898" s="467">
        <v>40490</v>
      </c>
      <c r="B1898" s="468">
        <v>3.765692114174235E-2</v>
      </c>
      <c r="C1898" s="468">
        <v>6.4898142656278468E-2</v>
      </c>
      <c r="D1898" s="469">
        <v>7.5207938845931466E-2</v>
      </c>
      <c r="G1898" s="470"/>
      <c r="H1898" s="471"/>
    </row>
    <row r="1899" spans="1:8" x14ac:dyDescent="0.35">
      <c r="A1899" s="467">
        <v>40491</v>
      </c>
      <c r="B1899" s="468">
        <v>3.9371091710464379E-2</v>
      </c>
      <c r="C1899" s="468">
        <v>6.4380515517100889E-2</v>
      </c>
      <c r="D1899" s="469">
        <v>7.5161335867407475E-2</v>
      </c>
      <c r="G1899" s="470"/>
      <c r="H1899" s="471"/>
    </row>
    <row r="1900" spans="1:8" x14ac:dyDescent="0.35">
      <c r="A1900" s="467">
        <v>40492</v>
      </c>
      <c r="B1900" s="468">
        <v>3.8500991211946278E-2</v>
      </c>
      <c r="C1900" s="468">
        <v>6.4524856111678908E-2</v>
      </c>
      <c r="D1900" s="469">
        <v>7.5467084860765254E-2</v>
      </c>
      <c r="G1900" s="470"/>
      <c r="H1900" s="471"/>
    </row>
    <row r="1901" spans="1:8" x14ac:dyDescent="0.35">
      <c r="A1901" s="467">
        <v>40493</v>
      </c>
      <c r="B1901" s="468">
        <v>3.8204275943710675E-2</v>
      </c>
      <c r="C1901" s="468">
        <v>6.5670950175062526E-2</v>
      </c>
      <c r="D1901" s="469">
        <v>7.6390779928052766E-2</v>
      </c>
      <c r="G1901" s="470"/>
      <c r="H1901" s="471"/>
    </row>
    <row r="1902" spans="1:8" x14ac:dyDescent="0.35">
      <c r="A1902" s="467">
        <v>40494</v>
      </c>
      <c r="B1902" s="468">
        <v>3.74843968657812E-2</v>
      </c>
      <c r="C1902" s="468">
        <v>6.7201521045427537E-2</v>
      </c>
      <c r="D1902" s="469">
        <v>7.9203147647345595E-2</v>
      </c>
      <c r="G1902" s="470"/>
      <c r="H1902" s="471"/>
    </row>
    <row r="1903" spans="1:8" x14ac:dyDescent="0.35">
      <c r="A1903" s="467">
        <v>40498</v>
      </c>
      <c r="B1903" s="468">
        <v>3.9262007703519508E-2</v>
      </c>
      <c r="C1903" s="468">
        <v>6.858547980896823E-2</v>
      </c>
      <c r="D1903" s="469">
        <v>8.062275238262484E-2</v>
      </c>
      <c r="G1903" s="470"/>
      <c r="H1903" s="471"/>
    </row>
    <row r="1904" spans="1:8" x14ac:dyDescent="0.35">
      <c r="A1904" s="467">
        <v>40499</v>
      </c>
      <c r="B1904" s="468">
        <v>3.7308579775135797E-2</v>
      </c>
      <c r="C1904" s="468">
        <v>6.8205374952295061E-2</v>
      </c>
      <c r="D1904" s="469">
        <v>7.8719944538061748E-2</v>
      </c>
      <c r="G1904" s="470"/>
      <c r="H1904" s="471"/>
    </row>
    <row r="1905" spans="1:8" x14ac:dyDescent="0.35">
      <c r="A1905" s="467">
        <v>40500</v>
      </c>
      <c r="B1905" s="468">
        <v>3.8240873679410425E-2</v>
      </c>
      <c r="C1905" s="468">
        <v>6.7670245546262109E-2</v>
      </c>
      <c r="D1905" s="469">
        <v>7.8557186422444136E-2</v>
      </c>
      <c r="G1905" s="470"/>
      <c r="H1905" s="471"/>
    </row>
    <row r="1906" spans="1:8" x14ac:dyDescent="0.35">
      <c r="A1906" s="467">
        <v>40501</v>
      </c>
      <c r="B1906" s="468">
        <v>3.9896484575669966E-2</v>
      </c>
      <c r="C1906" s="468">
        <v>6.6061907627136929E-2</v>
      </c>
      <c r="D1906" s="469">
        <v>8.0615687183622331E-2</v>
      </c>
      <c r="G1906" s="470"/>
      <c r="H1906" s="471"/>
    </row>
    <row r="1907" spans="1:8" x14ac:dyDescent="0.35">
      <c r="A1907" s="467">
        <v>40504</v>
      </c>
      <c r="B1907" s="468">
        <v>3.928149548526072E-2</v>
      </c>
      <c r="C1907" s="468">
        <v>6.7747208747410248E-2</v>
      </c>
      <c r="D1907" s="469">
        <v>7.9768759985566096E-2</v>
      </c>
      <c r="G1907" s="470"/>
      <c r="H1907" s="471"/>
    </row>
    <row r="1908" spans="1:8" x14ac:dyDescent="0.35">
      <c r="A1908" s="467">
        <v>40505</v>
      </c>
      <c r="B1908" s="468">
        <v>4.1866671639145814E-2</v>
      </c>
      <c r="C1908" s="468">
        <v>6.837179223107781E-2</v>
      </c>
      <c r="D1908" s="469">
        <v>8.1697133712208103E-2</v>
      </c>
      <c r="G1908" s="470"/>
      <c r="H1908" s="471"/>
    </row>
    <row r="1909" spans="1:8" x14ac:dyDescent="0.35">
      <c r="A1909" s="467">
        <v>40506</v>
      </c>
      <c r="B1909" s="468">
        <v>3.8217178648915162E-2</v>
      </c>
      <c r="C1909" s="468">
        <v>6.8192434383513856E-2</v>
      </c>
      <c r="D1909" s="469">
        <v>7.9639592670657677E-2</v>
      </c>
      <c r="G1909" s="470"/>
      <c r="H1909" s="471"/>
    </row>
    <row r="1910" spans="1:8" x14ac:dyDescent="0.35">
      <c r="A1910" s="467">
        <v>40507</v>
      </c>
      <c r="B1910" s="468">
        <v>3.5441148815649859E-2</v>
      </c>
      <c r="C1910" s="468">
        <v>6.9133359420322726E-2</v>
      </c>
      <c r="D1910" s="469">
        <v>8.0395839650584611E-2</v>
      </c>
      <c r="G1910" s="470"/>
      <c r="H1910" s="471"/>
    </row>
    <row r="1911" spans="1:8" x14ac:dyDescent="0.35">
      <c r="A1911" s="467">
        <v>40508</v>
      </c>
      <c r="B1911" s="468">
        <v>3.6186229130716452E-2</v>
      </c>
      <c r="C1911" s="468">
        <v>6.9685326619242316E-2</v>
      </c>
      <c r="D1911" s="469">
        <v>8.0625774285724594E-2</v>
      </c>
      <c r="G1911" s="470"/>
      <c r="H1911" s="471"/>
    </row>
    <row r="1912" spans="1:8" x14ac:dyDescent="0.35">
      <c r="A1912" s="467">
        <v>40511</v>
      </c>
      <c r="B1912" s="468">
        <v>3.8239523236378581E-2</v>
      </c>
      <c r="C1912" s="468">
        <v>6.8510496166167556E-2</v>
      </c>
      <c r="D1912" s="469">
        <v>8.2333027012077453E-2</v>
      </c>
      <c r="G1912" s="470"/>
      <c r="H1912" s="471"/>
    </row>
    <row r="1913" spans="1:8" x14ac:dyDescent="0.35">
      <c r="A1913" s="467">
        <v>40512</v>
      </c>
      <c r="B1913" s="468">
        <v>3.7833746702174542E-2</v>
      </c>
      <c r="C1913" s="468">
        <v>6.9736353172045407E-2</v>
      </c>
      <c r="D1913" s="469">
        <v>8.2107330670113887E-2</v>
      </c>
      <c r="G1913" s="470"/>
      <c r="H1913" s="471"/>
    </row>
    <row r="1914" spans="1:8" x14ac:dyDescent="0.35">
      <c r="A1914" s="467">
        <v>40513</v>
      </c>
      <c r="B1914" s="468">
        <v>4.0893930589935401E-2</v>
      </c>
      <c r="C1914" s="468">
        <v>6.7827960151329414E-2</v>
      </c>
      <c r="D1914" s="469">
        <v>8.2538830817199926E-2</v>
      </c>
      <c r="G1914" s="470"/>
      <c r="H1914" s="471"/>
    </row>
    <row r="1915" spans="1:8" x14ac:dyDescent="0.35">
      <c r="A1915" s="467">
        <v>40514</v>
      </c>
      <c r="B1915" s="468">
        <v>3.860564847916792E-2</v>
      </c>
      <c r="C1915" s="468">
        <v>6.9529719773534282E-2</v>
      </c>
      <c r="D1915" s="469">
        <v>8.0811937771207987E-2</v>
      </c>
      <c r="G1915" s="470"/>
      <c r="H1915" s="471"/>
    </row>
    <row r="1916" spans="1:8" x14ac:dyDescent="0.35">
      <c r="A1916" s="467">
        <v>40515</v>
      </c>
      <c r="B1916" s="468">
        <v>3.8223566544723475E-2</v>
      </c>
      <c r="C1916" s="468">
        <v>6.8974078460997124E-2</v>
      </c>
      <c r="D1916" s="469">
        <v>8.0002364288410455E-2</v>
      </c>
      <c r="G1916" s="470"/>
      <c r="H1916" s="471"/>
    </row>
    <row r="1917" spans="1:8" x14ac:dyDescent="0.35">
      <c r="A1917" s="467">
        <v>40518</v>
      </c>
      <c r="B1917" s="468">
        <v>3.8685273974533363E-2</v>
      </c>
      <c r="C1917" s="468">
        <v>6.8723264826277664E-2</v>
      </c>
      <c r="D1917" s="469">
        <v>7.9751233480589878E-2</v>
      </c>
      <c r="G1917" s="470"/>
      <c r="H1917" s="471"/>
    </row>
    <row r="1918" spans="1:8" x14ac:dyDescent="0.35">
      <c r="A1918" s="467">
        <v>40519</v>
      </c>
      <c r="B1918" s="468">
        <v>3.7780032399104435E-2</v>
      </c>
      <c r="C1918" s="468">
        <v>6.9365875200589677E-2</v>
      </c>
      <c r="D1918" s="469">
        <v>7.9617087007755716E-2</v>
      </c>
      <c r="G1918" s="470"/>
      <c r="H1918" s="471"/>
    </row>
    <row r="1919" spans="1:8" x14ac:dyDescent="0.35">
      <c r="A1919" s="467">
        <v>40521</v>
      </c>
      <c r="B1919" s="468">
        <v>3.9325435978050161E-2</v>
      </c>
      <c r="C1919" s="468">
        <v>6.9944494186610084E-2</v>
      </c>
      <c r="D1919" s="469">
        <v>8.1019656385348471E-2</v>
      </c>
      <c r="G1919" s="470"/>
      <c r="H1919" s="471"/>
    </row>
    <row r="1920" spans="1:8" x14ac:dyDescent="0.35">
      <c r="A1920" s="467">
        <v>40522</v>
      </c>
      <c r="B1920" s="468">
        <v>4.2305682024293301E-2</v>
      </c>
      <c r="C1920" s="468">
        <v>7.0811670073013033E-2</v>
      </c>
      <c r="D1920" s="469">
        <v>8.2365135759071118E-2</v>
      </c>
      <c r="G1920" s="470"/>
      <c r="H1920" s="471"/>
    </row>
    <row r="1921" spans="1:8" x14ac:dyDescent="0.35">
      <c r="A1921" s="467">
        <v>40525</v>
      </c>
      <c r="B1921" s="468">
        <v>4.2677581511965101E-2</v>
      </c>
      <c r="C1921" s="468">
        <v>7.2911302597593375E-2</v>
      </c>
      <c r="D1921" s="469">
        <v>8.2652133493718916E-2</v>
      </c>
      <c r="G1921" s="470"/>
      <c r="H1921" s="471"/>
    </row>
    <row r="1922" spans="1:8" x14ac:dyDescent="0.35">
      <c r="A1922" s="467">
        <v>40526</v>
      </c>
      <c r="B1922" s="468">
        <v>4.3405507908252261E-2</v>
      </c>
      <c r="C1922" s="468">
        <v>7.2479442918343295E-2</v>
      </c>
      <c r="D1922" s="469">
        <v>8.2984757593941971E-2</v>
      </c>
      <c r="G1922" s="470"/>
      <c r="H1922" s="471"/>
    </row>
    <row r="1923" spans="1:8" x14ac:dyDescent="0.35">
      <c r="A1923" s="467">
        <v>40527</v>
      </c>
      <c r="B1923" s="468">
        <v>4.4069080394215643E-2</v>
      </c>
      <c r="C1923" s="468">
        <v>7.2597148401510436E-2</v>
      </c>
      <c r="D1923" s="469">
        <v>8.2140646713808385E-2</v>
      </c>
      <c r="G1923" s="470"/>
      <c r="H1923" s="471"/>
    </row>
    <row r="1924" spans="1:8" x14ac:dyDescent="0.35">
      <c r="A1924" s="467">
        <v>40528</v>
      </c>
      <c r="B1924" s="468">
        <v>4.4417146627863335E-2</v>
      </c>
      <c r="C1924" s="468">
        <v>7.266174599907238E-2</v>
      </c>
      <c r="D1924" s="469">
        <v>8.2933843241269178E-2</v>
      </c>
      <c r="G1924" s="470"/>
      <c r="H1924" s="471"/>
    </row>
    <row r="1925" spans="1:8" x14ac:dyDescent="0.35">
      <c r="A1925" s="467">
        <v>40529</v>
      </c>
      <c r="B1925" s="468">
        <v>4.4174090865132909E-2</v>
      </c>
      <c r="C1925" s="468">
        <v>7.1996040980129683E-2</v>
      </c>
      <c r="D1925" s="469">
        <v>8.2141702638822256E-2</v>
      </c>
      <c r="G1925" s="470"/>
      <c r="H1925" s="471"/>
    </row>
    <row r="1926" spans="1:8" x14ac:dyDescent="0.35">
      <c r="A1926" s="467">
        <v>40532</v>
      </c>
      <c r="B1926" s="468">
        <v>4.4054077556362703E-2</v>
      </c>
      <c r="C1926" s="468">
        <v>7.3334770333031818E-2</v>
      </c>
      <c r="D1926" s="469">
        <v>8.2203356841395347E-2</v>
      </c>
      <c r="G1926" s="470"/>
      <c r="H1926" s="471"/>
    </row>
    <row r="1927" spans="1:8" x14ac:dyDescent="0.35">
      <c r="A1927" s="467">
        <v>40533</v>
      </c>
      <c r="B1927" s="468">
        <v>4.3779574058711912E-2</v>
      </c>
      <c r="C1927" s="468">
        <v>7.297117754789717E-2</v>
      </c>
      <c r="D1927" s="469">
        <v>8.2617019082791288E-2</v>
      </c>
      <c r="G1927" s="470"/>
      <c r="H1927" s="471"/>
    </row>
    <row r="1928" spans="1:8" x14ac:dyDescent="0.35">
      <c r="A1928" s="467">
        <v>40534</v>
      </c>
      <c r="B1928" s="468">
        <v>4.2888608465063482E-2</v>
      </c>
      <c r="C1928" s="468">
        <v>7.312123628943179E-2</v>
      </c>
      <c r="D1928" s="469">
        <v>8.1920618614197638E-2</v>
      </c>
      <c r="G1928" s="470"/>
      <c r="H1928" s="471"/>
    </row>
    <row r="1929" spans="1:8" x14ac:dyDescent="0.35">
      <c r="A1929" s="467">
        <v>40535</v>
      </c>
      <c r="B1929" s="468">
        <v>4.3584400769971055E-2</v>
      </c>
      <c r="C1929" s="468">
        <v>7.2595793860948055E-2</v>
      </c>
      <c r="D1929" s="469">
        <v>8.2741092614489808E-2</v>
      </c>
      <c r="G1929" s="470"/>
      <c r="H1929" s="471"/>
    </row>
    <row r="1930" spans="1:8" x14ac:dyDescent="0.35">
      <c r="A1930" s="467">
        <v>40536</v>
      </c>
      <c r="B1930" s="468">
        <v>4.2066766056878313E-2</v>
      </c>
      <c r="C1930" s="468">
        <v>7.1997043514162806E-2</v>
      </c>
      <c r="D1930" s="469">
        <v>8.0611272942530343E-2</v>
      </c>
      <c r="G1930" s="470"/>
      <c r="H1930" s="471"/>
    </row>
    <row r="1931" spans="1:8" x14ac:dyDescent="0.35">
      <c r="A1931" s="467">
        <v>40539</v>
      </c>
      <c r="B1931" s="468">
        <v>4.3554855791461344E-2</v>
      </c>
      <c r="C1931" s="468">
        <v>7.2633643930443581E-2</v>
      </c>
      <c r="D1931" s="469">
        <v>8.2584464547393654E-2</v>
      </c>
      <c r="G1931" s="470"/>
      <c r="H1931" s="471"/>
    </row>
    <row r="1932" spans="1:8" x14ac:dyDescent="0.35">
      <c r="A1932" s="467">
        <v>40540</v>
      </c>
      <c r="B1932" s="468">
        <v>4.3673621549269681E-2</v>
      </c>
      <c r="C1932" s="468">
        <v>7.2543044688127223E-2</v>
      </c>
      <c r="D1932" s="469">
        <v>8.2028061241415484E-2</v>
      </c>
      <c r="G1932" s="470"/>
      <c r="H1932" s="471"/>
    </row>
    <row r="1933" spans="1:8" x14ac:dyDescent="0.35">
      <c r="A1933" s="467">
        <v>40541</v>
      </c>
      <c r="B1933" s="468">
        <v>4.1911926452313564E-2</v>
      </c>
      <c r="C1933" s="468">
        <v>7.2799992477884823E-2</v>
      </c>
      <c r="D1933" s="469">
        <v>8.1926083697938079E-2</v>
      </c>
      <c r="G1933" s="470"/>
      <c r="H1933" s="471"/>
    </row>
    <row r="1934" spans="1:8" x14ac:dyDescent="0.35">
      <c r="A1934" s="467">
        <v>40542</v>
      </c>
      <c r="B1934" s="468">
        <v>4.3681265914060852E-2</v>
      </c>
      <c r="C1934" s="468">
        <v>7.3282358028032624E-2</v>
      </c>
      <c r="D1934" s="469">
        <v>8.2356718883959124E-2</v>
      </c>
      <c r="G1934" s="470"/>
      <c r="H1934" s="471"/>
    </row>
    <row r="1935" spans="1:8" x14ac:dyDescent="0.35">
      <c r="A1935" s="467">
        <v>40546</v>
      </c>
      <c r="B1935" s="468">
        <v>4.3128215248711133E-2</v>
      </c>
      <c r="C1935" s="468">
        <v>7.2671580255518231E-2</v>
      </c>
      <c r="D1935" s="469">
        <v>8.2804041969980036E-2</v>
      </c>
      <c r="G1935" s="470"/>
      <c r="H1935" s="471"/>
    </row>
    <row r="1936" spans="1:8" x14ac:dyDescent="0.35">
      <c r="A1936" s="467">
        <v>40547</v>
      </c>
      <c r="B1936" s="468">
        <v>4.3551777411266812E-2</v>
      </c>
      <c r="C1936" s="468">
        <v>7.530930367355837E-2</v>
      </c>
      <c r="D1936" s="469">
        <v>8.3803012465142768E-2</v>
      </c>
      <c r="G1936" s="470"/>
      <c r="H1936" s="471"/>
    </row>
    <row r="1937" spans="1:8" x14ac:dyDescent="0.35">
      <c r="A1937" s="467">
        <v>40548</v>
      </c>
      <c r="B1937" s="468">
        <v>4.587645375543814E-2</v>
      </c>
      <c r="C1937" s="468">
        <v>7.5641964240335646E-2</v>
      </c>
      <c r="D1937" s="469">
        <v>8.429778881076011E-2</v>
      </c>
      <c r="G1937" s="470"/>
      <c r="H1937" s="471"/>
    </row>
    <row r="1938" spans="1:8" x14ac:dyDescent="0.35">
      <c r="A1938" s="467">
        <v>40549</v>
      </c>
      <c r="B1938" s="468">
        <v>4.4442756620578061E-2</v>
      </c>
      <c r="C1938" s="468">
        <v>7.6912142247636872E-2</v>
      </c>
      <c r="D1938" s="469">
        <v>8.3910154461875885E-2</v>
      </c>
      <c r="G1938" s="470"/>
      <c r="H1938" s="471"/>
    </row>
    <row r="1939" spans="1:8" x14ac:dyDescent="0.35">
      <c r="A1939" s="467">
        <v>40550</v>
      </c>
      <c r="B1939" s="468">
        <v>4.3844722752721221E-2</v>
      </c>
      <c r="C1939" s="468">
        <v>7.5617787601493847E-2</v>
      </c>
      <c r="D1939" s="469">
        <v>8.3140492553593681E-2</v>
      </c>
      <c r="G1939" s="470"/>
      <c r="H1939" s="471"/>
    </row>
    <row r="1940" spans="1:8" x14ac:dyDescent="0.35">
      <c r="A1940" s="467">
        <v>40554</v>
      </c>
      <c r="B1940" s="468">
        <v>4.4298622863003123E-2</v>
      </c>
      <c r="C1940" s="468">
        <v>7.5309065856656421E-2</v>
      </c>
      <c r="D1940" s="469">
        <v>8.2988669903174328E-2</v>
      </c>
      <c r="G1940" s="470"/>
      <c r="H1940" s="471"/>
    </row>
    <row r="1941" spans="1:8" x14ac:dyDescent="0.35">
      <c r="A1941" s="467">
        <v>40555</v>
      </c>
      <c r="B1941" s="468">
        <v>4.3711678486750172E-2</v>
      </c>
      <c r="C1941" s="468">
        <v>7.398543918334699E-2</v>
      </c>
      <c r="D1941" s="469">
        <v>8.2235366952168043E-2</v>
      </c>
      <c r="G1941" s="470"/>
      <c r="H1941" s="471"/>
    </row>
    <row r="1942" spans="1:8" x14ac:dyDescent="0.35">
      <c r="A1942" s="467">
        <v>40556</v>
      </c>
      <c r="B1942" s="468">
        <v>4.3431787230305829E-2</v>
      </c>
      <c r="C1942" s="468">
        <v>7.4230287581820376E-2</v>
      </c>
      <c r="D1942" s="469">
        <v>8.1654609510204201E-2</v>
      </c>
      <c r="G1942" s="470"/>
      <c r="H1942" s="471"/>
    </row>
    <row r="1943" spans="1:8" x14ac:dyDescent="0.35">
      <c r="A1943" s="467">
        <v>40557</v>
      </c>
      <c r="B1943" s="468">
        <v>4.3824856117740785E-2</v>
      </c>
      <c r="C1943" s="468">
        <v>7.4587159273508785E-2</v>
      </c>
      <c r="D1943" s="469">
        <v>8.2130710385831085E-2</v>
      </c>
      <c r="G1943" s="470"/>
      <c r="H1943" s="471"/>
    </row>
    <row r="1944" spans="1:8" x14ac:dyDescent="0.35">
      <c r="A1944" s="467">
        <v>40560</v>
      </c>
      <c r="B1944" s="468">
        <v>4.4455754433176287E-2</v>
      </c>
      <c r="C1944" s="468">
        <v>7.5528696646948834E-2</v>
      </c>
      <c r="D1944" s="469">
        <v>8.3560047188388387E-2</v>
      </c>
      <c r="G1944" s="470"/>
      <c r="H1944" s="471"/>
    </row>
    <row r="1945" spans="1:8" x14ac:dyDescent="0.35">
      <c r="A1945" s="467">
        <v>40561</v>
      </c>
      <c r="B1945" s="468">
        <v>4.5065410356402769E-2</v>
      </c>
      <c r="C1945" s="468">
        <v>7.6087213614486782E-2</v>
      </c>
      <c r="D1945" s="469">
        <v>8.4084590822283589E-2</v>
      </c>
      <c r="G1945" s="470"/>
      <c r="H1945" s="471"/>
    </row>
    <row r="1946" spans="1:8" x14ac:dyDescent="0.35">
      <c r="A1946" s="467">
        <v>40562</v>
      </c>
      <c r="B1946" s="468">
        <v>4.4381400493111789E-2</v>
      </c>
      <c r="C1946" s="468">
        <v>7.5905104124791345E-2</v>
      </c>
      <c r="D1946" s="469">
        <v>8.389241370832301E-2</v>
      </c>
      <c r="G1946" s="470"/>
      <c r="H1946" s="471"/>
    </row>
    <row r="1947" spans="1:8" x14ac:dyDescent="0.35">
      <c r="A1947" s="467">
        <v>40563</v>
      </c>
      <c r="B1947" s="468">
        <v>4.4361257180286717E-2</v>
      </c>
      <c r="C1947" s="468">
        <v>7.5392120668841711E-2</v>
      </c>
      <c r="D1947" s="469">
        <v>8.4545906355256717E-2</v>
      </c>
      <c r="G1947" s="470"/>
      <c r="H1947" s="471"/>
    </row>
    <row r="1948" spans="1:8" x14ac:dyDescent="0.35">
      <c r="A1948" s="467">
        <v>40564</v>
      </c>
      <c r="B1948" s="468">
        <v>4.4531744897743364E-2</v>
      </c>
      <c r="C1948" s="468">
        <v>7.6139917849867178E-2</v>
      </c>
      <c r="D1948" s="469">
        <v>8.4482168303055882E-2</v>
      </c>
      <c r="G1948" s="470"/>
      <c r="H1948" s="471"/>
    </row>
    <row r="1949" spans="1:8" x14ac:dyDescent="0.35">
      <c r="A1949" s="467">
        <v>40567</v>
      </c>
      <c r="B1949" s="468">
        <v>4.4128569920079741E-2</v>
      </c>
      <c r="C1949" s="468">
        <v>7.6394010022726055E-2</v>
      </c>
      <c r="D1949" s="469">
        <v>8.4473225724350565E-2</v>
      </c>
      <c r="G1949" s="470"/>
      <c r="H1949" s="471"/>
    </row>
    <row r="1950" spans="1:8" x14ac:dyDescent="0.35">
      <c r="A1950" s="467">
        <v>40568</v>
      </c>
      <c r="B1950" s="468">
        <v>4.4604631535597905E-2</v>
      </c>
      <c r="C1950" s="468">
        <v>7.6674923986591148E-2</v>
      </c>
      <c r="D1950" s="469">
        <v>8.4341006693354537E-2</v>
      </c>
      <c r="G1950" s="470"/>
      <c r="H1950" s="471"/>
    </row>
    <row r="1951" spans="1:8" x14ac:dyDescent="0.35">
      <c r="A1951" s="467">
        <v>40569</v>
      </c>
      <c r="B1951" s="468">
        <v>4.4245654668314316E-2</v>
      </c>
      <c r="C1951" s="468">
        <v>7.630279818686625E-2</v>
      </c>
      <c r="D1951" s="469">
        <v>8.4071558995513884E-2</v>
      </c>
      <c r="G1951" s="470"/>
      <c r="H1951" s="471"/>
    </row>
    <row r="1952" spans="1:8" x14ac:dyDescent="0.35">
      <c r="A1952" s="467">
        <v>40570</v>
      </c>
      <c r="B1952" s="468">
        <v>4.3873169019191138E-2</v>
      </c>
      <c r="C1952" s="468">
        <v>7.6577403570532665E-2</v>
      </c>
      <c r="D1952" s="469">
        <v>8.4135015190036411E-2</v>
      </c>
      <c r="G1952" s="470"/>
      <c r="H1952" s="471"/>
    </row>
    <row r="1953" spans="1:8" x14ac:dyDescent="0.35">
      <c r="A1953" s="467">
        <v>40571</v>
      </c>
      <c r="B1953" s="468">
        <v>4.4247230723017505E-2</v>
      </c>
      <c r="C1953" s="468">
        <v>7.678201107609417E-2</v>
      </c>
      <c r="D1953" s="469">
        <v>8.4728322958136371E-2</v>
      </c>
      <c r="G1953" s="470"/>
      <c r="H1953" s="471"/>
    </row>
    <row r="1954" spans="1:8" x14ac:dyDescent="0.35">
      <c r="A1954" s="467">
        <v>40574</v>
      </c>
      <c r="B1954" s="468">
        <v>4.3699397645196036E-2</v>
      </c>
      <c r="C1954" s="468">
        <v>7.6552930312821399E-2</v>
      </c>
      <c r="D1954" s="469">
        <v>8.4841192618128503E-2</v>
      </c>
      <c r="G1954" s="470"/>
      <c r="H1954" s="471"/>
    </row>
    <row r="1955" spans="1:8" x14ac:dyDescent="0.35">
      <c r="A1955" s="467">
        <v>40575</v>
      </c>
      <c r="B1955" s="468">
        <v>4.5566765714969426E-2</v>
      </c>
      <c r="C1955" s="468">
        <v>7.7579079180948751E-2</v>
      </c>
      <c r="D1955" s="469">
        <v>8.5109519844194015E-2</v>
      </c>
      <c r="G1955" s="470"/>
      <c r="H1955" s="471"/>
    </row>
    <row r="1956" spans="1:8" x14ac:dyDescent="0.35">
      <c r="A1956" s="467">
        <v>40576</v>
      </c>
      <c r="B1956" s="468">
        <v>4.4852540850729872E-2</v>
      </c>
      <c r="C1956" s="468">
        <v>7.7919194779410894E-2</v>
      </c>
      <c r="D1956" s="469">
        <v>8.5081597270158404E-2</v>
      </c>
      <c r="G1956" s="470"/>
      <c r="H1956" s="471"/>
    </row>
    <row r="1957" spans="1:8" x14ac:dyDescent="0.35">
      <c r="A1957" s="467">
        <v>40577</v>
      </c>
      <c r="B1957" s="468">
        <v>4.4706063510764782E-2</v>
      </c>
      <c r="C1957" s="468">
        <v>7.7955837193693034E-2</v>
      </c>
      <c r="D1957" s="469">
        <v>8.5197245370154828E-2</v>
      </c>
      <c r="G1957" s="470"/>
      <c r="H1957" s="471"/>
    </row>
    <row r="1958" spans="1:8" x14ac:dyDescent="0.35">
      <c r="A1958" s="467">
        <v>40578</v>
      </c>
      <c r="B1958" s="468">
        <v>4.5154761659088827E-2</v>
      </c>
      <c r="C1958" s="468">
        <v>7.8179456926559476E-2</v>
      </c>
      <c r="D1958" s="469">
        <v>8.5710419163124385E-2</v>
      </c>
      <c r="G1958" s="470"/>
      <c r="H1958" s="471"/>
    </row>
    <row r="1959" spans="1:8" x14ac:dyDescent="0.35">
      <c r="A1959" s="467">
        <v>40581</v>
      </c>
      <c r="B1959" s="468">
        <v>4.6002187218497248E-2</v>
      </c>
      <c r="C1959" s="468">
        <v>7.8347937884536645E-2</v>
      </c>
      <c r="D1959" s="469">
        <v>8.615724384618173E-2</v>
      </c>
      <c r="G1959" s="470"/>
      <c r="H1959" s="471"/>
    </row>
    <row r="1960" spans="1:8" x14ac:dyDescent="0.35">
      <c r="A1960" s="467">
        <v>40582</v>
      </c>
      <c r="B1960" s="468">
        <v>4.5647145468771244E-2</v>
      </c>
      <c r="C1960" s="468">
        <v>7.9962401980499642E-2</v>
      </c>
      <c r="D1960" s="469">
        <v>8.7590910832424207E-2</v>
      </c>
      <c r="G1960" s="470"/>
      <c r="H1960" s="471"/>
    </row>
    <row r="1961" spans="1:8" x14ac:dyDescent="0.35">
      <c r="A1961" s="467">
        <v>40583</v>
      </c>
      <c r="B1961" s="468">
        <v>4.6271555869332071E-2</v>
      </c>
      <c r="C1961" s="468">
        <v>7.9613244974765962E-2</v>
      </c>
      <c r="D1961" s="469">
        <v>8.7375200728124325E-2</v>
      </c>
      <c r="G1961" s="470"/>
      <c r="H1961" s="471"/>
    </row>
    <row r="1962" spans="1:8" x14ac:dyDescent="0.35">
      <c r="A1962" s="467">
        <v>40584</v>
      </c>
      <c r="B1962" s="468">
        <v>4.5536448197060153E-2</v>
      </c>
      <c r="C1962" s="468">
        <v>7.9349280213869333E-2</v>
      </c>
      <c r="D1962" s="469">
        <v>8.702507736410614E-2</v>
      </c>
      <c r="G1962" s="470"/>
      <c r="H1962" s="471"/>
    </row>
    <row r="1963" spans="1:8" x14ac:dyDescent="0.35">
      <c r="A1963" s="467">
        <v>40585</v>
      </c>
      <c r="B1963" s="468">
        <v>4.5124440114908237E-2</v>
      </c>
      <c r="C1963" s="468">
        <v>7.850233281344754E-2</v>
      </c>
      <c r="D1963" s="469">
        <v>8.6870185482959439E-2</v>
      </c>
      <c r="G1963" s="470"/>
      <c r="H1963" s="471"/>
    </row>
    <row r="1964" spans="1:8" x14ac:dyDescent="0.35">
      <c r="A1964" s="467">
        <v>40588</v>
      </c>
      <c r="B1964" s="468">
        <v>4.5274771230486621E-2</v>
      </c>
      <c r="C1964" s="468">
        <v>7.9183611774428897E-2</v>
      </c>
      <c r="D1964" s="469">
        <v>8.8138987483773024E-2</v>
      </c>
      <c r="G1964" s="470"/>
      <c r="H1964" s="471"/>
    </row>
    <row r="1965" spans="1:8" x14ac:dyDescent="0.35">
      <c r="A1965" s="467">
        <v>40589</v>
      </c>
      <c r="B1965" s="468">
        <v>4.5557033522940271E-2</v>
      </c>
      <c r="C1965" s="468">
        <v>7.9144971066400949E-2</v>
      </c>
      <c r="D1965" s="469">
        <v>8.885873723354476E-2</v>
      </c>
      <c r="G1965" s="470"/>
      <c r="H1965" s="471"/>
    </row>
    <row r="1966" spans="1:8" x14ac:dyDescent="0.35">
      <c r="A1966" s="467">
        <v>40590</v>
      </c>
      <c r="B1966" s="468">
        <v>4.5155207902409344E-2</v>
      </c>
      <c r="C1966" s="468">
        <v>7.8542545176991219E-2</v>
      </c>
      <c r="D1966" s="469">
        <v>8.8173583753635043E-2</v>
      </c>
      <c r="G1966" s="470"/>
      <c r="H1966" s="471"/>
    </row>
    <row r="1967" spans="1:8" x14ac:dyDescent="0.35">
      <c r="A1967" s="467">
        <v>40591</v>
      </c>
      <c r="B1967" s="468">
        <v>4.4548506158495815E-2</v>
      </c>
      <c r="C1967" s="468">
        <v>7.9940540870672372E-2</v>
      </c>
      <c r="D1967" s="469">
        <v>8.7934167642980787E-2</v>
      </c>
      <c r="G1967" s="470"/>
      <c r="H1967" s="471"/>
    </row>
    <row r="1968" spans="1:8" x14ac:dyDescent="0.35">
      <c r="A1968" s="467">
        <v>40592</v>
      </c>
      <c r="B1968" s="468">
        <v>4.5801677972724164E-2</v>
      </c>
      <c r="C1968" s="468">
        <v>7.9733356821231949E-2</v>
      </c>
      <c r="D1968" s="469">
        <v>8.8206126985157951E-2</v>
      </c>
      <c r="G1968" s="470"/>
      <c r="H1968" s="471"/>
    </row>
    <row r="1969" spans="1:8" x14ac:dyDescent="0.35">
      <c r="A1969" s="467">
        <v>40595</v>
      </c>
      <c r="B1969" s="468">
        <v>4.6206660749423145E-2</v>
      </c>
      <c r="C1969" s="468">
        <v>8.0510722657598954E-2</v>
      </c>
      <c r="D1969" s="469">
        <v>8.9081052204107225E-2</v>
      </c>
      <c r="G1969" s="470"/>
      <c r="H1969" s="471"/>
    </row>
    <row r="1970" spans="1:8" x14ac:dyDescent="0.35">
      <c r="A1970" s="467">
        <v>40596</v>
      </c>
      <c r="B1970" s="468">
        <v>4.7242576764227051E-2</v>
      </c>
      <c r="C1970" s="468">
        <v>7.9243785411289736E-2</v>
      </c>
      <c r="D1970" s="469">
        <v>8.7495392417731743E-2</v>
      </c>
      <c r="G1970" s="470"/>
      <c r="H1970" s="471"/>
    </row>
    <row r="1971" spans="1:8" x14ac:dyDescent="0.35">
      <c r="A1971" s="467">
        <v>40597</v>
      </c>
      <c r="B1971" s="468">
        <v>4.7085689476094483E-2</v>
      </c>
      <c r="C1971" s="468">
        <v>8.0364820282391669E-2</v>
      </c>
      <c r="D1971" s="469">
        <v>8.8620738987023717E-2</v>
      </c>
      <c r="G1971" s="470"/>
      <c r="H1971" s="471"/>
    </row>
    <row r="1972" spans="1:8" x14ac:dyDescent="0.35">
      <c r="A1972" s="467">
        <v>40598</v>
      </c>
      <c r="B1972" s="468">
        <v>4.8156698589188585E-2</v>
      </c>
      <c r="C1972" s="468">
        <v>8.1119015727782795E-2</v>
      </c>
      <c r="D1972" s="469">
        <v>8.9383760553050973E-2</v>
      </c>
      <c r="G1972" s="470"/>
      <c r="H1972" s="471"/>
    </row>
    <row r="1973" spans="1:8" x14ac:dyDescent="0.35">
      <c r="A1973" s="467">
        <v>40599</v>
      </c>
      <c r="B1973" s="468">
        <v>4.7989856398261477E-2</v>
      </c>
      <c r="C1973" s="468">
        <v>8.1348044781196061E-2</v>
      </c>
      <c r="D1973" s="469">
        <v>8.8918124309446567E-2</v>
      </c>
      <c r="G1973" s="470"/>
      <c r="H1973" s="471"/>
    </row>
    <row r="1974" spans="1:8" x14ac:dyDescent="0.35">
      <c r="A1974" s="467">
        <v>40602</v>
      </c>
      <c r="B1974" s="468">
        <v>4.9590092589176793E-2</v>
      </c>
      <c r="C1974" s="468">
        <v>8.1031474336697329E-2</v>
      </c>
      <c r="D1974" s="469">
        <v>8.8590960124371954E-2</v>
      </c>
      <c r="G1974" s="470"/>
      <c r="H1974" s="471"/>
    </row>
    <row r="1975" spans="1:8" x14ac:dyDescent="0.35">
      <c r="A1975" s="467">
        <v>40603</v>
      </c>
      <c r="B1975" s="468">
        <v>4.8271979088150729E-2</v>
      </c>
      <c r="C1975" s="468">
        <v>8.1155915541708756E-2</v>
      </c>
      <c r="D1975" s="469">
        <v>8.9799214989098264E-2</v>
      </c>
      <c r="G1975" s="470"/>
      <c r="H1975" s="471"/>
    </row>
    <row r="1976" spans="1:8" x14ac:dyDescent="0.35">
      <c r="A1976" s="467">
        <v>40604</v>
      </c>
      <c r="B1976" s="468">
        <v>4.8605299880217334E-2</v>
      </c>
      <c r="C1976" s="468">
        <v>8.235093832416096E-2</v>
      </c>
      <c r="D1976" s="469">
        <v>8.9377534061908959E-2</v>
      </c>
      <c r="G1976" s="470"/>
      <c r="H1976" s="471"/>
    </row>
    <row r="1977" spans="1:8" x14ac:dyDescent="0.35">
      <c r="A1977" s="467">
        <v>40605</v>
      </c>
      <c r="B1977" s="468">
        <v>4.900267020501814E-2</v>
      </c>
      <c r="C1977" s="468">
        <v>8.2217278810645444E-2</v>
      </c>
      <c r="D1977" s="469">
        <v>8.9437776670937774E-2</v>
      </c>
      <c r="G1977" s="470"/>
      <c r="H1977" s="471"/>
    </row>
    <row r="1978" spans="1:8" x14ac:dyDescent="0.35">
      <c r="A1978" s="467">
        <v>40606</v>
      </c>
      <c r="B1978" s="468">
        <v>4.8418172091067913E-2</v>
      </c>
      <c r="C1978" s="468">
        <v>8.1528243938140843E-2</v>
      </c>
      <c r="D1978" s="469">
        <v>8.9052835695268895E-2</v>
      </c>
      <c r="G1978" s="470"/>
      <c r="H1978" s="471"/>
    </row>
    <row r="1979" spans="1:8" x14ac:dyDescent="0.35">
      <c r="A1979" s="467">
        <v>40609</v>
      </c>
      <c r="B1979" s="468">
        <v>4.7391372430106049E-2</v>
      </c>
      <c r="C1979" s="468">
        <v>8.0107025843495938E-2</v>
      </c>
      <c r="D1979" s="469">
        <v>8.7477213659668207E-2</v>
      </c>
      <c r="G1979" s="470"/>
      <c r="H1979" s="471"/>
    </row>
    <row r="1980" spans="1:8" x14ac:dyDescent="0.35">
      <c r="A1980" s="467">
        <v>40610</v>
      </c>
      <c r="B1980" s="468">
        <v>4.8462509622051231E-2</v>
      </c>
      <c r="C1980" s="468">
        <v>7.9551813957885464E-2</v>
      </c>
      <c r="D1980" s="469">
        <v>8.7147869457990135E-2</v>
      </c>
      <c r="G1980" s="470"/>
      <c r="H1980" s="471"/>
    </row>
    <row r="1981" spans="1:8" x14ac:dyDescent="0.35">
      <c r="A1981" s="467">
        <v>40611</v>
      </c>
      <c r="B1981" s="468">
        <v>4.7345026405619217E-2</v>
      </c>
      <c r="C1981" s="468">
        <v>7.9673067530659836E-2</v>
      </c>
      <c r="D1981" s="469">
        <v>8.7295145533960783E-2</v>
      </c>
      <c r="G1981" s="470"/>
      <c r="H1981" s="471"/>
    </row>
    <row r="1982" spans="1:8" x14ac:dyDescent="0.35">
      <c r="A1982" s="467">
        <v>40612</v>
      </c>
      <c r="B1982" s="468">
        <v>4.7735616380063295E-2</v>
      </c>
      <c r="C1982" s="468">
        <v>7.5989760642562576E-2</v>
      </c>
      <c r="D1982" s="469">
        <v>8.5693049892605178E-2</v>
      </c>
      <c r="G1982" s="470"/>
      <c r="H1982" s="471"/>
    </row>
    <row r="1983" spans="1:8" x14ac:dyDescent="0.35">
      <c r="A1983" s="467">
        <v>40613</v>
      </c>
      <c r="B1983" s="468">
        <v>4.7942866270508366E-2</v>
      </c>
      <c r="C1983" s="468">
        <v>7.9449967723480119E-2</v>
      </c>
      <c r="D1983" s="469">
        <v>8.7358576297599244E-2</v>
      </c>
      <c r="G1983" s="470"/>
      <c r="H1983" s="471"/>
    </row>
    <row r="1984" spans="1:8" x14ac:dyDescent="0.35">
      <c r="A1984" s="467">
        <v>40616</v>
      </c>
      <c r="B1984" s="468">
        <v>4.8383113600246386E-2</v>
      </c>
      <c r="C1984" s="468">
        <v>7.943045873928245E-2</v>
      </c>
      <c r="D1984" s="469">
        <v>8.7600239141283343E-2</v>
      </c>
      <c r="G1984" s="470"/>
      <c r="H1984" s="471"/>
    </row>
    <row r="1985" spans="1:8" x14ac:dyDescent="0.35">
      <c r="A1985" s="467">
        <v>40617</v>
      </c>
      <c r="B1985" s="468">
        <v>4.8471531089297137E-2</v>
      </c>
      <c r="C1985" s="468">
        <v>7.9753248772010732E-2</v>
      </c>
      <c r="D1985" s="469">
        <v>8.7837388611216483E-2</v>
      </c>
      <c r="G1985" s="470"/>
      <c r="H1985" s="471"/>
    </row>
    <row r="1986" spans="1:8" x14ac:dyDescent="0.35">
      <c r="A1986" s="467">
        <v>40618</v>
      </c>
      <c r="B1986" s="468">
        <v>4.7909180016365127E-2</v>
      </c>
      <c r="C1986" s="468">
        <v>8.00014686503836E-2</v>
      </c>
      <c r="D1986" s="469">
        <v>8.7946239325774833E-2</v>
      </c>
      <c r="G1986" s="470"/>
      <c r="H1986" s="471"/>
    </row>
    <row r="1987" spans="1:8" x14ac:dyDescent="0.35">
      <c r="A1987" s="467">
        <v>40619</v>
      </c>
      <c r="B1987" s="468">
        <v>4.7869610434691179E-2</v>
      </c>
      <c r="C1987" s="468">
        <v>7.8742258929753506E-2</v>
      </c>
      <c r="D1987" s="469">
        <v>8.6520464649442186E-2</v>
      </c>
      <c r="G1987" s="470"/>
      <c r="H1987" s="471"/>
    </row>
    <row r="1988" spans="1:8" x14ac:dyDescent="0.35">
      <c r="A1988" s="467">
        <v>40620</v>
      </c>
      <c r="B1988" s="468">
        <v>4.8990387669123558E-2</v>
      </c>
      <c r="C1988" s="468">
        <v>7.9047297282008433E-2</v>
      </c>
      <c r="D1988" s="469">
        <v>8.6933003159858302E-2</v>
      </c>
      <c r="G1988" s="470"/>
      <c r="H1988" s="471"/>
    </row>
    <row r="1989" spans="1:8" x14ac:dyDescent="0.35">
      <c r="A1989" s="467">
        <v>40624</v>
      </c>
      <c r="B1989" s="468">
        <v>5.0350123153322102E-2</v>
      </c>
      <c r="C1989" s="468">
        <v>7.8678481524953492E-2</v>
      </c>
      <c r="D1989" s="469">
        <v>8.7276804301252842E-2</v>
      </c>
      <c r="G1989" s="470"/>
      <c r="H1989" s="471"/>
    </row>
    <row r="1990" spans="1:8" x14ac:dyDescent="0.35">
      <c r="A1990" s="467">
        <v>40625</v>
      </c>
      <c r="B1990" s="468">
        <v>4.8320122222791362E-2</v>
      </c>
      <c r="C1990" s="468">
        <v>7.8272215387444222E-2</v>
      </c>
      <c r="D1990" s="469">
        <v>8.7764234559603693E-2</v>
      </c>
      <c r="G1990" s="470"/>
      <c r="H1990" s="471"/>
    </row>
    <row r="1991" spans="1:8" x14ac:dyDescent="0.35">
      <c r="A1991" s="467">
        <v>40626</v>
      </c>
      <c r="B1991" s="468">
        <v>4.926904378211705E-2</v>
      </c>
      <c r="C1991" s="468">
        <v>8.0080021646091737E-2</v>
      </c>
      <c r="D1991" s="469">
        <v>8.8247686014748306E-2</v>
      </c>
      <c r="G1991" s="470"/>
      <c r="H1991" s="471"/>
    </row>
    <row r="1992" spans="1:8" x14ac:dyDescent="0.35">
      <c r="A1992" s="467">
        <v>40627</v>
      </c>
      <c r="B1992" s="468">
        <v>4.9804193498486082E-2</v>
      </c>
      <c r="C1992" s="468">
        <v>8.085081561244456E-2</v>
      </c>
      <c r="D1992" s="469">
        <v>8.8894002379186432E-2</v>
      </c>
      <c r="G1992" s="470"/>
      <c r="H1992" s="471"/>
    </row>
    <row r="1993" spans="1:8" x14ac:dyDescent="0.35">
      <c r="A1993" s="467">
        <v>40630</v>
      </c>
      <c r="B1993" s="468">
        <v>4.9456402213063244E-2</v>
      </c>
      <c r="C1993" s="468">
        <v>8.0682140319545903E-2</v>
      </c>
      <c r="D1993" s="469">
        <v>8.9009684946219636E-2</v>
      </c>
      <c r="G1993" s="470"/>
      <c r="H1993" s="471"/>
    </row>
    <row r="1994" spans="1:8" x14ac:dyDescent="0.35">
      <c r="A1994" s="467">
        <v>40631</v>
      </c>
      <c r="B1994" s="468">
        <v>4.9220618234445457E-2</v>
      </c>
      <c r="C1994" s="468">
        <v>8.0740621842758209E-2</v>
      </c>
      <c r="D1994" s="469">
        <v>8.8473866081340224E-2</v>
      </c>
      <c r="G1994" s="470"/>
      <c r="H1994" s="471"/>
    </row>
    <row r="1995" spans="1:8" x14ac:dyDescent="0.35">
      <c r="A1995" s="467">
        <v>40632</v>
      </c>
      <c r="B1995" s="468">
        <v>4.8658739858022271E-2</v>
      </c>
      <c r="C1995" s="468">
        <v>8.0679996198031789E-2</v>
      </c>
      <c r="D1995" s="469">
        <v>8.8235243076911551E-2</v>
      </c>
      <c r="G1995" s="470"/>
      <c r="H1995" s="471"/>
    </row>
    <row r="1996" spans="1:8" x14ac:dyDescent="0.35">
      <c r="A1996" s="467">
        <v>40633</v>
      </c>
      <c r="B1996" s="468">
        <v>4.8763460799950087E-2</v>
      </c>
      <c r="C1996" s="468">
        <v>8.0299624093767896E-2</v>
      </c>
      <c r="D1996" s="469">
        <v>8.775247468280134E-2</v>
      </c>
      <c r="G1996" s="470"/>
      <c r="H1996" s="471"/>
    </row>
    <row r="1997" spans="1:8" x14ac:dyDescent="0.35">
      <c r="A1997" s="467">
        <v>40634</v>
      </c>
      <c r="B1997" s="468">
        <v>4.8485053672507661E-2</v>
      </c>
      <c r="C1997" s="468">
        <v>7.9613909684763451E-2</v>
      </c>
      <c r="D1997" s="469">
        <v>8.7481172601595159E-2</v>
      </c>
      <c r="G1997" s="470"/>
      <c r="H1997" s="471"/>
    </row>
    <row r="1998" spans="1:8" x14ac:dyDescent="0.35">
      <c r="A1998" s="467">
        <v>40637</v>
      </c>
      <c r="B1998" s="468">
        <v>4.8896392970533942E-2</v>
      </c>
      <c r="C1998" s="468">
        <v>7.8827558350013538E-2</v>
      </c>
      <c r="D1998" s="469">
        <v>8.6412295570302611E-2</v>
      </c>
      <c r="G1998" s="470"/>
      <c r="H1998" s="471"/>
    </row>
    <row r="1999" spans="1:8" x14ac:dyDescent="0.35">
      <c r="A1999" s="467">
        <v>40638</v>
      </c>
      <c r="B1999" s="468">
        <v>4.9071621013430322E-2</v>
      </c>
      <c r="C1999" s="468">
        <v>7.8395515220185175E-2</v>
      </c>
      <c r="D1999" s="469">
        <v>8.6407968184252226E-2</v>
      </c>
      <c r="G1999" s="470"/>
      <c r="H1999" s="471"/>
    </row>
    <row r="2000" spans="1:8" x14ac:dyDescent="0.35">
      <c r="A2000" s="467">
        <v>40639</v>
      </c>
      <c r="B2000" s="468">
        <v>4.8403454508042953E-2</v>
      </c>
      <c r="C2000" s="468">
        <v>7.8507189172686731E-2</v>
      </c>
      <c r="D2000" s="469">
        <v>8.5719574333531501E-2</v>
      </c>
      <c r="G2000" s="470"/>
      <c r="H2000" s="471"/>
    </row>
    <row r="2001" spans="1:8" x14ac:dyDescent="0.35">
      <c r="A2001" s="467">
        <v>40640</v>
      </c>
      <c r="B2001" s="468">
        <v>4.8544031727963066E-2</v>
      </c>
      <c r="C2001" s="468">
        <v>7.8596129000754855E-2</v>
      </c>
      <c r="D2001" s="469">
        <v>8.5803879879828182E-2</v>
      </c>
      <c r="G2001" s="470"/>
      <c r="H2001" s="471"/>
    </row>
    <row r="2002" spans="1:8" x14ac:dyDescent="0.35">
      <c r="A2002" s="467">
        <v>40641</v>
      </c>
      <c r="B2002" s="468">
        <v>4.9247050117125601E-2</v>
      </c>
      <c r="C2002" s="468">
        <v>7.8120737142689523E-2</v>
      </c>
      <c r="D2002" s="469">
        <v>8.5884877970212603E-2</v>
      </c>
      <c r="G2002" s="470"/>
      <c r="H2002" s="471"/>
    </row>
    <row r="2003" spans="1:8" x14ac:dyDescent="0.35">
      <c r="A2003" s="467">
        <v>40644</v>
      </c>
      <c r="B2003" s="468">
        <v>4.888828441385229E-2</v>
      </c>
      <c r="C2003" s="468">
        <v>7.7480640094504949E-2</v>
      </c>
      <c r="D2003" s="469">
        <v>8.5288112446296527E-2</v>
      </c>
      <c r="G2003" s="470"/>
      <c r="H2003" s="471"/>
    </row>
    <row r="2004" spans="1:8" x14ac:dyDescent="0.35">
      <c r="A2004" s="467">
        <v>40645</v>
      </c>
      <c r="B2004" s="468">
        <v>4.8882556498569318E-2</v>
      </c>
      <c r="C2004" s="468">
        <v>7.7392687563515361E-2</v>
      </c>
      <c r="D2004" s="469">
        <v>8.491678468881414E-2</v>
      </c>
      <c r="G2004" s="470"/>
      <c r="H2004" s="471"/>
    </row>
    <row r="2005" spans="1:8" x14ac:dyDescent="0.35">
      <c r="A2005" s="467">
        <v>40646</v>
      </c>
      <c r="B2005" s="468">
        <v>4.8902974080829997E-2</v>
      </c>
      <c r="C2005" s="468">
        <v>7.7219425310422141E-2</v>
      </c>
      <c r="D2005" s="469">
        <v>8.4792572015855772E-2</v>
      </c>
      <c r="G2005" s="470"/>
      <c r="H2005" s="471"/>
    </row>
    <row r="2006" spans="1:8" x14ac:dyDescent="0.35">
      <c r="A2006" s="467">
        <v>40647</v>
      </c>
      <c r="B2006" s="468">
        <v>4.8786321276094169E-2</v>
      </c>
      <c r="C2006" s="468">
        <v>7.6655013501798708E-2</v>
      </c>
      <c r="D2006" s="469">
        <v>8.4803031337711943E-2</v>
      </c>
      <c r="G2006" s="470"/>
      <c r="H2006" s="471"/>
    </row>
    <row r="2007" spans="1:8" x14ac:dyDescent="0.35">
      <c r="A2007" s="467">
        <v>40648</v>
      </c>
      <c r="B2007" s="468">
        <v>4.8536757201862457E-2</v>
      </c>
      <c r="C2007" s="468">
        <v>7.6759494265657091E-2</v>
      </c>
      <c r="D2007" s="469">
        <v>8.5132692194862969E-2</v>
      </c>
      <c r="G2007" s="470"/>
      <c r="H2007" s="471"/>
    </row>
    <row r="2008" spans="1:8" x14ac:dyDescent="0.35">
      <c r="A2008" s="467">
        <v>40651</v>
      </c>
      <c r="B2008" s="468">
        <v>4.8481520929523292E-2</v>
      </c>
      <c r="C2008" s="468">
        <v>7.7363558344241135E-2</v>
      </c>
      <c r="D2008" s="469">
        <v>8.5539678791456852E-2</v>
      </c>
      <c r="G2008" s="470"/>
      <c r="H2008" s="471"/>
    </row>
    <row r="2009" spans="1:8" x14ac:dyDescent="0.35">
      <c r="A2009" s="467">
        <v>40652</v>
      </c>
      <c r="B2009" s="468">
        <v>4.8735345384942397E-2</v>
      </c>
      <c r="C2009" s="468">
        <v>7.7009138920744125E-2</v>
      </c>
      <c r="D2009" s="469">
        <v>8.559243385312465E-2</v>
      </c>
      <c r="G2009" s="470"/>
      <c r="H2009" s="471"/>
    </row>
    <row r="2010" spans="1:8" x14ac:dyDescent="0.35">
      <c r="A2010" s="467">
        <v>40653</v>
      </c>
      <c r="B2010" s="468">
        <v>4.861447912367578E-2</v>
      </c>
      <c r="C2010" s="468">
        <v>7.6430580090502742E-2</v>
      </c>
      <c r="D2010" s="469">
        <v>8.5376983243949045E-2</v>
      </c>
      <c r="G2010" s="470"/>
      <c r="H2010" s="471"/>
    </row>
    <row r="2011" spans="1:8" x14ac:dyDescent="0.35">
      <c r="A2011" s="467">
        <v>40658</v>
      </c>
      <c r="B2011" s="468">
        <v>4.9213483438866223E-2</v>
      </c>
      <c r="C2011" s="468">
        <v>7.7518247506422888E-2</v>
      </c>
      <c r="D2011" s="469">
        <v>8.6246734549149329E-2</v>
      </c>
      <c r="G2011" s="470"/>
      <c r="H2011" s="471"/>
    </row>
    <row r="2012" spans="1:8" x14ac:dyDescent="0.35">
      <c r="A2012" s="467">
        <v>40659</v>
      </c>
      <c r="B2012" s="468">
        <v>4.9550449360059146E-2</v>
      </c>
      <c r="C2012" s="468">
        <v>7.8332030174181E-2</v>
      </c>
      <c r="D2012" s="469">
        <v>8.6754294852880776E-2</v>
      </c>
      <c r="G2012" s="470"/>
      <c r="H2012" s="471"/>
    </row>
    <row r="2013" spans="1:8" x14ac:dyDescent="0.35">
      <c r="A2013" s="467">
        <v>40660</v>
      </c>
      <c r="B2013" s="468">
        <v>5.0178634592672466E-2</v>
      </c>
      <c r="C2013" s="468">
        <v>7.8120792284819274E-2</v>
      </c>
      <c r="D2013" s="469">
        <v>8.6443271941494926E-2</v>
      </c>
      <c r="G2013" s="470"/>
      <c r="H2013" s="471"/>
    </row>
    <row r="2014" spans="1:8" x14ac:dyDescent="0.35">
      <c r="A2014" s="467">
        <v>40661</v>
      </c>
      <c r="B2014" s="468">
        <v>4.9684375205349962E-2</v>
      </c>
      <c r="C2014" s="468">
        <v>7.8266275985863665E-2</v>
      </c>
      <c r="D2014" s="469">
        <v>8.6329369734449157E-2</v>
      </c>
      <c r="G2014" s="470"/>
      <c r="H2014" s="471"/>
    </row>
    <row r="2015" spans="1:8" x14ac:dyDescent="0.35">
      <c r="A2015" s="467">
        <v>40662</v>
      </c>
      <c r="B2015" s="468">
        <v>4.9869003843561632E-2</v>
      </c>
      <c r="C2015" s="468">
        <v>7.7566791629951393E-2</v>
      </c>
      <c r="D2015" s="469">
        <v>8.6987911589528899E-2</v>
      </c>
      <c r="G2015" s="470"/>
      <c r="H2015" s="471"/>
    </row>
    <row r="2016" spans="1:8" x14ac:dyDescent="0.35">
      <c r="A2016" s="467">
        <v>40665</v>
      </c>
      <c r="B2016" s="468">
        <v>4.9829978618450399E-2</v>
      </c>
      <c r="C2016" s="468">
        <v>7.7829929660807817E-2</v>
      </c>
      <c r="D2016" s="469">
        <v>8.598797981921269E-2</v>
      </c>
      <c r="G2016" s="470"/>
      <c r="H2016" s="471"/>
    </row>
    <row r="2017" spans="1:8" x14ac:dyDescent="0.35">
      <c r="A2017" s="467">
        <v>40666</v>
      </c>
      <c r="B2017" s="468">
        <v>5.0224577059821529E-2</v>
      </c>
      <c r="C2017" s="468">
        <v>7.7033171155877378E-2</v>
      </c>
      <c r="D2017" s="469">
        <v>8.5533956430226432E-2</v>
      </c>
      <c r="G2017" s="470"/>
      <c r="H2017" s="471"/>
    </row>
    <row r="2018" spans="1:8" x14ac:dyDescent="0.35">
      <c r="A2018" s="467">
        <v>40667</v>
      </c>
      <c r="B2018" s="468">
        <v>5.0246139401137535E-2</v>
      </c>
      <c r="C2018" s="468">
        <v>7.6747785901712717E-2</v>
      </c>
      <c r="D2018" s="469">
        <v>8.5226435926373245E-2</v>
      </c>
      <c r="G2018" s="470"/>
      <c r="H2018" s="471"/>
    </row>
    <row r="2019" spans="1:8" x14ac:dyDescent="0.35">
      <c r="A2019" s="467">
        <v>40668</v>
      </c>
      <c r="B2019" s="468">
        <v>5.0815481160398912E-2</v>
      </c>
      <c r="C2019" s="468">
        <v>7.671631036402804E-2</v>
      </c>
      <c r="D2019" s="469">
        <v>8.4883608240760244E-2</v>
      </c>
      <c r="G2019" s="470"/>
      <c r="H2019" s="471"/>
    </row>
    <row r="2020" spans="1:8" x14ac:dyDescent="0.35">
      <c r="A2020" s="467">
        <v>40669</v>
      </c>
      <c r="B2020" s="468">
        <v>5.0162760623909897E-2</v>
      </c>
      <c r="C2020" s="468">
        <v>7.6334838180488918E-2</v>
      </c>
      <c r="D2020" s="469">
        <v>8.4313771559673567E-2</v>
      </c>
      <c r="G2020" s="470"/>
      <c r="H2020" s="471"/>
    </row>
    <row r="2021" spans="1:8" x14ac:dyDescent="0.35">
      <c r="A2021" s="467">
        <v>40672</v>
      </c>
      <c r="B2021" s="468">
        <v>5.1246172636665532E-2</v>
      </c>
      <c r="C2021" s="468">
        <v>7.6493430605442114E-2</v>
      </c>
      <c r="D2021" s="469">
        <v>8.4314188908131804E-2</v>
      </c>
      <c r="G2021" s="470"/>
      <c r="H2021" s="471"/>
    </row>
    <row r="2022" spans="1:8" x14ac:dyDescent="0.35">
      <c r="A2022" s="467">
        <v>40673</v>
      </c>
      <c r="B2022" s="468">
        <v>5.1779667645843963E-2</v>
      </c>
      <c r="C2022" s="468">
        <v>7.5765405118316309E-2</v>
      </c>
      <c r="D2022" s="469">
        <v>8.3511200154181342E-2</v>
      </c>
      <c r="G2022" s="470"/>
      <c r="H2022" s="471"/>
    </row>
    <row r="2023" spans="1:8" x14ac:dyDescent="0.35">
      <c r="A2023" s="467">
        <v>40674</v>
      </c>
      <c r="B2023" s="468">
        <v>5.2785091327135047E-2</v>
      </c>
      <c r="C2023" s="468">
        <v>7.6410005815367166E-2</v>
      </c>
      <c r="D2023" s="469">
        <v>8.3942845382166897E-2</v>
      </c>
      <c r="G2023" s="470"/>
      <c r="H2023" s="471"/>
    </row>
    <row r="2024" spans="1:8" x14ac:dyDescent="0.35">
      <c r="A2024" s="467">
        <v>40675</v>
      </c>
      <c r="B2024" s="468">
        <v>4.9214624451210387E-2</v>
      </c>
      <c r="C2024" s="468">
        <v>7.6529049801406845E-2</v>
      </c>
      <c r="D2024" s="469">
        <v>8.3999212627431818E-2</v>
      </c>
      <c r="G2024" s="470"/>
      <c r="H2024" s="471"/>
    </row>
    <row r="2025" spans="1:8" x14ac:dyDescent="0.35">
      <c r="A2025" s="467">
        <v>40676</v>
      </c>
      <c r="B2025" s="468">
        <v>5.2681246078350341E-2</v>
      </c>
      <c r="C2025" s="468">
        <v>7.630745686444329E-2</v>
      </c>
      <c r="D2025" s="469">
        <v>8.4259161572736163E-2</v>
      </c>
      <c r="G2025" s="470"/>
      <c r="H2025" s="471"/>
    </row>
    <row r="2026" spans="1:8" x14ac:dyDescent="0.35">
      <c r="A2026" s="467">
        <v>40679</v>
      </c>
      <c r="B2026" s="468">
        <v>5.3273923511877541E-2</v>
      </c>
      <c r="C2026" s="468">
        <v>7.6863276258810176E-2</v>
      </c>
      <c r="D2026" s="469">
        <v>8.4871617895770246E-2</v>
      </c>
      <c r="G2026" s="470"/>
      <c r="H2026" s="471"/>
    </row>
    <row r="2027" spans="1:8" x14ac:dyDescent="0.35">
      <c r="A2027" s="467">
        <v>40680</v>
      </c>
      <c r="B2027" s="468">
        <v>5.3871458053499355E-2</v>
      </c>
      <c r="C2027" s="468">
        <v>7.6227204438343632E-2</v>
      </c>
      <c r="D2027" s="469">
        <v>8.4987512998550008E-2</v>
      </c>
      <c r="G2027" s="470"/>
      <c r="H2027" s="471"/>
    </row>
    <row r="2028" spans="1:8" x14ac:dyDescent="0.35">
      <c r="A2028" s="467">
        <v>40681</v>
      </c>
      <c r="B2028" s="468">
        <v>5.1825501292918519E-2</v>
      </c>
      <c r="C2028" s="468">
        <v>7.5948418782205263E-2</v>
      </c>
      <c r="D2028" s="469">
        <v>8.335506916862423E-2</v>
      </c>
      <c r="G2028" s="470"/>
      <c r="H2028" s="471"/>
    </row>
    <row r="2029" spans="1:8" x14ac:dyDescent="0.35">
      <c r="A2029" s="467">
        <v>40682</v>
      </c>
      <c r="B2029" s="468">
        <v>5.21997378918162E-2</v>
      </c>
      <c r="C2029" s="468">
        <v>7.6161408042545897E-2</v>
      </c>
      <c r="D2029" s="469">
        <v>8.3549601266683204E-2</v>
      </c>
      <c r="G2029" s="470"/>
      <c r="H2029" s="471"/>
    </row>
    <row r="2030" spans="1:8" x14ac:dyDescent="0.35">
      <c r="A2030" s="467">
        <v>40683</v>
      </c>
      <c r="B2030" s="468">
        <v>5.1462572338013102E-2</v>
      </c>
      <c r="C2030" s="468">
        <v>7.6023321379677489E-2</v>
      </c>
      <c r="D2030" s="469">
        <v>8.3664205092343735E-2</v>
      </c>
      <c r="G2030" s="470"/>
      <c r="H2030" s="471"/>
    </row>
    <row r="2031" spans="1:8" x14ac:dyDescent="0.35">
      <c r="A2031" s="467">
        <v>40686</v>
      </c>
      <c r="B2031" s="468">
        <v>5.2321879094517909E-2</v>
      </c>
      <c r="C2031" s="468">
        <v>7.6659386323149503E-2</v>
      </c>
      <c r="D2031" s="469">
        <v>8.4465121450860048E-2</v>
      </c>
      <c r="G2031" s="470"/>
      <c r="H2031" s="471"/>
    </row>
    <row r="2032" spans="1:8" x14ac:dyDescent="0.35">
      <c r="A2032" s="467">
        <v>40687</v>
      </c>
      <c r="B2032" s="468">
        <v>5.2004384143055971E-2</v>
      </c>
      <c r="C2032" s="468">
        <v>7.6036631422425227E-2</v>
      </c>
      <c r="D2032" s="469">
        <v>8.4141475712045333E-2</v>
      </c>
      <c r="G2032" s="470"/>
      <c r="H2032" s="471"/>
    </row>
    <row r="2033" spans="1:8" x14ac:dyDescent="0.35">
      <c r="A2033" s="467">
        <v>40688</v>
      </c>
      <c r="B2033" s="468">
        <v>5.1810241569619775E-2</v>
      </c>
      <c r="C2033" s="468">
        <v>7.623787665032622E-2</v>
      </c>
      <c r="D2033" s="469">
        <v>8.3994305522847146E-2</v>
      </c>
      <c r="G2033" s="470"/>
      <c r="H2033" s="471"/>
    </row>
    <row r="2034" spans="1:8" x14ac:dyDescent="0.35">
      <c r="A2034" s="467">
        <v>40689</v>
      </c>
      <c r="B2034" s="468">
        <v>5.1968695911351448E-2</v>
      </c>
      <c r="C2034" s="468">
        <v>7.6136711941120261E-2</v>
      </c>
      <c r="D2034" s="469">
        <v>8.3672894201492154E-2</v>
      </c>
      <c r="G2034" s="470"/>
      <c r="H2034" s="471"/>
    </row>
    <row r="2035" spans="1:8" x14ac:dyDescent="0.35">
      <c r="A2035" s="467">
        <v>40690</v>
      </c>
      <c r="B2035" s="468">
        <v>5.1035557293760858E-2</v>
      </c>
      <c r="C2035" s="468">
        <v>7.6139434324256294E-2</v>
      </c>
      <c r="D2035" s="469">
        <v>8.3334094495614686E-2</v>
      </c>
      <c r="G2035" s="470"/>
      <c r="H2035" s="471"/>
    </row>
    <row r="2036" spans="1:8" x14ac:dyDescent="0.35">
      <c r="A2036" s="467">
        <v>40693</v>
      </c>
      <c r="B2036" s="468">
        <v>5.1107215029470465E-2</v>
      </c>
      <c r="C2036" s="468">
        <v>7.5594057152931438E-2</v>
      </c>
      <c r="D2036" s="469">
        <v>8.3230057754211328E-2</v>
      </c>
      <c r="G2036" s="470"/>
      <c r="H2036" s="471"/>
    </row>
    <row r="2037" spans="1:8" x14ac:dyDescent="0.35">
      <c r="A2037" s="467">
        <v>40694</v>
      </c>
      <c r="B2037" s="468">
        <v>5.1681046772745542E-2</v>
      </c>
      <c r="C2037" s="468">
        <v>7.4909301921910476E-2</v>
      </c>
      <c r="D2037" s="469">
        <v>8.3064016138213903E-2</v>
      </c>
      <c r="G2037" s="470"/>
      <c r="H2037" s="471"/>
    </row>
    <row r="2038" spans="1:8" x14ac:dyDescent="0.35">
      <c r="A2038" s="467">
        <v>40695</v>
      </c>
      <c r="B2038" s="468">
        <v>5.1039328919805671E-2</v>
      </c>
      <c r="C2038" s="468">
        <v>7.400375360194178E-2</v>
      </c>
      <c r="D2038" s="469">
        <v>8.2145777602699921E-2</v>
      </c>
      <c r="G2038" s="470"/>
      <c r="H2038" s="471"/>
    </row>
    <row r="2039" spans="1:8" x14ac:dyDescent="0.35">
      <c r="A2039" s="467">
        <v>40696</v>
      </c>
      <c r="B2039" s="468">
        <v>5.1646690074816926E-2</v>
      </c>
      <c r="C2039" s="468">
        <v>7.3892316776031919E-2</v>
      </c>
      <c r="D2039" s="469">
        <v>8.1869052296809519E-2</v>
      </c>
      <c r="G2039" s="470"/>
      <c r="H2039" s="471"/>
    </row>
    <row r="2040" spans="1:8" x14ac:dyDescent="0.35">
      <c r="A2040" s="467">
        <v>40697</v>
      </c>
      <c r="B2040" s="468">
        <v>5.1460608792250895E-2</v>
      </c>
      <c r="C2040" s="468">
        <v>7.4367452261971501E-2</v>
      </c>
      <c r="D2040" s="469">
        <v>8.1924866495298065E-2</v>
      </c>
      <c r="G2040" s="470"/>
      <c r="H2040" s="471"/>
    </row>
    <row r="2041" spans="1:8" x14ac:dyDescent="0.35">
      <c r="A2041" s="467">
        <v>40701</v>
      </c>
      <c r="B2041" s="468">
        <v>5.1898914864735302E-2</v>
      </c>
      <c r="C2041" s="468">
        <v>7.3377266757078674E-2</v>
      </c>
      <c r="D2041" s="469">
        <v>8.1220257645195693E-2</v>
      </c>
      <c r="G2041" s="470"/>
      <c r="H2041" s="471"/>
    </row>
    <row r="2042" spans="1:8" x14ac:dyDescent="0.35">
      <c r="A2042" s="467">
        <v>40702</v>
      </c>
      <c r="B2042" s="468">
        <v>5.136936205933762E-2</v>
      </c>
      <c r="C2042" s="468">
        <v>7.2524466266904675E-2</v>
      </c>
      <c r="D2042" s="469">
        <v>8.0077309920906448E-2</v>
      </c>
      <c r="G2042" s="470"/>
      <c r="H2042" s="471"/>
    </row>
    <row r="2043" spans="1:8" x14ac:dyDescent="0.35">
      <c r="A2043" s="467">
        <v>40703</v>
      </c>
      <c r="B2043" s="468">
        <v>5.2285438040980736E-2</v>
      </c>
      <c r="C2043" s="468">
        <v>7.2513844620289314E-2</v>
      </c>
      <c r="D2043" s="469">
        <v>8.0204462364993567E-2</v>
      </c>
      <c r="G2043" s="470"/>
      <c r="H2043" s="471"/>
    </row>
    <row r="2044" spans="1:8" x14ac:dyDescent="0.35">
      <c r="A2044" s="467">
        <v>40704</v>
      </c>
      <c r="B2044" s="468">
        <v>5.3121976560475126E-2</v>
      </c>
      <c r="C2044" s="468">
        <v>7.2357693585490823E-2</v>
      </c>
      <c r="D2044" s="469">
        <v>8.111295368748217E-2</v>
      </c>
      <c r="G2044" s="470"/>
      <c r="H2044" s="471"/>
    </row>
    <row r="2045" spans="1:8" x14ac:dyDescent="0.35">
      <c r="A2045" s="467">
        <v>40707</v>
      </c>
      <c r="B2045" s="468">
        <v>5.3277859646677639E-2</v>
      </c>
      <c r="C2045" s="468">
        <v>7.2476176341786935E-2</v>
      </c>
      <c r="D2045" s="469">
        <v>8.1377208982689409E-2</v>
      </c>
      <c r="G2045" s="470"/>
      <c r="H2045" s="471"/>
    </row>
    <row r="2046" spans="1:8" x14ac:dyDescent="0.35">
      <c r="A2046" s="467">
        <v>40708</v>
      </c>
      <c r="B2046" s="468">
        <v>5.302814884673257E-2</v>
      </c>
      <c r="C2046" s="468">
        <v>7.2215611150038272E-2</v>
      </c>
      <c r="D2046" s="469">
        <v>8.0789898265938076E-2</v>
      </c>
      <c r="G2046" s="470"/>
      <c r="H2046" s="471"/>
    </row>
    <row r="2047" spans="1:8" x14ac:dyDescent="0.35">
      <c r="A2047" s="467">
        <v>40709</v>
      </c>
      <c r="B2047" s="468">
        <v>5.2745234280903386E-2</v>
      </c>
      <c r="C2047" s="468">
        <v>7.1695697914552214E-2</v>
      </c>
      <c r="D2047" s="469">
        <v>7.9967050770515469E-2</v>
      </c>
      <c r="G2047" s="470"/>
      <c r="H2047" s="471"/>
    </row>
    <row r="2048" spans="1:8" x14ac:dyDescent="0.35">
      <c r="A2048" s="467">
        <v>40710</v>
      </c>
      <c r="B2048" s="468">
        <v>5.2814915142856078E-2</v>
      </c>
      <c r="C2048" s="468">
        <v>7.1609970722301686E-2</v>
      </c>
      <c r="D2048" s="469">
        <v>7.9543883333640597E-2</v>
      </c>
      <c r="G2048" s="470"/>
      <c r="H2048" s="471"/>
    </row>
    <row r="2049" spans="1:8" x14ac:dyDescent="0.35">
      <c r="A2049" s="467">
        <v>40711</v>
      </c>
      <c r="B2049" s="468">
        <v>5.273322134719427E-2</v>
      </c>
      <c r="C2049" s="468">
        <v>7.147922406059215E-2</v>
      </c>
      <c r="D2049" s="469">
        <v>7.954138810402589E-2</v>
      </c>
      <c r="G2049" s="470"/>
      <c r="H2049" s="471"/>
    </row>
    <row r="2050" spans="1:8" x14ac:dyDescent="0.35">
      <c r="A2050" s="467">
        <v>40714</v>
      </c>
      <c r="B2050" s="468">
        <v>5.2659393725345449E-2</v>
      </c>
      <c r="C2050" s="468">
        <v>7.1233392974933363E-2</v>
      </c>
      <c r="D2050" s="469">
        <v>7.9320367759410759E-2</v>
      </c>
      <c r="G2050" s="470"/>
      <c r="H2050" s="471"/>
    </row>
    <row r="2051" spans="1:8" x14ac:dyDescent="0.35">
      <c r="A2051" s="467">
        <v>40715</v>
      </c>
      <c r="B2051" s="468">
        <v>5.290929618792406E-2</v>
      </c>
      <c r="C2051" s="468">
        <v>7.0895705992728431E-2</v>
      </c>
      <c r="D2051" s="469">
        <v>7.9142491883734234E-2</v>
      </c>
      <c r="G2051" s="470"/>
      <c r="H2051" s="471"/>
    </row>
    <row r="2052" spans="1:8" x14ac:dyDescent="0.35">
      <c r="A2052" s="467">
        <v>40716</v>
      </c>
      <c r="B2052" s="468">
        <v>5.3239716046760144E-2</v>
      </c>
      <c r="C2052" s="468">
        <v>7.1274744261748957E-2</v>
      </c>
      <c r="D2052" s="469">
        <v>7.9710247467181583E-2</v>
      </c>
      <c r="G2052" s="470"/>
      <c r="H2052" s="471"/>
    </row>
    <row r="2053" spans="1:8" x14ac:dyDescent="0.35">
      <c r="A2053" s="467">
        <v>40717</v>
      </c>
      <c r="B2053" s="468">
        <v>5.2453887339794614E-2</v>
      </c>
      <c r="C2053" s="468">
        <v>7.1173911791998501E-2</v>
      </c>
      <c r="D2053" s="469">
        <v>7.9116614925331508E-2</v>
      </c>
      <c r="G2053" s="470"/>
      <c r="H2053" s="471"/>
    </row>
    <row r="2054" spans="1:8" x14ac:dyDescent="0.35">
      <c r="A2054" s="467">
        <v>40718</v>
      </c>
      <c r="B2054" s="468">
        <v>5.2135603916924955E-2</v>
      </c>
      <c r="C2054" s="468">
        <v>7.0888985232827828E-2</v>
      </c>
      <c r="D2054" s="469">
        <v>7.8488920178662269E-2</v>
      </c>
      <c r="G2054" s="470"/>
      <c r="H2054" s="471"/>
    </row>
    <row r="2055" spans="1:8" x14ac:dyDescent="0.35">
      <c r="A2055" s="467">
        <v>40722</v>
      </c>
      <c r="B2055" s="468">
        <v>5.235169446156962E-2</v>
      </c>
      <c r="C2055" s="468">
        <v>7.0696519449178208E-2</v>
      </c>
      <c r="D2055" s="469">
        <v>7.8852825627141687E-2</v>
      </c>
      <c r="G2055" s="470"/>
      <c r="H2055" s="471"/>
    </row>
    <row r="2056" spans="1:8" x14ac:dyDescent="0.35">
      <c r="A2056" s="467">
        <v>40723</v>
      </c>
      <c r="B2056" s="468">
        <v>5.2307652821418804E-2</v>
      </c>
      <c r="C2056" s="468">
        <v>7.0657263383365754E-2</v>
      </c>
      <c r="D2056" s="469">
        <v>7.8881576183584157E-2</v>
      </c>
      <c r="G2056" s="470"/>
      <c r="H2056" s="471"/>
    </row>
    <row r="2057" spans="1:8" x14ac:dyDescent="0.35">
      <c r="A2057" s="467">
        <v>40724</v>
      </c>
      <c r="B2057" s="468">
        <v>5.1946438966577801E-2</v>
      </c>
      <c r="C2057" s="468">
        <v>7.0681261830987996E-2</v>
      </c>
      <c r="D2057" s="469">
        <v>7.8566608526467796E-2</v>
      </c>
      <c r="G2057" s="470"/>
      <c r="H2057" s="471"/>
    </row>
    <row r="2058" spans="1:8" x14ac:dyDescent="0.35">
      <c r="A2058" s="467">
        <v>40725</v>
      </c>
      <c r="B2058" s="468">
        <v>5.2436446956864113E-2</v>
      </c>
      <c r="C2058" s="468">
        <v>7.0428790277566655E-2</v>
      </c>
      <c r="D2058" s="469">
        <v>8.0104275874306463E-2</v>
      </c>
      <c r="G2058" s="470"/>
      <c r="H2058" s="471"/>
    </row>
    <row r="2059" spans="1:8" x14ac:dyDescent="0.35">
      <c r="A2059" s="467">
        <v>40729</v>
      </c>
      <c r="B2059" s="468">
        <v>5.262335188079259E-2</v>
      </c>
      <c r="C2059" s="468">
        <v>7.1215816544575317E-2</v>
      </c>
      <c r="D2059" s="469">
        <v>7.9842862426748429E-2</v>
      </c>
      <c r="G2059" s="470"/>
      <c r="H2059" s="471"/>
    </row>
    <row r="2060" spans="1:8" x14ac:dyDescent="0.35">
      <c r="A2060" s="467">
        <v>40730</v>
      </c>
      <c r="B2060" s="468">
        <v>5.2706467597948947E-2</v>
      </c>
      <c r="C2060" s="468">
        <v>7.1177306786121886E-2</v>
      </c>
      <c r="D2060" s="469">
        <v>7.9835063534351658E-2</v>
      </c>
      <c r="G2060" s="470"/>
      <c r="H2060" s="471"/>
    </row>
    <row r="2061" spans="1:8" x14ac:dyDescent="0.35">
      <c r="A2061" s="467">
        <v>40731</v>
      </c>
      <c r="B2061" s="468">
        <v>5.3022566129601989E-2</v>
      </c>
      <c r="C2061" s="468">
        <v>7.0553191121909498E-2</v>
      </c>
      <c r="D2061" s="469">
        <v>7.9422903948919377E-2</v>
      </c>
      <c r="G2061" s="470"/>
      <c r="H2061" s="471"/>
    </row>
    <row r="2062" spans="1:8" x14ac:dyDescent="0.35">
      <c r="A2062" s="467">
        <v>40732</v>
      </c>
      <c r="B2062" s="468">
        <v>5.2598889824908346E-2</v>
      </c>
      <c r="C2062" s="468">
        <v>7.03761897105879E-2</v>
      </c>
      <c r="D2062" s="469">
        <v>7.8559366952603682E-2</v>
      </c>
      <c r="G2062" s="470"/>
      <c r="H2062" s="471"/>
    </row>
    <row r="2063" spans="1:8" x14ac:dyDescent="0.35">
      <c r="A2063" s="467">
        <v>40735</v>
      </c>
      <c r="B2063" s="468">
        <v>5.2642634913333985E-2</v>
      </c>
      <c r="C2063" s="468">
        <v>7.0548272214546071E-2</v>
      </c>
      <c r="D2063" s="469">
        <v>7.9825877126803446E-2</v>
      </c>
      <c r="G2063" s="470"/>
      <c r="H2063" s="471"/>
    </row>
    <row r="2064" spans="1:8" x14ac:dyDescent="0.35">
      <c r="A2064" s="467">
        <v>40736</v>
      </c>
      <c r="B2064" s="468">
        <v>5.3496242334047039E-2</v>
      </c>
      <c r="C2064" s="468">
        <v>7.0643539492319496E-2</v>
      </c>
      <c r="D2064" s="469">
        <v>7.9694464819839661E-2</v>
      </c>
      <c r="G2064" s="470"/>
      <c r="H2064" s="471"/>
    </row>
    <row r="2065" spans="1:8" x14ac:dyDescent="0.35">
      <c r="A2065" s="467">
        <v>40737</v>
      </c>
      <c r="B2065" s="468">
        <v>5.2829979439580121E-2</v>
      </c>
      <c r="C2065" s="468">
        <v>7.0821528194360273E-2</v>
      </c>
      <c r="D2065" s="469">
        <v>7.9553751220459157E-2</v>
      </c>
      <c r="G2065" s="470"/>
      <c r="H2065" s="471"/>
    </row>
    <row r="2066" spans="1:8" x14ac:dyDescent="0.35">
      <c r="A2066" s="467">
        <v>40738</v>
      </c>
      <c r="B2066" s="468">
        <v>5.2868471556020147E-2</v>
      </c>
      <c r="C2066" s="468">
        <v>7.0762638624367824E-2</v>
      </c>
      <c r="D2066" s="469">
        <v>7.9498732676665185E-2</v>
      </c>
      <c r="G2066" s="470"/>
      <c r="H2066" s="471"/>
    </row>
    <row r="2067" spans="1:8" x14ac:dyDescent="0.35">
      <c r="A2067" s="467">
        <v>40739</v>
      </c>
      <c r="B2067" s="468">
        <v>5.2505996033024971E-2</v>
      </c>
      <c r="C2067" s="468">
        <v>7.0773173294552905E-2</v>
      </c>
      <c r="D2067" s="469">
        <v>7.9261299312900935E-2</v>
      </c>
      <c r="G2067" s="470"/>
      <c r="H2067" s="471"/>
    </row>
    <row r="2068" spans="1:8" x14ac:dyDescent="0.35">
      <c r="A2068" s="472">
        <v>40742</v>
      </c>
      <c r="B2068" s="473">
        <v>5.2729472262263988E-2</v>
      </c>
      <c r="C2068" s="473">
        <v>7.0993900550842426E-2</v>
      </c>
      <c r="D2068" s="474">
        <v>8.0469803254148431E-2</v>
      </c>
      <c r="G2068" s="470"/>
      <c r="H2068" s="471"/>
    </row>
    <row r="2069" spans="1:8" x14ac:dyDescent="0.35">
      <c r="A2069" s="467">
        <v>40743</v>
      </c>
      <c r="B2069" s="468">
        <v>5.3182975595518878E-2</v>
      </c>
      <c r="C2069" s="468">
        <v>7.1450205496071284E-2</v>
      </c>
      <c r="D2069" s="469">
        <v>8.0475125966099403E-2</v>
      </c>
      <c r="G2069" s="470"/>
      <c r="H2069" s="471"/>
    </row>
    <row r="2070" spans="1:8" x14ac:dyDescent="0.35">
      <c r="A2070" s="467">
        <v>40745</v>
      </c>
      <c r="B2070" s="468">
        <v>5.2957820592425264E-2</v>
      </c>
      <c r="C2070" s="468">
        <v>7.1089498041036592E-2</v>
      </c>
      <c r="D2070" s="469">
        <v>8.0116746520794813E-2</v>
      </c>
      <c r="G2070" s="470"/>
      <c r="H2070" s="471"/>
    </row>
    <row r="2071" spans="1:8" x14ac:dyDescent="0.35">
      <c r="A2071" s="467">
        <v>40746</v>
      </c>
      <c r="B2071" s="468">
        <v>5.2844701105321246E-2</v>
      </c>
      <c r="C2071" s="468">
        <v>7.0874071751956924E-2</v>
      </c>
      <c r="D2071" s="469">
        <v>7.9666032874870174E-2</v>
      </c>
      <c r="G2071" s="470"/>
      <c r="H2071" s="471"/>
    </row>
    <row r="2072" spans="1:8" x14ac:dyDescent="0.35">
      <c r="A2072" s="467">
        <v>40749</v>
      </c>
      <c r="B2072" s="468">
        <v>5.3253860444555823E-2</v>
      </c>
      <c r="C2072" s="468">
        <v>7.0734401943718161E-2</v>
      </c>
      <c r="D2072" s="469">
        <v>7.9581932285235357E-2</v>
      </c>
      <c r="G2072" s="470"/>
      <c r="H2072" s="471"/>
    </row>
    <row r="2073" spans="1:8" x14ac:dyDescent="0.35">
      <c r="A2073" s="467">
        <v>40750</v>
      </c>
      <c r="B2073" s="468">
        <v>5.283697259055864E-2</v>
      </c>
      <c r="C2073" s="468">
        <v>7.0311474978837829E-2</v>
      </c>
      <c r="D2073" s="469">
        <v>7.8718285028653412E-2</v>
      </c>
      <c r="G2073" s="470"/>
      <c r="H2073" s="471"/>
    </row>
    <row r="2074" spans="1:8" x14ac:dyDescent="0.35">
      <c r="A2074" s="467">
        <v>40751</v>
      </c>
      <c r="B2074" s="468">
        <v>5.2787193421892864E-2</v>
      </c>
      <c r="C2074" s="468">
        <v>7.0047325117611026E-2</v>
      </c>
      <c r="D2074" s="469">
        <v>7.8184212493907168E-2</v>
      </c>
      <c r="G2074" s="470"/>
      <c r="H2074" s="471"/>
    </row>
    <row r="2075" spans="1:8" x14ac:dyDescent="0.35">
      <c r="A2075" s="467">
        <v>40752</v>
      </c>
      <c r="B2075" s="468">
        <v>5.2520691716611889E-2</v>
      </c>
      <c r="C2075" s="468">
        <v>6.9809130732029656E-2</v>
      </c>
      <c r="D2075" s="469">
        <v>7.8272296245150974E-2</v>
      </c>
      <c r="G2075" s="470"/>
      <c r="H2075" s="471"/>
    </row>
    <row r="2076" spans="1:8" x14ac:dyDescent="0.35">
      <c r="A2076" s="467">
        <v>40753</v>
      </c>
      <c r="B2076" s="468">
        <v>5.2776511771309265E-2</v>
      </c>
      <c r="C2076" s="468">
        <v>6.931986307179705E-2</v>
      </c>
      <c r="D2076" s="469">
        <v>7.80263235282177E-2</v>
      </c>
      <c r="G2076" s="470"/>
      <c r="H2076" s="471"/>
    </row>
    <row r="2077" spans="1:8" x14ac:dyDescent="0.35">
      <c r="A2077" s="467">
        <v>40756</v>
      </c>
      <c r="B2077" s="468">
        <v>5.2602232712557484E-2</v>
      </c>
      <c r="C2077" s="468">
        <v>6.9203511823327846E-2</v>
      </c>
      <c r="D2077" s="469">
        <v>7.7329425676750718E-2</v>
      </c>
      <c r="G2077" s="470"/>
      <c r="H2077" s="471"/>
    </row>
    <row r="2078" spans="1:8" x14ac:dyDescent="0.35">
      <c r="A2078" s="467">
        <v>40757</v>
      </c>
      <c r="B2078" s="468">
        <v>5.2801749791726138E-2</v>
      </c>
      <c r="C2078" s="468">
        <v>6.9059723444505172E-2</v>
      </c>
      <c r="D2078" s="469">
        <v>7.6922459565551993E-2</v>
      </c>
      <c r="G2078" s="470"/>
      <c r="H2078" s="471"/>
    </row>
    <row r="2079" spans="1:8" x14ac:dyDescent="0.35">
      <c r="A2079" s="467">
        <v>40758</v>
      </c>
      <c r="B2079" s="468">
        <v>5.2944567669404252E-2</v>
      </c>
      <c r="C2079" s="468">
        <v>6.9178067292666068E-2</v>
      </c>
      <c r="D2079" s="469">
        <v>7.6644163855712932E-2</v>
      </c>
      <c r="G2079" s="470"/>
      <c r="H2079" s="471"/>
    </row>
    <row r="2080" spans="1:8" x14ac:dyDescent="0.35">
      <c r="A2080" s="467">
        <v>40759</v>
      </c>
      <c r="B2080" s="468">
        <v>5.4137279676740313E-2</v>
      </c>
      <c r="C2080" s="468">
        <v>6.9047195391457317E-2</v>
      </c>
      <c r="D2080" s="469">
        <v>7.7068034769893989E-2</v>
      </c>
      <c r="G2080" s="470"/>
      <c r="H2080" s="471"/>
    </row>
    <row r="2081" spans="1:8" x14ac:dyDescent="0.35">
      <c r="A2081" s="467">
        <v>40760</v>
      </c>
      <c r="B2081" s="468">
        <v>5.309568034384915E-2</v>
      </c>
      <c r="C2081" s="468">
        <v>7.0148355221497649E-2</v>
      </c>
      <c r="D2081" s="469">
        <v>7.7275711246154843E-2</v>
      </c>
      <c r="G2081" s="470"/>
      <c r="H2081" s="471"/>
    </row>
    <row r="2082" spans="1:8" x14ac:dyDescent="0.35">
      <c r="A2082" s="467">
        <v>40763</v>
      </c>
      <c r="B2082" s="468">
        <v>5.3740195154207582E-2</v>
      </c>
      <c r="C2082" s="468">
        <v>6.9826217082393782E-2</v>
      </c>
      <c r="D2082" s="469">
        <v>7.7527594601937366E-2</v>
      </c>
      <c r="G2082" s="470"/>
      <c r="H2082" s="471"/>
    </row>
    <row r="2083" spans="1:8" x14ac:dyDescent="0.35">
      <c r="A2083" s="467">
        <v>40764</v>
      </c>
      <c r="B2083" s="468">
        <v>5.3408891028459138E-2</v>
      </c>
      <c r="C2083" s="468">
        <v>6.9684640691602961E-2</v>
      </c>
      <c r="D2083" s="469">
        <v>7.7203600110304471E-2</v>
      </c>
      <c r="G2083" s="470"/>
      <c r="H2083" s="471"/>
    </row>
    <row r="2084" spans="1:8" x14ac:dyDescent="0.35">
      <c r="A2084" s="467">
        <v>40765</v>
      </c>
      <c r="B2084" s="468">
        <v>5.3418250878845885E-2</v>
      </c>
      <c r="C2084" s="468">
        <v>6.8355911775352496E-2</v>
      </c>
      <c r="D2084" s="469">
        <v>7.560861468037805E-2</v>
      </c>
      <c r="G2084" s="470"/>
      <c r="H2084" s="471"/>
    </row>
    <row r="2085" spans="1:8" x14ac:dyDescent="0.35">
      <c r="A2085" s="467">
        <v>40766</v>
      </c>
      <c r="B2085" s="468">
        <v>5.3903679775535229E-2</v>
      </c>
      <c r="C2085" s="468">
        <v>6.7977384091718385E-2</v>
      </c>
      <c r="D2085" s="469">
        <v>7.5907632205422626E-2</v>
      </c>
      <c r="G2085" s="470"/>
      <c r="H2085" s="471"/>
    </row>
    <row r="2086" spans="1:8" x14ac:dyDescent="0.35">
      <c r="A2086" s="467">
        <v>40767</v>
      </c>
      <c r="B2086" s="468">
        <v>5.354681102403136E-2</v>
      </c>
      <c r="C2086" s="468">
        <v>6.7547600737937197E-2</v>
      </c>
      <c r="D2086" s="469">
        <v>7.5253651981256331E-2</v>
      </c>
      <c r="G2086" s="470"/>
      <c r="H2086" s="471"/>
    </row>
    <row r="2087" spans="1:8" x14ac:dyDescent="0.35">
      <c r="A2087" s="467">
        <v>40771</v>
      </c>
      <c r="B2087" s="468">
        <v>5.2976655439442188E-2</v>
      </c>
      <c r="C2087" s="468">
        <v>6.7282491164350589E-2</v>
      </c>
      <c r="D2087" s="469">
        <v>7.5155897044213216E-2</v>
      </c>
      <c r="G2087" s="470"/>
      <c r="H2087" s="471"/>
    </row>
    <row r="2088" spans="1:8" x14ac:dyDescent="0.35">
      <c r="A2088" s="467">
        <v>40772</v>
      </c>
      <c r="B2088" s="468">
        <v>5.3726212458698352E-2</v>
      </c>
      <c r="C2088" s="468">
        <v>6.7272868746279579E-2</v>
      </c>
      <c r="D2088" s="469">
        <v>7.5894301267952269E-2</v>
      </c>
      <c r="G2088" s="470"/>
      <c r="H2088" s="471"/>
    </row>
    <row r="2089" spans="1:8" x14ac:dyDescent="0.35">
      <c r="A2089" s="467">
        <v>40773</v>
      </c>
      <c r="B2089" s="468">
        <v>5.3635002672317356E-2</v>
      </c>
      <c r="C2089" s="468">
        <v>6.7104871809193778E-2</v>
      </c>
      <c r="D2089" s="469">
        <v>7.5258093784691393E-2</v>
      </c>
      <c r="G2089" s="470"/>
      <c r="H2089" s="471"/>
    </row>
    <row r="2090" spans="1:8" x14ac:dyDescent="0.35">
      <c r="A2090" s="467">
        <v>40774</v>
      </c>
      <c r="B2090" s="468">
        <v>5.3168751035276518E-2</v>
      </c>
      <c r="C2090" s="468">
        <v>6.6762082770941866E-2</v>
      </c>
      <c r="D2090" s="469">
        <v>7.5019288118676641E-2</v>
      </c>
      <c r="G2090" s="470"/>
      <c r="H2090" s="471"/>
    </row>
    <row r="2091" spans="1:8" x14ac:dyDescent="0.35">
      <c r="A2091" s="467">
        <v>40777</v>
      </c>
      <c r="B2091" s="468">
        <v>5.2874722913355487E-2</v>
      </c>
      <c r="C2091" s="468">
        <v>6.5809254164420627E-2</v>
      </c>
      <c r="D2091" s="469">
        <v>7.4337659754983409E-2</v>
      </c>
      <c r="G2091" s="470"/>
      <c r="H2091" s="471"/>
    </row>
    <row r="2092" spans="1:8" x14ac:dyDescent="0.35">
      <c r="A2092" s="467">
        <v>40778</v>
      </c>
      <c r="B2092" s="468">
        <v>5.2236322137620972E-2</v>
      </c>
      <c r="C2092" s="468">
        <v>6.5623005642982735E-2</v>
      </c>
      <c r="D2092" s="469">
        <v>7.4317550049526782E-2</v>
      </c>
      <c r="G2092" s="470"/>
      <c r="H2092" s="471"/>
    </row>
    <row r="2093" spans="1:8" x14ac:dyDescent="0.35">
      <c r="A2093" s="467">
        <v>40779</v>
      </c>
      <c r="B2093" s="468">
        <v>5.2282872863961716E-2</v>
      </c>
      <c r="C2093" s="468">
        <v>6.5553688815484179E-2</v>
      </c>
      <c r="D2093" s="469">
        <v>7.4703768799018855E-2</v>
      </c>
      <c r="G2093" s="470"/>
      <c r="H2093" s="471"/>
    </row>
    <row r="2094" spans="1:8" x14ac:dyDescent="0.35">
      <c r="A2094" s="467">
        <v>40780</v>
      </c>
      <c r="B2094" s="468">
        <v>5.2844993400112061E-2</v>
      </c>
      <c r="C2094" s="468">
        <v>6.6462588268997758E-2</v>
      </c>
      <c r="D2094" s="469">
        <v>7.4686426801879424E-2</v>
      </c>
      <c r="G2094" s="470"/>
      <c r="H2094" s="471"/>
    </row>
    <row r="2095" spans="1:8" x14ac:dyDescent="0.35">
      <c r="A2095" s="467">
        <v>40781</v>
      </c>
      <c r="B2095" s="468">
        <v>5.2923000945026111E-2</v>
      </c>
      <c r="C2095" s="468">
        <v>6.6697919145475515E-2</v>
      </c>
      <c r="D2095" s="469">
        <v>7.5230663926375785E-2</v>
      </c>
      <c r="G2095" s="470"/>
      <c r="H2095" s="471"/>
    </row>
    <row r="2096" spans="1:8" x14ac:dyDescent="0.35">
      <c r="A2096" s="467">
        <v>40784</v>
      </c>
      <c r="B2096" s="468">
        <v>5.2877776176845082E-2</v>
      </c>
      <c r="C2096" s="468">
        <v>6.6542450334542425E-2</v>
      </c>
      <c r="D2096" s="469">
        <v>7.5254401548198846E-2</v>
      </c>
      <c r="G2096" s="470"/>
      <c r="H2096" s="471"/>
    </row>
    <row r="2097" spans="1:8" x14ac:dyDescent="0.35">
      <c r="A2097" s="467">
        <v>40785</v>
      </c>
      <c r="B2097" s="468">
        <v>5.2716700938306493E-2</v>
      </c>
      <c r="C2097" s="468">
        <v>6.6361480380769944E-2</v>
      </c>
      <c r="D2097" s="469">
        <v>7.4720607572784203E-2</v>
      </c>
      <c r="G2097" s="470"/>
      <c r="H2097" s="471"/>
    </row>
    <row r="2098" spans="1:8" x14ac:dyDescent="0.35">
      <c r="A2098" s="467">
        <v>40786</v>
      </c>
      <c r="B2098" s="468">
        <v>5.2837306043193699E-2</v>
      </c>
      <c r="C2098" s="468">
        <v>6.6236956588321405E-2</v>
      </c>
      <c r="D2098" s="469">
        <v>7.4946572846745774E-2</v>
      </c>
      <c r="G2098" s="470"/>
      <c r="H2098" s="471"/>
    </row>
    <row r="2099" spans="1:8" x14ac:dyDescent="0.35">
      <c r="A2099" s="467">
        <v>40787</v>
      </c>
      <c r="B2099" s="468">
        <v>5.265826872304169E-2</v>
      </c>
      <c r="C2099" s="468">
        <v>6.5984270303925729E-2</v>
      </c>
      <c r="D2099" s="469">
        <v>7.4758203827287373E-2</v>
      </c>
      <c r="G2099" s="470"/>
      <c r="H2099" s="471"/>
    </row>
    <row r="2100" spans="1:8" x14ac:dyDescent="0.35">
      <c r="A2100" s="467">
        <v>40788</v>
      </c>
      <c r="B2100" s="468">
        <v>5.1892498859853031E-2</v>
      </c>
      <c r="C2100" s="468">
        <v>6.5311581906571048E-2</v>
      </c>
      <c r="D2100" s="469">
        <v>7.4237325134862475E-2</v>
      </c>
      <c r="G2100" s="470"/>
      <c r="H2100" s="471"/>
    </row>
    <row r="2101" spans="1:8" x14ac:dyDescent="0.35">
      <c r="A2101" s="467">
        <v>40791</v>
      </c>
      <c r="B2101" s="468">
        <v>5.1305872105651629E-2</v>
      </c>
      <c r="C2101" s="468">
        <v>6.4749416080658984E-2</v>
      </c>
      <c r="D2101" s="469">
        <v>7.3980882721403241E-2</v>
      </c>
      <c r="G2101" s="470"/>
      <c r="H2101" s="471"/>
    </row>
    <row r="2102" spans="1:8" x14ac:dyDescent="0.35">
      <c r="A2102" s="467">
        <v>40792</v>
      </c>
      <c r="B2102" s="468">
        <v>5.0539587284427867E-2</v>
      </c>
      <c r="C2102" s="468">
        <v>6.4325148824750711E-2</v>
      </c>
      <c r="D2102" s="469">
        <v>7.3385394266134663E-2</v>
      </c>
      <c r="G2102" s="470"/>
      <c r="H2102" s="471"/>
    </row>
    <row r="2103" spans="1:8" x14ac:dyDescent="0.35">
      <c r="A2103" s="467">
        <v>40793</v>
      </c>
      <c r="B2103" s="468">
        <v>5.0695740122915112E-2</v>
      </c>
      <c r="C2103" s="468">
        <v>6.4445418723727332E-2</v>
      </c>
      <c r="D2103" s="469">
        <v>7.3407436418046812E-2</v>
      </c>
      <c r="G2103" s="470"/>
      <c r="H2103" s="471"/>
    </row>
    <row r="2104" spans="1:8" x14ac:dyDescent="0.35">
      <c r="A2104" s="467">
        <v>40794</v>
      </c>
      <c r="B2104" s="468">
        <v>5.060377164291352E-2</v>
      </c>
      <c r="C2104" s="468">
        <v>6.3286505387797565E-2</v>
      </c>
      <c r="D2104" s="469">
        <v>7.320494418045298E-2</v>
      </c>
      <c r="G2104" s="470"/>
      <c r="H2104" s="471"/>
    </row>
    <row r="2105" spans="1:8" x14ac:dyDescent="0.35">
      <c r="A2105" s="467">
        <v>40795</v>
      </c>
      <c r="B2105" s="468">
        <v>4.9835329589666744E-2</v>
      </c>
      <c r="C2105" s="468">
        <v>6.3177545607990382E-2</v>
      </c>
      <c r="D2105" s="469">
        <v>7.301429710833407E-2</v>
      </c>
      <c r="G2105" s="470"/>
      <c r="H2105" s="471"/>
    </row>
    <row r="2106" spans="1:8" x14ac:dyDescent="0.35">
      <c r="A2106" s="467">
        <v>40798</v>
      </c>
      <c r="B2106" s="468">
        <v>4.9292238145272727E-2</v>
      </c>
      <c r="C2106" s="468">
        <v>6.3918183760723002E-2</v>
      </c>
      <c r="D2106" s="469">
        <v>7.4516232726884457E-2</v>
      </c>
      <c r="G2106" s="470"/>
      <c r="H2106" s="471"/>
    </row>
    <row r="2107" spans="1:8" x14ac:dyDescent="0.35">
      <c r="A2107" s="467">
        <v>40799</v>
      </c>
      <c r="B2107" s="468">
        <v>4.963113712431344E-2</v>
      </c>
      <c r="C2107" s="468">
        <v>6.4260022982672638E-2</v>
      </c>
      <c r="D2107" s="469">
        <v>7.487209771311476E-2</v>
      </c>
      <c r="G2107" s="470"/>
      <c r="H2107" s="471"/>
    </row>
    <row r="2108" spans="1:8" x14ac:dyDescent="0.35">
      <c r="A2108" s="467">
        <v>40800</v>
      </c>
      <c r="B2108" s="468">
        <v>4.999041830786588E-2</v>
      </c>
      <c r="C2108" s="468">
        <v>6.4546973953345521E-2</v>
      </c>
      <c r="D2108" s="469">
        <v>7.4792819282939904E-2</v>
      </c>
      <c r="G2108" s="470"/>
      <c r="H2108" s="471"/>
    </row>
    <row r="2109" spans="1:8" x14ac:dyDescent="0.35">
      <c r="A2109" s="467">
        <v>40801</v>
      </c>
      <c r="B2109" s="468">
        <v>4.9957316401744833E-2</v>
      </c>
      <c r="C2109" s="468">
        <v>6.4276486208359129E-2</v>
      </c>
      <c r="D2109" s="469">
        <v>7.4288016905790677E-2</v>
      </c>
      <c r="G2109" s="470"/>
      <c r="H2109" s="471"/>
    </row>
    <row r="2110" spans="1:8" x14ac:dyDescent="0.35">
      <c r="A2110" s="467">
        <v>40802</v>
      </c>
      <c r="B2110" s="468">
        <v>4.9849303764741393E-2</v>
      </c>
      <c r="C2110" s="468">
        <v>6.4786040259641631E-2</v>
      </c>
      <c r="D2110" s="469">
        <v>7.4893571551972959E-2</v>
      </c>
      <c r="G2110" s="470"/>
      <c r="H2110" s="471"/>
    </row>
    <row r="2111" spans="1:8" x14ac:dyDescent="0.35">
      <c r="A2111" s="467">
        <v>40805</v>
      </c>
      <c r="B2111" s="468">
        <v>4.9847523547962513E-2</v>
      </c>
      <c r="C2111" s="468">
        <v>6.4744602610037116E-2</v>
      </c>
      <c r="D2111" s="469">
        <v>7.4917594556465072E-2</v>
      </c>
      <c r="G2111" s="470"/>
      <c r="H2111" s="471"/>
    </row>
    <row r="2112" spans="1:8" x14ac:dyDescent="0.35">
      <c r="A2112" s="467">
        <v>40806</v>
      </c>
      <c r="B2112" s="468">
        <v>4.9679654107661397E-2</v>
      </c>
      <c r="C2112" s="468">
        <v>6.4719183028625116E-2</v>
      </c>
      <c r="D2112" s="469">
        <v>7.4753334494194412E-2</v>
      </c>
      <c r="G2112" s="470"/>
      <c r="H2112" s="471"/>
    </row>
    <row r="2113" spans="1:8" x14ac:dyDescent="0.35">
      <c r="A2113" s="467">
        <v>40807</v>
      </c>
      <c r="B2113" s="468">
        <v>4.951814691035028E-2</v>
      </c>
      <c r="C2113" s="468">
        <v>6.5503370010631112E-2</v>
      </c>
      <c r="D2113" s="469">
        <v>7.5958087679115716E-2</v>
      </c>
      <c r="G2113" s="470"/>
      <c r="H2113" s="471"/>
    </row>
    <row r="2114" spans="1:8" x14ac:dyDescent="0.35">
      <c r="A2114" s="467">
        <v>40808</v>
      </c>
      <c r="B2114" s="468">
        <v>5.1016311857018604E-2</v>
      </c>
      <c r="C2114" s="468">
        <v>6.7342404031771386E-2</v>
      </c>
      <c r="D2114" s="469">
        <v>7.7813326968768415E-2</v>
      </c>
      <c r="G2114" s="470"/>
      <c r="H2114" s="471"/>
    </row>
    <row r="2115" spans="1:8" x14ac:dyDescent="0.35">
      <c r="A2115" s="467">
        <v>40809</v>
      </c>
      <c r="B2115" s="468">
        <v>5.1755170764727243E-2</v>
      </c>
      <c r="C2115" s="468">
        <v>6.8875454769701472E-2</v>
      </c>
      <c r="D2115" s="469">
        <v>7.8377045687547664E-2</v>
      </c>
      <c r="G2115" s="470"/>
      <c r="H2115" s="471"/>
    </row>
    <row r="2116" spans="1:8" x14ac:dyDescent="0.35">
      <c r="A2116" s="467">
        <v>40812</v>
      </c>
      <c r="B2116" s="468">
        <v>5.2433640967278539E-2</v>
      </c>
      <c r="C2116" s="468">
        <v>6.7906645081394323E-2</v>
      </c>
      <c r="D2116" s="469">
        <v>7.7395378785268143E-2</v>
      </c>
      <c r="G2116" s="470"/>
      <c r="H2116" s="471"/>
    </row>
    <row r="2117" spans="1:8" x14ac:dyDescent="0.35">
      <c r="A2117" s="467">
        <v>40813</v>
      </c>
      <c r="B2117" s="468">
        <v>5.0551667303425418E-2</v>
      </c>
      <c r="C2117" s="468">
        <v>6.7496522358155842E-2</v>
      </c>
      <c r="D2117" s="469">
        <v>7.7055637402853927E-2</v>
      </c>
      <c r="G2117" s="470"/>
      <c r="H2117" s="471"/>
    </row>
    <row r="2118" spans="1:8" x14ac:dyDescent="0.35">
      <c r="A2118" s="467">
        <v>40814</v>
      </c>
      <c r="B2118" s="468">
        <v>5.1801960701596927E-2</v>
      </c>
      <c r="C2118" s="468">
        <v>6.7486287793734556E-2</v>
      </c>
      <c r="D2118" s="469">
        <v>7.6726144636980464E-2</v>
      </c>
      <c r="G2118" s="470"/>
      <c r="H2118" s="471"/>
    </row>
    <row r="2119" spans="1:8" x14ac:dyDescent="0.35">
      <c r="A2119" s="467">
        <v>40815</v>
      </c>
      <c r="B2119" s="468">
        <v>5.1327944468530617E-2</v>
      </c>
      <c r="C2119" s="468">
        <v>6.7236866051445299E-2</v>
      </c>
      <c r="D2119" s="469">
        <v>7.7282761643122866E-2</v>
      </c>
      <c r="G2119" s="470"/>
      <c r="H2119" s="471"/>
    </row>
    <row r="2120" spans="1:8" x14ac:dyDescent="0.35">
      <c r="A2120" s="467">
        <v>40816</v>
      </c>
      <c r="B2120" s="468">
        <v>5.1834088936170142E-2</v>
      </c>
      <c r="C2120" s="468">
        <v>6.7614882681213295E-2</v>
      </c>
      <c r="D2120" s="469">
        <v>7.6542942308476691E-2</v>
      </c>
      <c r="G2120" s="470"/>
      <c r="H2120" s="471"/>
    </row>
    <row r="2121" spans="1:8" x14ac:dyDescent="0.35">
      <c r="A2121" s="467">
        <v>40819</v>
      </c>
      <c r="B2121" s="468">
        <v>5.0385193586137911E-2</v>
      </c>
      <c r="C2121" s="468">
        <v>6.9185147487901943E-2</v>
      </c>
      <c r="D2121" s="469">
        <v>7.9860346983784858E-2</v>
      </c>
      <c r="G2121" s="470"/>
      <c r="H2121" s="471"/>
    </row>
    <row r="2122" spans="1:8" x14ac:dyDescent="0.35">
      <c r="A2122" s="467">
        <v>40820</v>
      </c>
      <c r="B2122" s="468">
        <v>5.1887455626268286E-2</v>
      </c>
      <c r="C2122" s="468">
        <v>6.9596312814525163E-2</v>
      </c>
      <c r="D2122" s="469">
        <v>7.8951745324086664E-2</v>
      </c>
      <c r="G2122" s="470"/>
      <c r="H2122" s="471"/>
    </row>
    <row r="2123" spans="1:8" x14ac:dyDescent="0.35">
      <c r="A2123" s="467">
        <v>40821</v>
      </c>
      <c r="B2123" s="468">
        <v>5.1691264296683137E-2</v>
      </c>
      <c r="C2123" s="468">
        <v>6.9279580726906875E-2</v>
      </c>
      <c r="D2123" s="469">
        <v>7.8267756816740253E-2</v>
      </c>
      <c r="G2123" s="470"/>
      <c r="H2123" s="471"/>
    </row>
    <row r="2124" spans="1:8" x14ac:dyDescent="0.35">
      <c r="A2124" s="467">
        <v>40822</v>
      </c>
      <c r="B2124" s="468">
        <v>5.1553806815924919E-2</v>
      </c>
      <c r="C2124" s="468">
        <v>6.9257270777851154E-2</v>
      </c>
      <c r="D2124" s="469">
        <v>7.9011885759208811E-2</v>
      </c>
      <c r="G2124" s="470"/>
      <c r="H2124" s="471"/>
    </row>
    <row r="2125" spans="1:8" x14ac:dyDescent="0.35">
      <c r="A2125" s="467">
        <v>40823</v>
      </c>
      <c r="B2125" s="468">
        <v>5.23261849075074E-2</v>
      </c>
      <c r="C2125" s="468">
        <v>6.8560998014060015E-2</v>
      </c>
      <c r="D2125" s="469">
        <v>7.8070894567284776E-2</v>
      </c>
      <c r="G2125" s="470"/>
      <c r="H2125" s="471"/>
    </row>
    <row r="2126" spans="1:8" x14ac:dyDescent="0.35">
      <c r="A2126" s="467">
        <v>40826</v>
      </c>
      <c r="B2126" s="468">
        <v>5.2057249962163654E-2</v>
      </c>
      <c r="C2126" s="468">
        <v>6.8212218959702753E-2</v>
      </c>
      <c r="D2126" s="469">
        <v>7.6497217441118259E-2</v>
      </c>
      <c r="G2126" s="470"/>
      <c r="H2126" s="471"/>
    </row>
    <row r="2127" spans="1:8" x14ac:dyDescent="0.35">
      <c r="A2127" s="467">
        <v>40827</v>
      </c>
      <c r="B2127" s="468">
        <v>5.1466082280391401E-2</v>
      </c>
      <c r="C2127" s="468">
        <v>6.7767049144701108E-2</v>
      </c>
      <c r="D2127" s="469">
        <v>7.6629834341941816E-2</v>
      </c>
      <c r="G2127" s="470"/>
      <c r="H2127" s="471"/>
    </row>
    <row r="2128" spans="1:8" x14ac:dyDescent="0.35">
      <c r="A2128" s="467">
        <v>40828</v>
      </c>
      <c r="B2128" s="468">
        <v>5.1656720471402462E-2</v>
      </c>
      <c r="C2128" s="468">
        <v>6.7799889423530102E-2</v>
      </c>
      <c r="D2128" s="469">
        <v>7.6463184201928991E-2</v>
      </c>
      <c r="G2128" s="470"/>
      <c r="H2128" s="471"/>
    </row>
    <row r="2129" spans="1:8" x14ac:dyDescent="0.35">
      <c r="A2129" s="467">
        <v>40829</v>
      </c>
      <c r="B2129" s="468">
        <v>5.2061656588398231E-2</v>
      </c>
      <c r="C2129" s="468">
        <v>6.8521931924891977E-2</v>
      </c>
      <c r="D2129" s="469">
        <v>7.7021296413730456E-2</v>
      </c>
      <c r="G2129" s="470"/>
      <c r="H2129" s="471"/>
    </row>
    <row r="2130" spans="1:8" x14ac:dyDescent="0.35">
      <c r="A2130" s="467">
        <v>40830</v>
      </c>
      <c r="B2130" s="468">
        <v>5.3362670586174721E-2</v>
      </c>
      <c r="C2130" s="468">
        <v>6.7654154600574667E-2</v>
      </c>
      <c r="D2130" s="469">
        <v>7.6263140541795948E-2</v>
      </c>
      <c r="G2130" s="470"/>
      <c r="H2130" s="471"/>
    </row>
    <row r="2131" spans="1:8" x14ac:dyDescent="0.35">
      <c r="A2131" s="467">
        <v>40834</v>
      </c>
      <c r="B2131" s="468">
        <v>5.3592876965855574E-2</v>
      </c>
      <c r="C2131" s="468">
        <v>6.7881993144304431E-2</v>
      </c>
      <c r="D2131" s="469">
        <v>7.6853400472302713E-2</v>
      </c>
      <c r="G2131" s="470"/>
      <c r="H2131" s="471"/>
    </row>
    <row r="2132" spans="1:8" x14ac:dyDescent="0.35">
      <c r="A2132" s="467">
        <v>40835</v>
      </c>
      <c r="B2132" s="468">
        <v>5.3652303189363648E-2</v>
      </c>
      <c r="C2132" s="468">
        <v>6.7924866314382548E-2</v>
      </c>
      <c r="D2132" s="469">
        <v>7.6889031508583283E-2</v>
      </c>
      <c r="G2132" s="470"/>
      <c r="H2132" s="471"/>
    </row>
    <row r="2133" spans="1:8" x14ac:dyDescent="0.35">
      <c r="A2133" s="467">
        <v>40836</v>
      </c>
      <c r="B2133" s="468">
        <v>5.3573623847769758E-2</v>
      </c>
      <c r="C2133" s="468">
        <v>6.9028605474222182E-2</v>
      </c>
      <c r="D2133" s="469">
        <v>7.7766394079076706E-2</v>
      </c>
      <c r="G2133" s="470"/>
      <c r="H2133" s="471"/>
    </row>
    <row r="2134" spans="1:8" x14ac:dyDescent="0.35">
      <c r="A2134" s="467">
        <v>40837</v>
      </c>
      <c r="B2134" s="468">
        <v>5.4450253026307793E-2</v>
      </c>
      <c r="C2134" s="468">
        <v>6.9509868742890557E-2</v>
      </c>
      <c r="D2134" s="469">
        <v>7.7495109518999516E-2</v>
      </c>
      <c r="G2134" s="470"/>
      <c r="H2134" s="471"/>
    </row>
    <row r="2135" spans="1:8" x14ac:dyDescent="0.35">
      <c r="A2135" s="467">
        <v>40840</v>
      </c>
      <c r="B2135" s="468">
        <v>5.4988961044496687E-2</v>
      </c>
      <c r="C2135" s="468">
        <v>6.8887612992356573E-2</v>
      </c>
      <c r="D2135" s="469">
        <v>7.7182087261467025E-2</v>
      </c>
      <c r="G2135" s="470"/>
      <c r="H2135" s="471"/>
    </row>
    <row r="2136" spans="1:8" x14ac:dyDescent="0.35">
      <c r="A2136" s="467">
        <v>40841</v>
      </c>
      <c r="B2136" s="468">
        <v>5.4999139277030373E-2</v>
      </c>
      <c r="C2136" s="468">
        <v>6.89859943869362E-2</v>
      </c>
      <c r="D2136" s="469">
        <v>7.6958994087876542E-2</v>
      </c>
      <c r="G2136" s="470"/>
      <c r="H2136" s="471"/>
    </row>
    <row r="2137" spans="1:8" x14ac:dyDescent="0.35">
      <c r="A2137" s="467">
        <v>40842</v>
      </c>
      <c r="B2137" s="468">
        <v>5.5014120208942474E-2</v>
      </c>
      <c r="C2137" s="468">
        <v>6.912113076786186E-2</v>
      </c>
      <c r="D2137" s="469">
        <v>7.6853299486636439E-2</v>
      </c>
      <c r="G2137" s="470"/>
      <c r="H2137" s="471"/>
    </row>
    <row r="2138" spans="1:8" x14ac:dyDescent="0.35">
      <c r="A2138" s="467">
        <v>40843</v>
      </c>
      <c r="B2138" s="468">
        <v>5.4828265160153045E-2</v>
      </c>
      <c r="C2138" s="468">
        <v>6.8783301811397246E-2</v>
      </c>
      <c r="D2138" s="469">
        <v>7.5533225010597782E-2</v>
      </c>
      <c r="G2138" s="470"/>
      <c r="H2138" s="471"/>
    </row>
    <row r="2139" spans="1:8" x14ac:dyDescent="0.35">
      <c r="A2139" s="467">
        <v>40844</v>
      </c>
      <c r="B2139" s="468">
        <v>5.520042651934709E-2</v>
      </c>
      <c r="C2139" s="468">
        <v>6.9386880184011401E-2</v>
      </c>
      <c r="D2139" s="469">
        <v>7.649947072584129E-2</v>
      </c>
      <c r="G2139" s="470"/>
      <c r="H2139" s="471"/>
    </row>
    <row r="2140" spans="1:8" x14ac:dyDescent="0.35">
      <c r="A2140" s="467">
        <v>40847</v>
      </c>
      <c r="B2140" s="468">
        <v>5.5771173969089372E-2</v>
      </c>
      <c r="C2140" s="468">
        <v>6.9247705635995471E-2</v>
      </c>
      <c r="D2140" s="469">
        <v>7.661257936252408E-2</v>
      </c>
      <c r="G2140" s="470"/>
      <c r="H2140" s="471"/>
    </row>
    <row r="2141" spans="1:8" x14ac:dyDescent="0.35">
      <c r="A2141" s="467">
        <v>40848</v>
      </c>
      <c r="B2141" s="468">
        <v>5.4630566727902341E-2</v>
      </c>
      <c r="C2141" s="468">
        <v>6.9506687791611732E-2</v>
      </c>
      <c r="D2141" s="469">
        <v>7.6448540220517502E-2</v>
      </c>
      <c r="G2141" s="470"/>
      <c r="H2141" s="471"/>
    </row>
    <row r="2142" spans="1:8" x14ac:dyDescent="0.35">
      <c r="A2142" s="467">
        <v>40849</v>
      </c>
      <c r="B2142" s="468">
        <v>5.5354405072734814E-2</v>
      </c>
      <c r="C2142" s="468">
        <v>6.9388108910007018E-2</v>
      </c>
      <c r="D2142" s="469">
        <v>7.6451994524020073E-2</v>
      </c>
      <c r="G2142" s="470"/>
      <c r="H2142" s="471"/>
    </row>
    <row r="2143" spans="1:8" x14ac:dyDescent="0.35">
      <c r="A2143" s="467">
        <v>40850</v>
      </c>
      <c r="B2143" s="468">
        <v>5.5472704709628617E-2</v>
      </c>
      <c r="C2143" s="468">
        <v>6.9281581989565133E-2</v>
      </c>
      <c r="D2143" s="469">
        <v>7.6228653463736418E-2</v>
      </c>
      <c r="G2143" s="470"/>
      <c r="H2143" s="471"/>
    </row>
    <row r="2144" spans="1:8" x14ac:dyDescent="0.35">
      <c r="A2144" s="467">
        <v>40851</v>
      </c>
      <c r="B2144" s="468">
        <v>5.482025401476287E-2</v>
      </c>
      <c r="C2144" s="468">
        <v>6.9912273906654221E-2</v>
      </c>
      <c r="D2144" s="469">
        <v>7.6251618095087847E-2</v>
      </c>
      <c r="G2144" s="470"/>
      <c r="H2144" s="471"/>
    </row>
    <row r="2145" spans="1:8" x14ac:dyDescent="0.35">
      <c r="A2145" s="467">
        <v>40855</v>
      </c>
      <c r="B2145" s="468">
        <v>5.4827526529382054E-2</v>
      </c>
      <c r="C2145" s="468">
        <v>6.9679530767387421E-2</v>
      </c>
      <c r="D2145" s="469">
        <v>7.6102206597439714E-2</v>
      </c>
      <c r="G2145" s="470"/>
      <c r="H2145" s="471"/>
    </row>
    <row r="2146" spans="1:8" x14ac:dyDescent="0.35">
      <c r="A2146" s="467">
        <v>40856</v>
      </c>
      <c r="B2146" s="468">
        <v>5.6034244206557782E-2</v>
      </c>
      <c r="C2146" s="468">
        <v>6.9635089099037373E-2</v>
      </c>
      <c r="D2146" s="469">
        <v>7.6592976468294438E-2</v>
      </c>
      <c r="G2146" s="470"/>
      <c r="H2146" s="471"/>
    </row>
    <row r="2147" spans="1:8" x14ac:dyDescent="0.35">
      <c r="A2147" s="467">
        <v>40857</v>
      </c>
      <c r="B2147" s="468">
        <v>5.5648277721580763E-2</v>
      </c>
      <c r="C2147" s="468">
        <v>6.9898359133064414E-2</v>
      </c>
      <c r="D2147" s="469">
        <v>7.6398529690190786E-2</v>
      </c>
      <c r="G2147" s="470"/>
      <c r="H2147" s="471"/>
    </row>
    <row r="2148" spans="1:8" x14ac:dyDescent="0.35">
      <c r="A2148" s="467">
        <v>40858</v>
      </c>
      <c r="B2148" s="468">
        <v>5.5935824565644277E-2</v>
      </c>
      <c r="C2148" s="468">
        <v>7.0125965512864985E-2</v>
      </c>
      <c r="D2148" s="469">
        <v>7.6343765835651611E-2</v>
      </c>
      <c r="G2148" s="470"/>
      <c r="H2148" s="471"/>
    </row>
    <row r="2149" spans="1:8" x14ac:dyDescent="0.35">
      <c r="A2149" s="467">
        <v>40862</v>
      </c>
      <c r="B2149" s="468">
        <v>5.6334387896826321E-2</v>
      </c>
      <c r="C2149" s="468">
        <v>7.0115391712789465E-2</v>
      </c>
      <c r="D2149" s="469">
        <v>7.7492962772375495E-2</v>
      </c>
      <c r="G2149" s="470"/>
      <c r="H2149" s="471"/>
    </row>
    <row r="2150" spans="1:8" x14ac:dyDescent="0.35">
      <c r="A2150" s="467">
        <v>40863</v>
      </c>
      <c r="B2150" s="468">
        <v>5.7383836067643967E-2</v>
      </c>
      <c r="C2150" s="468">
        <v>7.079254221812592E-2</v>
      </c>
      <c r="D2150" s="469">
        <v>7.6764890932410124E-2</v>
      </c>
      <c r="G2150" s="470"/>
      <c r="H2150" s="471"/>
    </row>
    <row r="2151" spans="1:8" x14ac:dyDescent="0.35">
      <c r="A2151" s="467">
        <v>40864</v>
      </c>
      <c r="B2151" s="468">
        <v>5.6988881746815379E-2</v>
      </c>
      <c r="C2151" s="468">
        <v>7.0848002693205903E-2</v>
      </c>
      <c r="D2151" s="469">
        <v>7.6460595446041335E-2</v>
      </c>
      <c r="G2151" s="470"/>
      <c r="H2151" s="471"/>
    </row>
    <row r="2152" spans="1:8" x14ac:dyDescent="0.35">
      <c r="A2152" s="467">
        <v>40865</v>
      </c>
      <c r="B2152" s="468">
        <v>5.7678571866108808E-2</v>
      </c>
      <c r="C2152" s="468">
        <v>7.0804653665212713E-2</v>
      </c>
      <c r="D2152" s="469">
        <v>7.664775599656104E-2</v>
      </c>
      <c r="G2152" s="470"/>
      <c r="H2152" s="471"/>
    </row>
    <row r="2153" spans="1:8" x14ac:dyDescent="0.35">
      <c r="A2153" s="467">
        <v>40868</v>
      </c>
      <c r="B2153" s="468">
        <v>5.7579041039850898E-2</v>
      </c>
      <c r="C2153" s="468">
        <v>7.0892104957305691E-2</v>
      </c>
      <c r="D2153" s="469">
        <v>7.7063787821867624E-2</v>
      </c>
      <c r="G2153" s="470"/>
      <c r="H2153" s="471"/>
    </row>
    <row r="2154" spans="1:8" x14ac:dyDescent="0.35">
      <c r="A2154" s="467">
        <v>40869</v>
      </c>
      <c r="B2154" s="468">
        <v>5.752795540373068E-2</v>
      </c>
      <c r="C2154" s="468">
        <v>7.1005259421186517E-2</v>
      </c>
      <c r="D2154" s="469">
        <v>7.7097155920380356E-2</v>
      </c>
      <c r="G2154" s="470"/>
      <c r="H2154" s="471"/>
    </row>
    <row r="2155" spans="1:8" x14ac:dyDescent="0.35">
      <c r="A2155" s="467">
        <v>40870</v>
      </c>
      <c r="B2155" s="468">
        <v>5.7534135456543289E-2</v>
      </c>
      <c r="C2155" s="468">
        <v>7.1257110335108953E-2</v>
      </c>
      <c r="D2155" s="469">
        <v>7.792122027833237E-2</v>
      </c>
      <c r="G2155" s="470"/>
      <c r="H2155" s="471"/>
    </row>
    <row r="2156" spans="1:8" x14ac:dyDescent="0.35">
      <c r="A2156" s="467">
        <v>40871</v>
      </c>
      <c r="B2156" s="468">
        <v>5.7661292257213725E-2</v>
      </c>
      <c r="C2156" s="468">
        <v>7.1157677497228011E-2</v>
      </c>
      <c r="D2156" s="469">
        <v>7.8539511560734132E-2</v>
      </c>
      <c r="G2156" s="470"/>
      <c r="H2156" s="471"/>
    </row>
    <row r="2157" spans="1:8" x14ac:dyDescent="0.35">
      <c r="A2157" s="467">
        <v>40872</v>
      </c>
      <c r="B2157" s="468">
        <v>5.7369816090247161E-2</v>
      </c>
      <c r="C2157" s="468">
        <v>7.0877050647199402E-2</v>
      </c>
      <c r="D2157" s="469">
        <v>7.794669982802227E-2</v>
      </c>
      <c r="G2157" s="470"/>
      <c r="H2157" s="471"/>
    </row>
    <row r="2158" spans="1:8" x14ac:dyDescent="0.35">
      <c r="A2158" s="467">
        <v>40875</v>
      </c>
      <c r="B2158" s="468">
        <v>5.662392844104458E-2</v>
      </c>
      <c r="C2158" s="468">
        <v>7.0921372808846028E-2</v>
      </c>
      <c r="D2158" s="469">
        <v>7.8016330232607789E-2</v>
      </c>
      <c r="G2158" s="470"/>
      <c r="H2158" s="471"/>
    </row>
    <row r="2159" spans="1:8" x14ac:dyDescent="0.35">
      <c r="A2159" s="467">
        <v>40876</v>
      </c>
      <c r="B2159" s="468">
        <v>5.715341656357853E-2</v>
      </c>
      <c r="C2159" s="468">
        <v>7.0885437492900216E-2</v>
      </c>
      <c r="D2159" s="469">
        <v>7.8776968620321242E-2</v>
      </c>
      <c r="G2159" s="470"/>
      <c r="H2159" s="471"/>
    </row>
    <row r="2160" spans="1:8" x14ac:dyDescent="0.35">
      <c r="A2160" s="467">
        <v>40877</v>
      </c>
      <c r="B2160" s="468">
        <v>5.6775555209986894E-2</v>
      </c>
      <c r="C2160" s="468">
        <v>7.0717884870614256E-2</v>
      </c>
      <c r="D2160" s="469">
        <v>7.8041252877460776E-2</v>
      </c>
      <c r="G2160" s="470"/>
      <c r="H2160" s="471"/>
    </row>
    <row r="2161" spans="1:8" x14ac:dyDescent="0.35">
      <c r="A2161" s="467">
        <v>40878</v>
      </c>
      <c r="B2161" s="468">
        <v>5.7233629020817078E-2</v>
      </c>
      <c r="C2161" s="468">
        <v>7.0381889917874529E-2</v>
      </c>
      <c r="D2161" s="469">
        <v>7.8088002978447424E-2</v>
      </c>
      <c r="G2161" s="470"/>
      <c r="H2161" s="471"/>
    </row>
    <row r="2162" spans="1:8" x14ac:dyDescent="0.35">
      <c r="A2162" s="467">
        <v>40879</v>
      </c>
      <c r="B2162" s="468">
        <v>5.6672504120627742E-2</v>
      </c>
      <c r="C2162" s="468">
        <v>7.0134413860420297E-2</v>
      </c>
      <c r="D2162" s="469">
        <v>7.7850996937655514E-2</v>
      </c>
      <c r="G2162" s="470"/>
      <c r="H2162" s="471"/>
    </row>
    <row r="2163" spans="1:8" x14ac:dyDescent="0.35">
      <c r="A2163" s="467">
        <v>40882</v>
      </c>
      <c r="B2163" s="468">
        <v>5.5648203724349088E-2</v>
      </c>
      <c r="C2163" s="468">
        <v>6.9885410148438742E-2</v>
      </c>
      <c r="D2163" s="469">
        <v>7.7550302107269431E-2</v>
      </c>
      <c r="G2163" s="470"/>
      <c r="H2163" s="471"/>
    </row>
    <row r="2164" spans="1:8" x14ac:dyDescent="0.35">
      <c r="A2164" s="467">
        <v>40883</v>
      </c>
      <c r="B2164" s="468">
        <v>5.5369176294455036E-2</v>
      </c>
      <c r="C2164" s="468">
        <v>7.0358563156129428E-2</v>
      </c>
      <c r="D2164" s="469">
        <v>7.7589994422478714E-2</v>
      </c>
      <c r="G2164" s="470"/>
      <c r="H2164" s="471"/>
    </row>
    <row r="2165" spans="1:8" x14ac:dyDescent="0.35">
      <c r="A2165" s="467">
        <v>40884</v>
      </c>
      <c r="B2165" s="468">
        <v>5.5312526729537792E-2</v>
      </c>
      <c r="C2165" s="468">
        <v>7.1030831072324663E-2</v>
      </c>
      <c r="D2165" s="469">
        <v>7.7741940570934309E-2</v>
      </c>
      <c r="G2165" s="470"/>
      <c r="H2165" s="471"/>
    </row>
    <row r="2166" spans="1:8" x14ac:dyDescent="0.35">
      <c r="A2166" s="467">
        <v>40886</v>
      </c>
      <c r="B2166" s="468">
        <v>5.6046316538951313E-2</v>
      </c>
      <c r="C2166" s="468">
        <v>6.9966353753947885E-2</v>
      </c>
      <c r="D2166" s="469">
        <v>7.7866511481403666E-2</v>
      </c>
      <c r="G2166" s="470"/>
      <c r="H2166" s="471"/>
    </row>
    <row r="2167" spans="1:8" x14ac:dyDescent="0.35">
      <c r="A2167" s="467">
        <v>40889</v>
      </c>
      <c r="B2167" s="468">
        <v>5.5845766861036372E-2</v>
      </c>
      <c r="C2167" s="468">
        <v>7.0612382621294101E-2</v>
      </c>
      <c r="D2167" s="469">
        <v>7.8261657805899665E-2</v>
      </c>
      <c r="G2167" s="470"/>
      <c r="H2167" s="471"/>
    </row>
    <row r="2168" spans="1:8" x14ac:dyDescent="0.35">
      <c r="A2168" s="467">
        <v>40890</v>
      </c>
      <c r="B2168" s="468">
        <v>5.5926015855153777E-2</v>
      </c>
      <c r="C2168" s="468">
        <v>7.068858655717758E-2</v>
      </c>
      <c r="D2168" s="469">
        <v>7.8275339669941602E-2</v>
      </c>
      <c r="G2168" s="470"/>
      <c r="H2168" s="471"/>
    </row>
    <row r="2169" spans="1:8" x14ac:dyDescent="0.35">
      <c r="A2169" s="467">
        <v>40891</v>
      </c>
      <c r="B2169" s="468">
        <v>5.5953530121972683E-2</v>
      </c>
      <c r="C2169" s="468">
        <v>7.0808650499746051E-2</v>
      </c>
      <c r="D2169" s="469">
        <v>7.8067507693093452E-2</v>
      </c>
      <c r="G2169" s="470"/>
      <c r="H2169" s="471"/>
    </row>
    <row r="2170" spans="1:8" x14ac:dyDescent="0.35">
      <c r="A2170" s="467">
        <v>40892</v>
      </c>
      <c r="B2170" s="468">
        <v>5.605967715504212E-2</v>
      </c>
      <c r="C2170" s="468">
        <v>7.0359480202932589E-2</v>
      </c>
      <c r="D2170" s="469">
        <v>7.7821260310224849E-2</v>
      </c>
      <c r="G2170" s="470"/>
      <c r="H2170" s="471"/>
    </row>
    <row r="2171" spans="1:8" x14ac:dyDescent="0.35">
      <c r="A2171" s="467">
        <v>40893</v>
      </c>
      <c r="B2171" s="468">
        <v>5.5797645243305327E-2</v>
      </c>
      <c r="C2171" s="468">
        <v>6.9816295806333084E-2</v>
      </c>
      <c r="D2171" s="469">
        <v>7.714754016231451E-2</v>
      </c>
      <c r="G2171" s="470"/>
      <c r="H2171" s="471"/>
    </row>
    <row r="2172" spans="1:8" x14ac:dyDescent="0.35">
      <c r="A2172" s="467">
        <v>40896</v>
      </c>
      <c r="B2172" s="468">
        <v>5.5262695952430274E-2</v>
      </c>
      <c r="C2172" s="468">
        <v>7.0968337135634441E-2</v>
      </c>
      <c r="D2172" s="469">
        <v>7.8064418298612548E-2</v>
      </c>
      <c r="G2172" s="470"/>
      <c r="H2172" s="471"/>
    </row>
    <row r="2173" spans="1:8" x14ac:dyDescent="0.35">
      <c r="A2173" s="467">
        <v>40897</v>
      </c>
      <c r="B2173" s="468">
        <v>5.505702303418758E-2</v>
      </c>
      <c r="C2173" s="468">
        <v>7.1120501453813878E-2</v>
      </c>
      <c r="D2173" s="469">
        <v>7.8148670624935024E-2</v>
      </c>
      <c r="G2173" s="470"/>
      <c r="H2173" s="471"/>
    </row>
    <row r="2174" spans="1:8" x14ac:dyDescent="0.35">
      <c r="A2174" s="467">
        <v>40898</v>
      </c>
      <c r="B2174" s="468">
        <v>5.5858844260014084E-2</v>
      </c>
      <c r="C2174" s="468">
        <v>7.0883449607189952E-2</v>
      </c>
      <c r="D2174" s="469">
        <v>7.7580767283654373E-2</v>
      </c>
      <c r="G2174" s="470"/>
      <c r="H2174" s="471"/>
    </row>
    <row r="2175" spans="1:8" x14ac:dyDescent="0.35">
      <c r="A2175" s="467">
        <v>40899</v>
      </c>
      <c r="B2175" s="468">
        <v>5.5723400953543667E-2</v>
      </c>
      <c r="C2175" s="468">
        <v>7.129237450407544E-2</v>
      </c>
      <c r="D2175" s="469">
        <v>7.8591970817925461E-2</v>
      </c>
      <c r="G2175" s="470"/>
      <c r="H2175" s="471"/>
    </row>
    <row r="2176" spans="1:8" x14ac:dyDescent="0.35">
      <c r="A2176" s="467">
        <v>40900</v>
      </c>
      <c r="B2176" s="468">
        <v>5.5403576721011705E-2</v>
      </c>
      <c r="C2176" s="468">
        <v>7.0365904246221467E-2</v>
      </c>
      <c r="D2176" s="469">
        <v>7.7820556835372923E-2</v>
      </c>
      <c r="G2176" s="470"/>
      <c r="H2176" s="471"/>
    </row>
    <row r="2177" spans="1:8" x14ac:dyDescent="0.35">
      <c r="A2177" s="467">
        <v>40903</v>
      </c>
      <c r="B2177" s="468">
        <v>5.5850841416807739E-2</v>
      </c>
      <c r="C2177" s="468">
        <v>7.1615395297150997E-2</v>
      </c>
      <c r="D2177" s="469">
        <v>7.8491409029431303E-2</v>
      </c>
      <c r="G2177" s="470"/>
      <c r="H2177" s="471"/>
    </row>
    <row r="2178" spans="1:8" x14ac:dyDescent="0.35">
      <c r="A2178" s="467">
        <v>40904</v>
      </c>
      <c r="B2178" s="468">
        <v>5.6629880480698835E-2</v>
      </c>
      <c r="C2178" s="468">
        <v>7.1152128418727312E-2</v>
      </c>
      <c r="D2178" s="469">
        <v>7.8419623683709361E-2</v>
      </c>
      <c r="G2178" s="470"/>
      <c r="H2178" s="471"/>
    </row>
    <row r="2179" spans="1:8" x14ac:dyDescent="0.35">
      <c r="A2179" s="467">
        <v>40905</v>
      </c>
      <c r="B2179" s="468">
        <v>5.6601575504328538E-2</v>
      </c>
      <c r="C2179" s="468">
        <v>7.1242378414417384E-2</v>
      </c>
      <c r="D2179" s="469">
        <v>7.8473957327130472E-2</v>
      </c>
      <c r="G2179" s="470"/>
      <c r="H2179" s="471"/>
    </row>
    <row r="2180" spans="1:8" x14ac:dyDescent="0.35">
      <c r="A2180" s="467">
        <v>40906</v>
      </c>
      <c r="B2180" s="468">
        <v>5.6020875278808058E-2</v>
      </c>
      <c r="C2180" s="468">
        <v>7.1163264027123585E-2</v>
      </c>
      <c r="D2180" s="469">
        <v>7.8414409655603201E-2</v>
      </c>
      <c r="G2180" s="470"/>
      <c r="H2180" s="471"/>
    </row>
    <row r="2181" spans="1:8" x14ac:dyDescent="0.35">
      <c r="A2181" s="467">
        <v>40910</v>
      </c>
      <c r="B2181" s="468">
        <v>5.4637999647044744E-2</v>
      </c>
      <c r="C2181" s="468">
        <v>7.1751234782309048E-2</v>
      </c>
      <c r="D2181" s="469">
        <v>7.6815062686611757E-2</v>
      </c>
      <c r="G2181" s="470"/>
      <c r="H2181" s="471"/>
    </row>
    <row r="2182" spans="1:8" x14ac:dyDescent="0.35">
      <c r="A2182" s="467">
        <v>40911</v>
      </c>
      <c r="B2182" s="468">
        <v>5.5622517911586122E-2</v>
      </c>
      <c r="C2182" s="468">
        <v>7.1476439064276809E-2</v>
      </c>
      <c r="D2182" s="469">
        <v>7.7854785909333479E-2</v>
      </c>
      <c r="G2182" s="470"/>
      <c r="H2182" s="471"/>
    </row>
    <row r="2183" spans="1:8" x14ac:dyDescent="0.35">
      <c r="A2183" s="467">
        <v>40912</v>
      </c>
      <c r="B2183" s="468">
        <v>5.5638113379474108E-2</v>
      </c>
      <c r="C2183" s="468">
        <v>7.1084339863781487E-2</v>
      </c>
      <c r="D2183" s="469">
        <v>7.7265401043975279E-2</v>
      </c>
      <c r="G2183" s="470"/>
      <c r="H2183" s="471"/>
    </row>
    <row r="2184" spans="1:8" x14ac:dyDescent="0.35">
      <c r="A2184" s="467">
        <v>40913</v>
      </c>
      <c r="B2184" s="468">
        <v>5.5706525664581008E-2</v>
      </c>
      <c r="C2184" s="468">
        <v>7.0814633820221351E-2</v>
      </c>
      <c r="D2184" s="469">
        <v>7.650330795330329E-2</v>
      </c>
      <c r="G2184" s="470"/>
      <c r="H2184" s="471"/>
    </row>
    <row r="2185" spans="1:8" x14ac:dyDescent="0.35">
      <c r="A2185" s="467">
        <v>40914</v>
      </c>
      <c r="B2185" s="468">
        <v>5.5657357101178251E-2</v>
      </c>
      <c r="C2185" s="468">
        <v>7.0693315845765659E-2</v>
      </c>
      <c r="D2185" s="469">
        <v>7.7091440799776034E-2</v>
      </c>
      <c r="G2185" s="470"/>
      <c r="H2185" s="471"/>
    </row>
    <row r="2186" spans="1:8" x14ac:dyDescent="0.35">
      <c r="A2186" s="467">
        <v>40918</v>
      </c>
      <c r="B2186" s="468">
        <v>5.6022068420917615E-2</v>
      </c>
      <c r="C2186" s="468">
        <v>7.0465867681950289E-2</v>
      </c>
      <c r="D2186" s="469">
        <v>7.6313358558756317E-2</v>
      </c>
      <c r="G2186" s="470"/>
      <c r="H2186" s="471"/>
    </row>
    <row r="2187" spans="1:8" x14ac:dyDescent="0.35">
      <c r="A2187" s="467">
        <v>40919</v>
      </c>
      <c r="B2187" s="468">
        <v>5.5786663941845616E-2</v>
      </c>
      <c r="C2187" s="468">
        <v>7.0228978660473951E-2</v>
      </c>
      <c r="D2187" s="469">
        <v>7.6349086970872282E-2</v>
      </c>
      <c r="G2187" s="470"/>
      <c r="H2187" s="471"/>
    </row>
    <row r="2188" spans="1:8" x14ac:dyDescent="0.35">
      <c r="A2188" s="467">
        <v>40920</v>
      </c>
      <c r="B2188" s="468">
        <v>5.5818681787797697E-2</v>
      </c>
      <c r="C2188" s="468">
        <v>6.966665894828461E-2</v>
      </c>
      <c r="D2188" s="469">
        <v>7.5704523503568932E-2</v>
      </c>
      <c r="G2188" s="470"/>
      <c r="H2188" s="471"/>
    </row>
    <row r="2189" spans="1:8" x14ac:dyDescent="0.35">
      <c r="A2189" s="467">
        <v>40921</v>
      </c>
      <c r="B2189" s="468">
        <v>5.5606583256918141E-2</v>
      </c>
      <c r="C2189" s="468">
        <v>6.9321318145556754E-2</v>
      </c>
      <c r="D2189" s="469">
        <v>7.5181932038728361E-2</v>
      </c>
      <c r="G2189" s="470"/>
      <c r="H2189" s="471"/>
    </row>
    <row r="2190" spans="1:8" x14ac:dyDescent="0.35">
      <c r="A2190" s="467">
        <v>40924</v>
      </c>
      <c r="B2190" s="468">
        <v>5.5355596812750374E-2</v>
      </c>
      <c r="C2190" s="468">
        <v>6.9412251034910888E-2</v>
      </c>
      <c r="D2190" s="469">
        <v>7.5268999510226031E-2</v>
      </c>
      <c r="G2190" s="470"/>
      <c r="H2190" s="471"/>
    </row>
    <row r="2191" spans="1:8" x14ac:dyDescent="0.35">
      <c r="A2191" s="467">
        <v>40925</v>
      </c>
      <c r="B2191" s="468">
        <v>5.5488395796264633E-2</v>
      </c>
      <c r="C2191" s="468">
        <v>6.901599377389589E-2</v>
      </c>
      <c r="D2191" s="469">
        <v>7.5503945693925045E-2</v>
      </c>
      <c r="G2191" s="470"/>
      <c r="H2191" s="471"/>
    </row>
    <row r="2192" spans="1:8" x14ac:dyDescent="0.35">
      <c r="A2192" s="467">
        <v>40926</v>
      </c>
      <c r="B2192" s="468">
        <v>5.4927508645428391E-2</v>
      </c>
      <c r="C2192" s="468">
        <v>6.9363154650305736E-2</v>
      </c>
      <c r="D2192" s="469">
        <v>7.527848935290482E-2</v>
      </c>
      <c r="G2192" s="470"/>
      <c r="H2192" s="471"/>
    </row>
    <row r="2193" spans="1:8" x14ac:dyDescent="0.35">
      <c r="A2193" s="467">
        <v>40927</v>
      </c>
      <c r="B2193" s="468">
        <v>5.5255409557211976E-2</v>
      </c>
      <c r="C2193" s="468">
        <v>6.9139942699014467E-2</v>
      </c>
      <c r="D2193" s="469">
        <v>7.5473251822570475E-2</v>
      </c>
      <c r="G2193" s="470"/>
      <c r="H2193" s="471"/>
    </row>
    <row r="2194" spans="1:8" x14ac:dyDescent="0.35">
      <c r="A2194" s="467">
        <v>40928</v>
      </c>
      <c r="B2194" s="468">
        <v>5.5255832776377689E-2</v>
      </c>
      <c r="C2194" s="468">
        <v>6.9361705371975946E-2</v>
      </c>
      <c r="D2194" s="469">
        <v>7.5566112786262796E-2</v>
      </c>
      <c r="G2194" s="470"/>
      <c r="H2194" s="471"/>
    </row>
    <row r="2195" spans="1:8" x14ac:dyDescent="0.35">
      <c r="A2195" s="467">
        <v>40931</v>
      </c>
      <c r="B2195" s="468">
        <v>5.5187311722925569E-2</v>
      </c>
      <c r="C2195" s="468">
        <v>6.9082864364674146E-2</v>
      </c>
      <c r="D2195" s="469">
        <v>7.5450707072340695E-2</v>
      </c>
      <c r="G2195" s="470"/>
      <c r="H2195" s="471"/>
    </row>
    <row r="2196" spans="1:8" x14ac:dyDescent="0.35">
      <c r="A2196" s="467">
        <v>40932</v>
      </c>
      <c r="B2196" s="468">
        <v>5.5397498259365019E-2</v>
      </c>
      <c r="C2196" s="468">
        <v>6.9039609061405827E-2</v>
      </c>
      <c r="D2196" s="469">
        <v>7.5214688994879486E-2</v>
      </c>
      <c r="G2196" s="470"/>
      <c r="H2196" s="471"/>
    </row>
    <row r="2197" spans="1:8" x14ac:dyDescent="0.35">
      <c r="A2197" s="467">
        <v>40933</v>
      </c>
      <c r="B2197" s="468">
        <v>5.4769461416710019E-2</v>
      </c>
      <c r="C2197" s="468">
        <v>6.8323489398113946E-2</v>
      </c>
      <c r="D2197" s="469">
        <v>7.467673818021181E-2</v>
      </c>
      <c r="G2197" s="470"/>
      <c r="H2197" s="471"/>
    </row>
    <row r="2198" spans="1:8" x14ac:dyDescent="0.35">
      <c r="A2198" s="467">
        <v>40934</v>
      </c>
      <c r="B2198" s="468">
        <v>5.5094404343431824E-2</v>
      </c>
      <c r="C2198" s="468">
        <v>6.7759080060544541E-2</v>
      </c>
      <c r="D2198" s="469">
        <v>7.3866713674154205E-2</v>
      </c>
      <c r="G2198" s="470"/>
      <c r="H2198" s="471"/>
    </row>
    <row r="2199" spans="1:8" x14ac:dyDescent="0.35">
      <c r="A2199" s="467">
        <v>40935</v>
      </c>
      <c r="B2199" s="468">
        <v>5.5012854080790596E-2</v>
      </c>
      <c r="C2199" s="468">
        <v>6.8190472601934449E-2</v>
      </c>
      <c r="D2199" s="469">
        <v>7.4104367816326011E-2</v>
      </c>
      <c r="G2199" s="470"/>
      <c r="H2199" s="471"/>
    </row>
    <row r="2200" spans="1:8" x14ac:dyDescent="0.35">
      <c r="A2200" s="467">
        <v>40938</v>
      </c>
      <c r="B2200" s="468">
        <v>5.5363172945523731E-2</v>
      </c>
      <c r="C2200" s="468">
        <v>6.8577640661195538E-2</v>
      </c>
      <c r="D2200" s="469">
        <v>7.4898926323947457E-2</v>
      </c>
      <c r="G2200" s="470"/>
      <c r="H2200" s="471"/>
    </row>
    <row r="2201" spans="1:8" x14ac:dyDescent="0.35">
      <c r="A2201" s="467">
        <v>40939</v>
      </c>
      <c r="B2201" s="468">
        <v>5.6259949633979511E-2</v>
      </c>
      <c r="C2201" s="468">
        <v>6.9556005350830841E-2</v>
      </c>
      <c r="D2201" s="469">
        <v>7.4905017216268188E-2</v>
      </c>
      <c r="G2201" s="470"/>
      <c r="H2201" s="471"/>
    </row>
    <row r="2202" spans="1:8" x14ac:dyDescent="0.35">
      <c r="A2202" s="467">
        <v>40940</v>
      </c>
      <c r="B2202" s="468">
        <v>5.5772808503235183E-2</v>
      </c>
      <c r="C2202" s="468">
        <v>6.8935233382135808E-2</v>
      </c>
      <c r="D2202" s="469">
        <v>7.435694192122333E-2</v>
      </c>
      <c r="G2202" s="470"/>
      <c r="H2202" s="471"/>
    </row>
    <row r="2203" spans="1:8" x14ac:dyDescent="0.35">
      <c r="A2203" s="467">
        <v>40941</v>
      </c>
      <c r="B2203" s="468">
        <v>5.5103690629329849E-2</v>
      </c>
      <c r="C2203" s="468">
        <v>6.8949073146034268E-2</v>
      </c>
      <c r="D2203" s="469">
        <v>7.4118586189110269E-2</v>
      </c>
      <c r="G2203" s="470"/>
      <c r="H2203" s="471"/>
    </row>
    <row r="2204" spans="1:8" x14ac:dyDescent="0.35">
      <c r="A2204" s="467">
        <v>40942</v>
      </c>
      <c r="B2204" s="468">
        <v>5.5074760762949815E-2</v>
      </c>
      <c r="C2204" s="468">
        <v>6.8615321821366093E-2</v>
      </c>
      <c r="D2204" s="469">
        <v>7.4713288239466769E-2</v>
      </c>
      <c r="G2204" s="470"/>
      <c r="H2204" s="471"/>
    </row>
    <row r="2205" spans="1:8" x14ac:dyDescent="0.35">
      <c r="A2205" s="467">
        <v>40945</v>
      </c>
      <c r="B2205" s="468">
        <v>5.5080601544078567E-2</v>
      </c>
      <c r="C2205" s="468">
        <v>6.8827483456509686E-2</v>
      </c>
      <c r="D2205" s="469">
        <v>7.4685061157686361E-2</v>
      </c>
      <c r="G2205" s="470"/>
      <c r="H2205" s="471"/>
    </row>
    <row r="2206" spans="1:8" x14ac:dyDescent="0.35">
      <c r="A2206" s="467">
        <v>40946</v>
      </c>
      <c r="B2206" s="468">
        <v>5.4851659959897159E-2</v>
      </c>
      <c r="C2206" s="468">
        <v>6.923222340502555E-2</v>
      </c>
      <c r="D2206" s="469">
        <v>7.5014871735872957E-2</v>
      </c>
      <c r="G2206" s="470"/>
      <c r="H2206" s="471"/>
    </row>
    <row r="2207" spans="1:8" x14ac:dyDescent="0.35">
      <c r="A2207" s="467">
        <v>40947</v>
      </c>
      <c r="B2207" s="468">
        <v>5.5322954881333208E-2</v>
      </c>
      <c r="C2207" s="468">
        <v>6.9490962756421748E-2</v>
      </c>
      <c r="D2207" s="469">
        <v>7.5344767721931216E-2</v>
      </c>
      <c r="G2207" s="470"/>
      <c r="H2207" s="471"/>
    </row>
    <row r="2208" spans="1:8" x14ac:dyDescent="0.35">
      <c r="A2208" s="467">
        <v>40948</v>
      </c>
      <c r="B2208" s="468">
        <v>5.5607242728186179E-2</v>
      </c>
      <c r="C2208" s="468">
        <v>6.9453528735466064E-2</v>
      </c>
      <c r="D2208" s="469">
        <v>7.5197051859969166E-2</v>
      </c>
      <c r="G2208" s="470"/>
      <c r="H2208" s="471"/>
    </row>
    <row r="2209" spans="1:8" x14ac:dyDescent="0.35">
      <c r="A2209" s="467">
        <v>40949</v>
      </c>
      <c r="B2209" s="468">
        <v>5.5960433681796484E-2</v>
      </c>
      <c r="C2209" s="468">
        <v>6.9581611388093823E-2</v>
      </c>
      <c r="D2209" s="469">
        <v>7.5061667384627162E-2</v>
      </c>
      <c r="G2209" s="470"/>
      <c r="H2209" s="471"/>
    </row>
    <row r="2210" spans="1:8" x14ac:dyDescent="0.35">
      <c r="A2210" s="467">
        <v>40952</v>
      </c>
      <c r="B2210" s="468">
        <v>5.7092455213428206E-2</v>
      </c>
      <c r="C2210" s="468">
        <v>7.0263201617179361E-2</v>
      </c>
      <c r="D2210" s="469">
        <v>7.514363264015067E-2</v>
      </c>
      <c r="G2210" s="470"/>
      <c r="H2210" s="471"/>
    </row>
    <row r="2211" spans="1:8" x14ac:dyDescent="0.35">
      <c r="A2211" s="467">
        <v>40953</v>
      </c>
      <c r="B2211" s="468">
        <v>5.6849140469774628E-2</v>
      </c>
      <c r="C2211" s="468">
        <v>7.0246567486470735E-2</v>
      </c>
      <c r="D2211" s="469">
        <v>7.4739266598417009E-2</v>
      </c>
      <c r="G2211" s="470"/>
      <c r="H2211" s="471"/>
    </row>
    <row r="2212" spans="1:8" x14ac:dyDescent="0.35">
      <c r="A2212" s="467">
        <v>40954</v>
      </c>
      <c r="B2212" s="468">
        <v>5.5921002755194404E-2</v>
      </c>
      <c r="C2212" s="468">
        <v>7.0419142489373865E-2</v>
      </c>
      <c r="D2212" s="469">
        <v>7.4045828457833363E-2</v>
      </c>
      <c r="G2212" s="470"/>
      <c r="H2212" s="471"/>
    </row>
    <row r="2213" spans="1:8" x14ac:dyDescent="0.35">
      <c r="A2213" s="467">
        <v>40955</v>
      </c>
      <c r="B2213" s="468">
        <v>5.6591540628055714E-2</v>
      </c>
      <c r="C2213" s="468">
        <v>6.9965168767047281E-2</v>
      </c>
      <c r="D2213" s="469">
        <v>7.4373427596602593E-2</v>
      </c>
      <c r="G2213" s="470"/>
      <c r="H2213" s="471"/>
    </row>
    <row r="2214" spans="1:8" x14ac:dyDescent="0.35">
      <c r="A2214" s="467">
        <v>40956</v>
      </c>
      <c r="B2214" s="468">
        <v>5.6570590653911346E-2</v>
      </c>
      <c r="C2214" s="468">
        <v>6.9542176077534545E-2</v>
      </c>
      <c r="D2214" s="469">
        <v>7.4252293499915023E-2</v>
      </c>
      <c r="G2214" s="470"/>
      <c r="H2214" s="471"/>
    </row>
    <row r="2215" spans="1:8" x14ac:dyDescent="0.35">
      <c r="A2215" s="467">
        <v>40959</v>
      </c>
      <c r="B2215" s="468">
        <v>5.6994975750167542E-2</v>
      </c>
      <c r="C2215" s="468">
        <v>6.9765193394440317E-2</v>
      </c>
      <c r="D2215" s="469">
        <v>7.4489871591419732E-2</v>
      </c>
      <c r="G2215" s="470"/>
      <c r="H2215" s="471"/>
    </row>
    <row r="2216" spans="1:8" x14ac:dyDescent="0.35">
      <c r="A2216" s="467">
        <v>40960</v>
      </c>
      <c r="B2216" s="468">
        <v>5.761561126070891E-2</v>
      </c>
      <c r="C2216" s="468">
        <v>7.017787544728149E-2</v>
      </c>
      <c r="D2216" s="469">
        <v>7.4754714868034089E-2</v>
      </c>
      <c r="G2216" s="470"/>
      <c r="H2216" s="471"/>
    </row>
    <row r="2217" spans="1:8" x14ac:dyDescent="0.35">
      <c r="A2217" s="467">
        <v>40961</v>
      </c>
      <c r="B2217" s="468">
        <v>5.7588338696582309E-2</v>
      </c>
      <c r="C2217" s="468">
        <v>7.0195845834498005E-2</v>
      </c>
      <c r="D2217" s="469">
        <v>7.4935107739464435E-2</v>
      </c>
      <c r="G2217" s="470"/>
      <c r="H2217" s="471"/>
    </row>
    <row r="2218" spans="1:8" x14ac:dyDescent="0.35">
      <c r="A2218" s="467">
        <v>40962</v>
      </c>
      <c r="B2218" s="468">
        <v>5.7446566123500187E-2</v>
      </c>
      <c r="C2218" s="468">
        <v>7.0370293560684027E-2</v>
      </c>
      <c r="D2218" s="469">
        <v>7.4794092043268812E-2</v>
      </c>
      <c r="G2218" s="470"/>
      <c r="H2218" s="471"/>
    </row>
    <row r="2219" spans="1:8" x14ac:dyDescent="0.35">
      <c r="A2219" s="467">
        <v>40963</v>
      </c>
      <c r="B2219" s="468">
        <v>5.7307196637464974E-2</v>
      </c>
      <c r="C2219" s="468">
        <v>7.0413743610565849E-2</v>
      </c>
      <c r="D2219" s="469">
        <v>7.4557854261617207E-2</v>
      </c>
      <c r="G2219" s="470"/>
      <c r="H2219" s="471"/>
    </row>
    <row r="2220" spans="1:8" x14ac:dyDescent="0.35">
      <c r="A2220" s="467">
        <v>40966</v>
      </c>
      <c r="B2220" s="468">
        <v>5.7457138348830705E-2</v>
      </c>
      <c r="C2220" s="468">
        <v>6.9894007439776695E-2</v>
      </c>
      <c r="D2220" s="469">
        <v>7.425057049066508E-2</v>
      </c>
      <c r="G2220" s="470"/>
      <c r="H2220" s="471"/>
    </row>
    <row r="2221" spans="1:8" x14ac:dyDescent="0.35">
      <c r="A2221" s="467">
        <v>40967</v>
      </c>
      <c r="B2221" s="468">
        <v>5.733792275234495E-2</v>
      </c>
      <c r="C2221" s="468">
        <v>6.9791336594227538E-2</v>
      </c>
      <c r="D2221" s="469">
        <v>7.4236046395252941E-2</v>
      </c>
      <c r="G2221" s="470"/>
      <c r="H2221" s="471"/>
    </row>
    <row r="2222" spans="1:8" x14ac:dyDescent="0.35">
      <c r="A2222" s="467">
        <v>40968</v>
      </c>
      <c r="B2222" s="468">
        <v>5.7193423580425007E-2</v>
      </c>
      <c r="C2222" s="468">
        <v>6.9567962068428413E-2</v>
      </c>
      <c r="D2222" s="469">
        <v>7.4358995488182922E-2</v>
      </c>
      <c r="G2222" s="470"/>
      <c r="H2222" s="471"/>
    </row>
    <row r="2223" spans="1:8" x14ac:dyDescent="0.35">
      <c r="A2223" s="467">
        <v>40969</v>
      </c>
      <c r="B2223" s="468">
        <v>5.7316106151870105E-2</v>
      </c>
      <c r="C2223" s="468">
        <v>6.9607093938915288E-2</v>
      </c>
      <c r="D2223" s="469">
        <v>7.4602911745233591E-2</v>
      </c>
      <c r="G2223" s="470"/>
      <c r="H2223" s="471"/>
    </row>
    <row r="2224" spans="1:8" x14ac:dyDescent="0.35">
      <c r="A2224" s="467">
        <v>40970</v>
      </c>
      <c r="B2224" s="468">
        <v>5.6913767305156737E-2</v>
      </c>
      <c r="C2224" s="468">
        <v>6.9037704644105968E-2</v>
      </c>
      <c r="D2224" s="469">
        <v>7.4034664527948824E-2</v>
      </c>
      <c r="G2224" s="470"/>
      <c r="H2224" s="471"/>
    </row>
    <row r="2225" spans="1:8" x14ac:dyDescent="0.35">
      <c r="A2225" s="467">
        <v>40973</v>
      </c>
      <c r="B2225" s="468">
        <v>5.7518383949322738E-2</v>
      </c>
      <c r="C2225" s="468">
        <v>6.8327679758423132E-2</v>
      </c>
      <c r="D2225" s="469">
        <v>7.3889225480234133E-2</v>
      </c>
      <c r="G2225" s="470"/>
      <c r="H2225" s="471"/>
    </row>
    <row r="2226" spans="1:8" x14ac:dyDescent="0.35">
      <c r="A2226" s="467">
        <v>40974</v>
      </c>
      <c r="B2226" s="468">
        <v>5.7310044169441854E-2</v>
      </c>
      <c r="C2226" s="468">
        <v>6.7836890346479661E-2</v>
      </c>
      <c r="D2226" s="469">
        <v>7.3604676316638917E-2</v>
      </c>
      <c r="G2226" s="470"/>
      <c r="H2226" s="471"/>
    </row>
    <row r="2227" spans="1:8" x14ac:dyDescent="0.35">
      <c r="A2227" s="467">
        <v>40975</v>
      </c>
      <c r="B2227" s="468">
        <v>5.706733814360998E-2</v>
      </c>
      <c r="C2227" s="468">
        <v>6.7803201084188247E-2</v>
      </c>
      <c r="D2227" s="469">
        <v>7.3444461260072424E-2</v>
      </c>
      <c r="G2227" s="470"/>
      <c r="H2227" s="471"/>
    </row>
    <row r="2228" spans="1:8" x14ac:dyDescent="0.35">
      <c r="A2228" s="467">
        <v>40976</v>
      </c>
      <c r="B2228" s="468">
        <v>5.7034569553576553E-2</v>
      </c>
      <c r="C2228" s="468">
        <v>6.7467363239436251E-2</v>
      </c>
      <c r="D2228" s="469">
        <v>7.3277288304460786E-2</v>
      </c>
      <c r="G2228" s="470"/>
      <c r="H2228" s="471"/>
    </row>
    <row r="2229" spans="1:8" x14ac:dyDescent="0.35">
      <c r="A2229" s="467">
        <v>40977</v>
      </c>
      <c r="B2229" s="468">
        <v>5.6515191906556739E-2</v>
      </c>
      <c r="C2229" s="468">
        <v>6.7875497965865561E-2</v>
      </c>
      <c r="D2229" s="469">
        <v>7.3298875891254722E-2</v>
      </c>
      <c r="G2229" s="470"/>
      <c r="H2229" s="471"/>
    </row>
    <row r="2230" spans="1:8" x14ac:dyDescent="0.35">
      <c r="A2230" s="467">
        <v>40980</v>
      </c>
      <c r="B2230" s="468">
        <v>5.7127951305474323E-2</v>
      </c>
      <c r="C2230" s="468">
        <v>6.7472292404913814E-2</v>
      </c>
      <c r="D2230" s="469">
        <v>7.3298333697516815E-2</v>
      </c>
      <c r="G2230" s="470"/>
      <c r="H2230" s="471"/>
    </row>
    <row r="2231" spans="1:8" x14ac:dyDescent="0.35">
      <c r="A2231" s="467">
        <v>40981</v>
      </c>
      <c r="B2231" s="468">
        <v>5.6852184426670282E-2</v>
      </c>
      <c r="C2231" s="468">
        <v>6.7440713562172627E-2</v>
      </c>
      <c r="D2231" s="469">
        <v>7.3138980033037537E-2</v>
      </c>
      <c r="G2231" s="470"/>
      <c r="H2231" s="471"/>
    </row>
    <row r="2232" spans="1:8" x14ac:dyDescent="0.35">
      <c r="A2232" s="467">
        <v>40982</v>
      </c>
      <c r="B2232" s="468">
        <v>5.7117826633772406E-2</v>
      </c>
      <c r="C2232" s="468">
        <v>6.800212830454444E-2</v>
      </c>
      <c r="D2232" s="469">
        <v>7.367749418701397E-2</v>
      </c>
      <c r="G2232" s="470"/>
      <c r="H2232" s="471"/>
    </row>
    <row r="2233" spans="1:8" x14ac:dyDescent="0.35">
      <c r="A2233" s="467">
        <v>40983</v>
      </c>
      <c r="B2233" s="468">
        <v>5.7147465416763854E-2</v>
      </c>
      <c r="C2233" s="468">
        <v>6.8230291989650471E-2</v>
      </c>
      <c r="D2233" s="469">
        <v>7.3988205634127446E-2</v>
      </c>
      <c r="G2233" s="470"/>
      <c r="H2233" s="471"/>
    </row>
    <row r="2234" spans="1:8" x14ac:dyDescent="0.35">
      <c r="A2234" s="467">
        <v>40984</v>
      </c>
      <c r="B2234" s="468">
        <v>5.6943061232021419E-2</v>
      </c>
      <c r="C2234" s="468">
        <v>6.8027021850817437E-2</v>
      </c>
      <c r="D2234" s="469">
        <v>7.4304392547354325E-2</v>
      </c>
      <c r="G2234" s="470"/>
      <c r="H2234" s="471"/>
    </row>
    <row r="2235" spans="1:8" x14ac:dyDescent="0.35">
      <c r="A2235" s="467">
        <v>40988</v>
      </c>
      <c r="B2235" s="468">
        <v>5.6697830364420776E-2</v>
      </c>
      <c r="C2235" s="468">
        <v>6.8290303710977218E-2</v>
      </c>
      <c r="D2235" s="469">
        <v>7.4556373422928424E-2</v>
      </c>
      <c r="G2235" s="470"/>
      <c r="H2235" s="471"/>
    </row>
    <row r="2236" spans="1:8" x14ac:dyDescent="0.35">
      <c r="A2236" s="467">
        <v>40989</v>
      </c>
      <c r="B2236" s="468">
        <v>5.6763685385584628E-2</v>
      </c>
      <c r="C2236" s="468">
        <v>6.8150180870676813E-2</v>
      </c>
      <c r="D2236" s="469">
        <v>7.4447048569262986E-2</v>
      </c>
      <c r="G2236" s="470"/>
      <c r="H2236" s="471"/>
    </row>
    <row r="2237" spans="1:8" x14ac:dyDescent="0.35">
      <c r="A2237" s="467">
        <v>40990</v>
      </c>
      <c r="B2237" s="468">
        <v>5.6883711730864484E-2</v>
      </c>
      <c r="C2237" s="468">
        <v>6.7912589299271797E-2</v>
      </c>
      <c r="D2237" s="469">
        <v>7.4098241249316965E-2</v>
      </c>
      <c r="G2237" s="470"/>
      <c r="H2237" s="471"/>
    </row>
    <row r="2238" spans="1:8" x14ac:dyDescent="0.35">
      <c r="A2238" s="467">
        <v>40991</v>
      </c>
      <c r="B2238" s="468">
        <v>5.7866888660749849E-2</v>
      </c>
      <c r="C2238" s="468">
        <v>6.7644319329926983E-2</v>
      </c>
      <c r="D2238" s="469">
        <v>7.420926436778541E-2</v>
      </c>
      <c r="G2238" s="470"/>
      <c r="H2238" s="471"/>
    </row>
    <row r="2239" spans="1:8" x14ac:dyDescent="0.35">
      <c r="A2239" s="467">
        <v>40994</v>
      </c>
      <c r="B2239" s="468">
        <v>5.6564001290474009E-2</v>
      </c>
      <c r="C2239" s="468">
        <v>6.7699541325868529E-2</v>
      </c>
      <c r="D2239" s="469">
        <v>7.3777488608564479E-2</v>
      </c>
      <c r="G2239" s="470"/>
      <c r="H2239" s="471"/>
    </row>
    <row r="2240" spans="1:8" x14ac:dyDescent="0.35">
      <c r="A2240" s="467">
        <v>40995</v>
      </c>
      <c r="B2240" s="468">
        <v>5.6654939822679662E-2</v>
      </c>
      <c r="C2240" s="468">
        <v>6.7273314554973096E-2</v>
      </c>
      <c r="D2240" s="469">
        <v>7.3738187144442469E-2</v>
      </c>
      <c r="G2240" s="470"/>
      <c r="H2240" s="471"/>
    </row>
    <row r="2241" spans="1:8" x14ac:dyDescent="0.35">
      <c r="A2241" s="467">
        <v>40996</v>
      </c>
      <c r="B2241" s="468">
        <v>5.6351595389269482E-2</v>
      </c>
      <c r="C2241" s="468">
        <v>6.7076487314295274E-2</v>
      </c>
      <c r="D2241" s="469">
        <v>7.344369820741492E-2</v>
      </c>
      <c r="G2241" s="470"/>
      <c r="H2241" s="471"/>
    </row>
    <row r="2242" spans="1:8" x14ac:dyDescent="0.35">
      <c r="A2242" s="467">
        <v>40997</v>
      </c>
      <c r="B2242" s="468">
        <v>5.6525204411086882E-2</v>
      </c>
      <c r="C2242" s="468">
        <v>6.7123649182602607E-2</v>
      </c>
      <c r="D2242" s="469">
        <v>7.3873511084563859E-2</v>
      </c>
      <c r="G2242" s="470"/>
      <c r="H2242" s="471"/>
    </row>
    <row r="2243" spans="1:8" x14ac:dyDescent="0.35">
      <c r="A2243" s="467">
        <v>40998</v>
      </c>
      <c r="B2243" s="468">
        <v>5.5570693070267296E-2</v>
      </c>
      <c r="C2243" s="468">
        <v>6.7075021776173749E-2</v>
      </c>
      <c r="D2243" s="469">
        <v>7.3723025031053879E-2</v>
      </c>
      <c r="G2243" s="470"/>
      <c r="H2243" s="471"/>
    </row>
    <row r="2244" spans="1:8" x14ac:dyDescent="0.35">
      <c r="A2244" s="467">
        <v>41001</v>
      </c>
      <c r="B2244" s="468">
        <v>5.522440005245044E-2</v>
      </c>
      <c r="C2244" s="468">
        <v>6.6894180082418764E-2</v>
      </c>
      <c r="D2244" s="469">
        <v>7.3626062739180487E-2</v>
      </c>
      <c r="G2244" s="470"/>
      <c r="H2244" s="471"/>
    </row>
    <row r="2245" spans="1:8" x14ac:dyDescent="0.35">
      <c r="A2245" s="467">
        <v>41002</v>
      </c>
      <c r="B2245" s="468">
        <v>5.5411994862127001E-2</v>
      </c>
      <c r="C2245" s="468">
        <v>6.6431426406313054E-2</v>
      </c>
      <c r="D2245" s="469">
        <v>7.3279777192680084E-2</v>
      </c>
      <c r="G2245" s="470"/>
      <c r="H2245" s="471"/>
    </row>
    <row r="2246" spans="1:8" x14ac:dyDescent="0.35">
      <c r="A2246" s="467">
        <v>41003</v>
      </c>
      <c r="B2246" s="468">
        <v>5.4822473734873256E-2</v>
      </c>
      <c r="C2246" s="468">
        <v>6.6424359840313807E-2</v>
      </c>
      <c r="D2246" s="469">
        <v>7.367259262000303E-2</v>
      </c>
      <c r="G2246" s="470"/>
      <c r="H2246" s="471"/>
    </row>
    <row r="2247" spans="1:8" x14ac:dyDescent="0.35">
      <c r="A2247" s="467">
        <v>41008</v>
      </c>
      <c r="B2247" s="468">
        <v>5.4786585039471536E-2</v>
      </c>
      <c r="C2247" s="468">
        <v>6.5874486649443398E-2</v>
      </c>
      <c r="D2247" s="469">
        <v>7.272270245858703E-2</v>
      </c>
      <c r="G2247" s="470"/>
      <c r="H2247" s="471"/>
    </row>
    <row r="2248" spans="1:8" x14ac:dyDescent="0.35">
      <c r="A2248" s="467">
        <v>41009</v>
      </c>
      <c r="B2248" s="468">
        <v>5.5021420212395311E-2</v>
      </c>
      <c r="C2248" s="468">
        <v>6.6017028671148559E-2</v>
      </c>
      <c r="D2248" s="469">
        <v>7.2742410701315707E-2</v>
      </c>
      <c r="G2248" s="470"/>
      <c r="H2248" s="471"/>
    </row>
    <row r="2249" spans="1:8" x14ac:dyDescent="0.35">
      <c r="A2249" s="467">
        <v>41010</v>
      </c>
      <c r="B2249" s="468">
        <v>5.5305292043781984E-2</v>
      </c>
      <c r="C2249" s="468">
        <v>6.6208058824265059E-2</v>
      </c>
      <c r="D2249" s="469">
        <v>7.2611275884263415E-2</v>
      </c>
      <c r="G2249" s="470"/>
      <c r="H2249" s="471"/>
    </row>
    <row r="2250" spans="1:8" x14ac:dyDescent="0.35">
      <c r="A2250" s="467">
        <v>41011</v>
      </c>
      <c r="B2250" s="468">
        <v>5.5063857559586538E-2</v>
      </c>
      <c r="C2250" s="468">
        <v>6.5975441979129412E-2</v>
      </c>
      <c r="D2250" s="469">
        <v>7.2472502206187617E-2</v>
      </c>
      <c r="G2250" s="470"/>
      <c r="H2250" s="471"/>
    </row>
    <row r="2251" spans="1:8" x14ac:dyDescent="0.35">
      <c r="A2251" s="467">
        <v>41012</v>
      </c>
      <c r="B2251" s="468">
        <v>5.5130271500565708E-2</v>
      </c>
      <c r="C2251" s="468">
        <v>6.5703329776400254E-2</v>
      </c>
      <c r="D2251" s="469">
        <v>7.2216767538942683E-2</v>
      </c>
      <c r="G2251" s="470"/>
      <c r="H2251" s="471"/>
    </row>
    <row r="2252" spans="1:8" x14ac:dyDescent="0.35">
      <c r="A2252" s="467">
        <v>41015</v>
      </c>
      <c r="B2252" s="468">
        <v>5.4828817861354517E-2</v>
      </c>
      <c r="C2252" s="468">
        <v>6.5416144639026452E-2</v>
      </c>
      <c r="D2252" s="469">
        <v>7.1936090248092333E-2</v>
      </c>
      <c r="G2252" s="470"/>
      <c r="H2252" s="471"/>
    </row>
    <row r="2253" spans="1:8" x14ac:dyDescent="0.35">
      <c r="A2253" s="467">
        <v>41016</v>
      </c>
      <c r="B2253" s="468">
        <v>5.4614033251412009E-2</v>
      </c>
      <c r="C2253" s="468">
        <v>6.5489971931658397E-2</v>
      </c>
      <c r="D2253" s="469">
        <v>7.2062634204277165E-2</v>
      </c>
      <c r="G2253" s="470"/>
      <c r="H2253" s="471"/>
    </row>
    <row r="2254" spans="1:8" x14ac:dyDescent="0.35">
      <c r="A2254" s="467">
        <v>41017</v>
      </c>
      <c r="B2254" s="468">
        <v>5.4987930374672755E-2</v>
      </c>
      <c r="C2254" s="468">
        <v>6.5521184553904543E-2</v>
      </c>
      <c r="D2254" s="469">
        <v>7.2288083578663898E-2</v>
      </c>
      <c r="G2254" s="470"/>
      <c r="H2254" s="471"/>
    </row>
    <row r="2255" spans="1:8" x14ac:dyDescent="0.35">
      <c r="A2255" s="467">
        <v>41018</v>
      </c>
      <c r="B2255" s="468">
        <v>5.4944503147527968E-2</v>
      </c>
      <c r="C2255" s="468">
        <v>6.5558896733830974E-2</v>
      </c>
      <c r="D2255" s="469">
        <v>7.2285885704599817E-2</v>
      </c>
      <c r="G2255" s="470"/>
      <c r="H2255" s="471"/>
    </row>
    <row r="2256" spans="1:8" x14ac:dyDescent="0.35">
      <c r="A2256" s="467">
        <v>41019</v>
      </c>
      <c r="B2256" s="468">
        <v>5.4854027681945361E-2</v>
      </c>
      <c r="C2256" s="468">
        <v>6.5553508746149403E-2</v>
      </c>
      <c r="D2256" s="469">
        <v>7.2138653720217327E-2</v>
      </c>
      <c r="G2256" s="470"/>
      <c r="H2256" s="471"/>
    </row>
    <row r="2257" spans="1:8" x14ac:dyDescent="0.35">
      <c r="A2257" s="467">
        <v>41022</v>
      </c>
      <c r="B2257" s="468">
        <v>5.517010276992429E-2</v>
      </c>
      <c r="C2257" s="468">
        <v>6.5747855584456394E-2</v>
      </c>
      <c r="D2257" s="469">
        <v>7.2513069391156426E-2</v>
      </c>
      <c r="G2257" s="470"/>
      <c r="H2257" s="471"/>
    </row>
    <row r="2258" spans="1:8" x14ac:dyDescent="0.35">
      <c r="A2258" s="467">
        <v>41023</v>
      </c>
      <c r="B2258" s="468">
        <v>5.5644565809146673E-2</v>
      </c>
      <c r="C2258" s="468">
        <v>6.600543324587127E-2</v>
      </c>
      <c r="D2258" s="469">
        <v>7.2730824734103416E-2</v>
      </c>
      <c r="G2258" s="470"/>
      <c r="H2258" s="471"/>
    </row>
    <row r="2259" spans="1:8" x14ac:dyDescent="0.35">
      <c r="A2259" s="467">
        <v>41024</v>
      </c>
      <c r="B2259" s="468">
        <v>5.5294209797283278E-2</v>
      </c>
      <c r="C2259" s="468">
        <v>6.5966915165362572E-2</v>
      </c>
      <c r="D2259" s="469">
        <v>7.254914449694172E-2</v>
      </c>
      <c r="G2259" s="470"/>
      <c r="H2259" s="471"/>
    </row>
    <row r="2260" spans="1:8" x14ac:dyDescent="0.35">
      <c r="A2260" s="467">
        <v>41025</v>
      </c>
      <c r="B2260" s="468">
        <v>5.4921827700903814E-2</v>
      </c>
      <c r="C2260" s="468">
        <v>6.5730518657674875E-2</v>
      </c>
      <c r="D2260" s="469">
        <v>7.2217811939324195E-2</v>
      </c>
      <c r="G2260" s="470"/>
      <c r="H2260" s="471"/>
    </row>
    <row r="2261" spans="1:8" x14ac:dyDescent="0.35">
      <c r="A2261" s="467">
        <v>41026</v>
      </c>
      <c r="B2261" s="468">
        <v>5.4979549653068727E-2</v>
      </c>
      <c r="C2261" s="468">
        <v>6.5609281985934853E-2</v>
      </c>
      <c r="D2261" s="469">
        <v>7.2106892500184649E-2</v>
      </c>
      <c r="G2261" s="470"/>
      <c r="H2261" s="471"/>
    </row>
    <row r="2262" spans="1:8" x14ac:dyDescent="0.35">
      <c r="A2262" s="467">
        <v>41029</v>
      </c>
      <c r="B2262" s="468">
        <v>5.4796773170496804E-2</v>
      </c>
      <c r="C2262" s="468">
        <v>6.5755477291453701E-2</v>
      </c>
      <c r="D2262" s="469">
        <v>7.2131919088090246E-2</v>
      </c>
      <c r="G2262" s="470"/>
      <c r="H2262" s="471"/>
    </row>
    <row r="2263" spans="1:8" x14ac:dyDescent="0.35">
      <c r="A2263" s="467">
        <v>41031</v>
      </c>
      <c r="B2263" s="468">
        <v>5.5107620096418453E-2</v>
      </c>
      <c r="C2263" s="468">
        <v>6.58661467733892E-2</v>
      </c>
      <c r="D2263" s="469">
        <v>7.207404240847648E-2</v>
      </c>
      <c r="G2263" s="470"/>
      <c r="H2263" s="471"/>
    </row>
    <row r="2264" spans="1:8" x14ac:dyDescent="0.35">
      <c r="A2264" s="467">
        <v>41032</v>
      </c>
      <c r="B2264" s="468">
        <v>5.5030751480242834E-2</v>
      </c>
      <c r="C2264" s="468">
        <v>6.5476221745933483E-2</v>
      </c>
      <c r="D2264" s="469">
        <v>7.1520842929635897E-2</v>
      </c>
      <c r="G2264" s="470"/>
      <c r="H2264" s="471"/>
    </row>
    <row r="2265" spans="1:8" x14ac:dyDescent="0.35">
      <c r="A2265" s="467">
        <v>41033</v>
      </c>
      <c r="B2265" s="468">
        <v>5.5273251873405149E-2</v>
      </c>
      <c r="C2265" s="468">
        <v>6.544483273114543E-2</v>
      </c>
      <c r="D2265" s="469">
        <v>7.1378330954312341E-2</v>
      </c>
      <c r="G2265" s="470"/>
      <c r="H2265" s="471"/>
    </row>
    <row r="2266" spans="1:8" x14ac:dyDescent="0.35">
      <c r="A2266" s="467">
        <v>41036</v>
      </c>
      <c r="B2266" s="468">
        <v>5.5361138290347833E-2</v>
      </c>
      <c r="C2266" s="468">
        <v>6.5437194728641623E-2</v>
      </c>
      <c r="D2266" s="469">
        <v>7.1328223900404719E-2</v>
      </c>
      <c r="G2266" s="470"/>
      <c r="H2266" s="471"/>
    </row>
    <row r="2267" spans="1:8" x14ac:dyDescent="0.35">
      <c r="A2267" s="467">
        <v>41037</v>
      </c>
      <c r="B2267" s="468">
        <v>5.5459653105890405E-2</v>
      </c>
      <c r="C2267" s="468">
        <v>6.5348518734284822E-2</v>
      </c>
      <c r="D2267" s="469">
        <v>7.1206010957437949E-2</v>
      </c>
      <c r="G2267" s="470"/>
      <c r="H2267" s="471"/>
    </row>
    <row r="2268" spans="1:8" x14ac:dyDescent="0.35">
      <c r="A2268" s="467">
        <v>41038</v>
      </c>
      <c r="B2268" s="468">
        <v>5.5644345549378693E-2</v>
      </c>
      <c r="C2268" s="468">
        <v>6.6072057623092206E-2</v>
      </c>
      <c r="D2268" s="469">
        <v>7.1659082872330915E-2</v>
      </c>
      <c r="G2268" s="470"/>
      <c r="H2268" s="471"/>
    </row>
    <row r="2269" spans="1:8" x14ac:dyDescent="0.35">
      <c r="A2269" s="467">
        <v>41039</v>
      </c>
      <c r="B2269" s="468">
        <v>5.6138400199836402E-2</v>
      </c>
      <c r="C2269" s="468">
        <v>6.5818105521385561E-2</v>
      </c>
      <c r="D2269" s="469">
        <v>7.1810267493484625E-2</v>
      </c>
      <c r="G2269" s="470"/>
      <c r="H2269" s="471"/>
    </row>
    <row r="2270" spans="1:8" x14ac:dyDescent="0.35">
      <c r="A2270" s="467">
        <v>41040</v>
      </c>
      <c r="B2270" s="468">
        <v>5.6140136657704343E-2</v>
      </c>
      <c r="C2270" s="468">
        <v>6.6029988760640146E-2</v>
      </c>
      <c r="D2270" s="469">
        <v>7.2062174924203637E-2</v>
      </c>
      <c r="G2270" s="470"/>
      <c r="H2270" s="471"/>
    </row>
    <row r="2271" spans="1:8" x14ac:dyDescent="0.35">
      <c r="A2271" s="467">
        <v>41043</v>
      </c>
      <c r="B2271" s="468">
        <v>5.6121211113004499E-2</v>
      </c>
      <c r="C2271" s="468">
        <v>6.6417237969695009E-2</v>
      </c>
      <c r="D2271" s="469">
        <v>7.2860739424981613E-2</v>
      </c>
      <c r="G2271" s="470"/>
      <c r="H2271" s="471"/>
    </row>
    <row r="2272" spans="1:8" x14ac:dyDescent="0.35">
      <c r="A2272" s="467">
        <v>41044</v>
      </c>
      <c r="B2272" s="468">
        <v>5.5550529413696648E-2</v>
      </c>
      <c r="C2272" s="468">
        <v>6.7016452452501873E-2</v>
      </c>
      <c r="D2272" s="469">
        <v>7.2520478636801444E-2</v>
      </c>
      <c r="G2272" s="470"/>
      <c r="H2272" s="471"/>
    </row>
    <row r="2273" spans="1:8" x14ac:dyDescent="0.35">
      <c r="A2273" s="467">
        <v>41045</v>
      </c>
      <c r="B2273" s="468">
        <v>5.5363211527411638E-2</v>
      </c>
      <c r="C2273" s="468">
        <v>6.6941676068593026E-2</v>
      </c>
      <c r="D2273" s="469">
        <v>7.2597732843668439E-2</v>
      </c>
      <c r="G2273" s="470"/>
      <c r="H2273" s="471"/>
    </row>
    <row r="2274" spans="1:8" x14ac:dyDescent="0.35">
      <c r="A2274" s="467">
        <v>41046</v>
      </c>
      <c r="B2274" s="468">
        <v>5.5456166010961594E-2</v>
      </c>
      <c r="C2274" s="468">
        <v>6.7108257607880528E-2</v>
      </c>
      <c r="D2274" s="469">
        <v>7.2781968729446866E-2</v>
      </c>
      <c r="G2274" s="470"/>
      <c r="H2274" s="471"/>
    </row>
    <row r="2275" spans="1:8" x14ac:dyDescent="0.35">
      <c r="A2275" s="467">
        <v>41047</v>
      </c>
      <c r="B2275" s="468">
        <v>5.5257759147790741E-2</v>
      </c>
      <c r="C2275" s="468">
        <v>6.6707645325123632E-2</v>
      </c>
      <c r="D2275" s="469">
        <v>7.2392266219369672E-2</v>
      </c>
      <c r="G2275" s="470"/>
      <c r="H2275" s="471"/>
    </row>
    <row r="2276" spans="1:8" x14ac:dyDescent="0.35">
      <c r="A2276" s="467">
        <v>41051</v>
      </c>
      <c r="B2276" s="468">
        <v>5.5452211747005986E-2</v>
      </c>
      <c r="C2276" s="468">
        <v>6.6523087573788775E-2</v>
      </c>
      <c r="D2276" s="469">
        <v>7.2119871056243845E-2</v>
      </c>
      <c r="G2276" s="470"/>
      <c r="H2276" s="471"/>
    </row>
    <row r="2277" spans="1:8" x14ac:dyDescent="0.35">
      <c r="A2277" s="467">
        <v>41052</v>
      </c>
      <c r="B2277" s="468">
        <v>5.581290185833887E-2</v>
      </c>
      <c r="C2277" s="468">
        <v>6.7213865264900807E-2</v>
      </c>
      <c r="D2277" s="469">
        <v>7.284806932891108E-2</v>
      </c>
      <c r="G2277" s="470"/>
      <c r="H2277" s="471"/>
    </row>
    <row r="2278" spans="1:8" x14ac:dyDescent="0.35">
      <c r="A2278" s="467">
        <v>41053</v>
      </c>
      <c r="B2278" s="468">
        <v>5.5947211923474738E-2</v>
      </c>
      <c r="C2278" s="468">
        <v>6.7157009686660718E-2</v>
      </c>
      <c r="D2278" s="469">
        <v>7.2625402399889794E-2</v>
      </c>
      <c r="G2278" s="470"/>
      <c r="H2278" s="471"/>
    </row>
    <row r="2279" spans="1:8" x14ac:dyDescent="0.35">
      <c r="A2279" s="467">
        <v>41054</v>
      </c>
      <c r="B2279" s="468">
        <v>5.5363396834122724E-2</v>
      </c>
      <c r="C2279" s="468">
        <v>6.7208670109634383E-2</v>
      </c>
      <c r="D2279" s="469">
        <v>7.250923762403616E-2</v>
      </c>
      <c r="G2279" s="470"/>
      <c r="H2279" s="471"/>
    </row>
    <row r="2280" spans="1:8" x14ac:dyDescent="0.35">
      <c r="A2280" s="467">
        <v>41057</v>
      </c>
      <c r="B2280" s="468">
        <v>5.5661634313972197E-2</v>
      </c>
      <c r="C2280" s="468">
        <v>6.6901797992397594E-2</v>
      </c>
      <c r="D2280" s="469">
        <v>7.2346248981984163E-2</v>
      </c>
      <c r="G2280" s="470"/>
      <c r="H2280" s="471"/>
    </row>
    <row r="2281" spans="1:8" x14ac:dyDescent="0.35">
      <c r="A2281" s="467">
        <v>41058</v>
      </c>
      <c r="B2281" s="468">
        <v>5.4749639279043194E-2</v>
      </c>
      <c r="C2281" s="468">
        <v>6.7005622669223275E-2</v>
      </c>
      <c r="D2281" s="469">
        <v>7.2291569799347144E-2</v>
      </c>
      <c r="G2281" s="470"/>
      <c r="H2281" s="471"/>
    </row>
    <row r="2282" spans="1:8" x14ac:dyDescent="0.35">
      <c r="A2282" s="467">
        <v>41059</v>
      </c>
      <c r="B2282" s="468">
        <v>5.4964865743232894E-2</v>
      </c>
      <c r="C2282" s="468">
        <v>6.6842656772800435E-2</v>
      </c>
      <c r="D2282" s="469">
        <v>7.2585553292610516E-2</v>
      </c>
      <c r="G2282" s="470"/>
      <c r="H2282" s="471"/>
    </row>
    <row r="2283" spans="1:8" x14ac:dyDescent="0.35">
      <c r="A2283" s="467">
        <v>41060</v>
      </c>
      <c r="B2283" s="468">
        <v>5.492225398736994E-2</v>
      </c>
      <c r="C2283" s="468">
        <v>6.6685423959201628E-2</v>
      </c>
      <c r="D2283" s="469">
        <v>7.2621624906471949E-2</v>
      </c>
      <c r="G2283" s="470"/>
      <c r="H2283" s="471"/>
    </row>
    <row r="2284" spans="1:8" x14ac:dyDescent="0.35">
      <c r="A2284" s="467">
        <v>41061</v>
      </c>
      <c r="B2284" s="468">
        <v>5.5012096947439026E-2</v>
      </c>
      <c r="C2284" s="468">
        <v>6.6382376370851759E-2</v>
      </c>
      <c r="D2284" s="469">
        <v>7.2587233268832208E-2</v>
      </c>
      <c r="G2284" s="470"/>
      <c r="H2284" s="471"/>
    </row>
    <row r="2285" spans="1:8" x14ac:dyDescent="0.35">
      <c r="A2285" s="467">
        <v>41064</v>
      </c>
      <c r="B2285" s="468">
        <v>5.4972138496816036E-2</v>
      </c>
      <c r="C2285" s="468">
        <v>6.579980150818554E-2</v>
      </c>
      <c r="D2285" s="469">
        <v>7.2349070167161633E-2</v>
      </c>
      <c r="G2285" s="470"/>
      <c r="H2285" s="471"/>
    </row>
    <row r="2286" spans="1:8" x14ac:dyDescent="0.35">
      <c r="A2286" s="467">
        <v>41065</v>
      </c>
      <c r="B2286" s="468">
        <v>5.5302706755300468E-2</v>
      </c>
      <c r="C2286" s="468">
        <v>6.5431621475633861E-2</v>
      </c>
      <c r="D2286" s="469">
        <v>7.2078634719102919E-2</v>
      </c>
      <c r="G2286" s="470"/>
      <c r="H2286" s="471"/>
    </row>
    <row r="2287" spans="1:8" x14ac:dyDescent="0.35">
      <c r="A2287" s="467">
        <v>41066</v>
      </c>
      <c r="B2287" s="468">
        <v>5.5669428446093683E-2</v>
      </c>
      <c r="C2287" s="468">
        <v>6.574218447456226E-2</v>
      </c>
      <c r="D2287" s="469">
        <v>7.2306443566452661E-2</v>
      </c>
      <c r="G2287" s="470"/>
      <c r="H2287" s="471"/>
    </row>
    <row r="2288" spans="1:8" x14ac:dyDescent="0.35">
      <c r="A2288" s="467">
        <v>41067</v>
      </c>
      <c r="B2288" s="468">
        <v>5.5739327388262039E-2</v>
      </c>
      <c r="C2288" s="468">
        <v>6.5414046499447931E-2</v>
      </c>
      <c r="D2288" s="469">
        <v>7.1970651272943886E-2</v>
      </c>
      <c r="G2288" s="470"/>
      <c r="H2288" s="471"/>
    </row>
    <row r="2289" spans="1:8" x14ac:dyDescent="0.35">
      <c r="A2289" s="467">
        <v>41068</v>
      </c>
      <c r="B2289" s="468">
        <v>5.5646648674767762E-2</v>
      </c>
      <c r="C2289" s="468">
        <v>6.5506745704608793E-2</v>
      </c>
      <c r="D2289" s="469">
        <v>7.1744038394506049E-2</v>
      </c>
      <c r="G2289" s="470"/>
      <c r="H2289" s="471"/>
    </row>
    <row r="2290" spans="1:8" x14ac:dyDescent="0.35">
      <c r="A2290" s="467">
        <v>41072</v>
      </c>
      <c r="B2290" s="468">
        <v>5.5887838228275699E-2</v>
      </c>
      <c r="C2290" s="468">
        <v>6.5459140613862266E-2</v>
      </c>
      <c r="D2290" s="469">
        <v>7.1664471206092095E-2</v>
      </c>
      <c r="G2290" s="470"/>
      <c r="H2290" s="471"/>
    </row>
    <row r="2291" spans="1:8" x14ac:dyDescent="0.35">
      <c r="A2291" s="467">
        <v>41073</v>
      </c>
      <c r="B2291" s="468">
        <v>5.6857678457281846E-2</v>
      </c>
      <c r="C2291" s="468">
        <v>6.518975617154088E-2</v>
      </c>
      <c r="D2291" s="469">
        <v>7.1865062169276683E-2</v>
      </c>
      <c r="G2291" s="470"/>
      <c r="H2291" s="471"/>
    </row>
    <row r="2292" spans="1:8" x14ac:dyDescent="0.35">
      <c r="A2292" s="467">
        <v>41074</v>
      </c>
      <c r="B2292" s="468">
        <v>5.5781315392541719E-2</v>
      </c>
      <c r="C2292" s="468">
        <v>6.5656679653727235E-2</v>
      </c>
      <c r="D2292" s="469">
        <v>7.2050181863069884E-2</v>
      </c>
      <c r="G2292" s="470"/>
      <c r="H2292" s="471"/>
    </row>
    <row r="2293" spans="1:8" x14ac:dyDescent="0.35">
      <c r="A2293" s="467">
        <v>41075</v>
      </c>
      <c r="B2293" s="468">
        <v>5.567284538212558E-2</v>
      </c>
      <c r="C2293" s="468">
        <v>6.5451846282344128E-2</v>
      </c>
      <c r="D2293" s="469">
        <v>7.1854663556650378E-2</v>
      </c>
      <c r="G2293" s="470"/>
      <c r="H2293" s="471"/>
    </row>
    <row r="2294" spans="1:8" x14ac:dyDescent="0.35">
      <c r="A2294" s="467">
        <v>41079</v>
      </c>
      <c r="B2294" s="468">
        <v>5.5926142265080747E-2</v>
      </c>
      <c r="C2294" s="468">
        <v>6.52227504693903E-2</v>
      </c>
      <c r="D2294" s="469">
        <v>7.1655627764291685E-2</v>
      </c>
      <c r="G2294" s="470"/>
      <c r="H2294" s="471"/>
    </row>
    <row r="2295" spans="1:8" x14ac:dyDescent="0.35">
      <c r="A2295" s="467">
        <v>41080</v>
      </c>
      <c r="B2295" s="468">
        <v>5.5843988318104998E-2</v>
      </c>
      <c r="C2295" s="468">
        <v>6.530717636183514E-2</v>
      </c>
      <c r="D2295" s="469">
        <v>7.1765669642757546E-2</v>
      </c>
      <c r="G2295" s="470"/>
      <c r="H2295" s="471"/>
    </row>
    <row r="2296" spans="1:8" x14ac:dyDescent="0.35">
      <c r="A2296" s="467">
        <v>41081</v>
      </c>
      <c r="B2296" s="468">
        <v>5.5681752549410657E-2</v>
      </c>
      <c r="C2296" s="468">
        <v>6.4486989045919207E-2</v>
      </c>
      <c r="D2296" s="469">
        <v>7.1204947778241934E-2</v>
      </c>
      <c r="G2296" s="470"/>
      <c r="H2296" s="471"/>
    </row>
    <row r="2297" spans="1:8" x14ac:dyDescent="0.35">
      <c r="A2297" s="467">
        <v>41082</v>
      </c>
      <c r="B2297" s="468">
        <v>5.5306089048972495E-2</v>
      </c>
      <c r="C2297" s="468">
        <v>6.4371712984561125E-2</v>
      </c>
      <c r="D2297" s="469">
        <v>7.1361513643449559E-2</v>
      </c>
      <c r="G2297" s="470"/>
      <c r="H2297" s="471"/>
    </row>
    <row r="2298" spans="1:8" x14ac:dyDescent="0.35">
      <c r="A2298" s="467">
        <v>41085</v>
      </c>
      <c r="B2298" s="468">
        <v>5.5113396844555851E-2</v>
      </c>
      <c r="C2298" s="468">
        <v>6.4230793961489008E-2</v>
      </c>
      <c r="D2298" s="469">
        <v>7.1294581192354656E-2</v>
      </c>
      <c r="G2298" s="470"/>
      <c r="H2298" s="471"/>
    </row>
    <row r="2299" spans="1:8" x14ac:dyDescent="0.35">
      <c r="A2299" s="467">
        <v>41086</v>
      </c>
      <c r="B2299" s="468">
        <v>5.4963836797830457E-2</v>
      </c>
      <c r="C2299" s="468">
        <v>6.3890033964739024E-2</v>
      </c>
      <c r="D2299" s="469">
        <v>7.1198389479132373E-2</v>
      </c>
      <c r="G2299" s="470"/>
      <c r="H2299" s="471"/>
    </row>
    <row r="2300" spans="1:8" x14ac:dyDescent="0.35">
      <c r="A2300" s="467">
        <v>41087</v>
      </c>
      <c r="B2300" s="468">
        <v>5.4848226032491176E-2</v>
      </c>
      <c r="C2300" s="468">
        <v>6.386707793312163E-2</v>
      </c>
      <c r="D2300" s="469">
        <v>7.1077028072846771E-2</v>
      </c>
      <c r="G2300" s="470"/>
      <c r="H2300" s="471"/>
    </row>
    <row r="2301" spans="1:8" x14ac:dyDescent="0.35">
      <c r="A2301" s="467">
        <v>41088</v>
      </c>
      <c r="B2301" s="468">
        <v>5.4811899508580675E-2</v>
      </c>
      <c r="C2301" s="468">
        <v>6.4115758342708551E-2</v>
      </c>
      <c r="D2301" s="469">
        <v>7.1326765021817229E-2</v>
      </c>
      <c r="G2301" s="470"/>
      <c r="H2301" s="471"/>
    </row>
    <row r="2302" spans="1:8" x14ac:dyDescent="0.35">
      <c r="A2302" s="467">
        <v>41089</v>
      </c>
      <c r="B2302" s="468">
        <v>5.4747427870196486E-2</v>
      </c>
      <c r="C2302" s="468">
        <v>6.3985284987890356E-2</v>
      </c>
      <c r="D2302" s="469">
        <v>7.1280995176999484E-2</v>
      </c>
      <c r="G2302" s="470"/>
      <c r="H2302" s="471"/>
    </row>
    <row r="2303" spans="1:8" x14ac:dyDescent="0.35">
      <c r="A2303" s="467">
        <v>41093</v>
      </c>
      <c r="B2303" s="468">
        <v>5.4902067928824572E-2</v>
      </c>
      <c r="C2303" s="468">
        <v>6.4175189460187632E-2</v>
      </c>
      <c r="D2303" s="469">
        <v>7.1317397642355784E-2</v>
      </c>
      <c r="G2303" s="470"/>
      <c r="H2303" s="471"/>
    </row>
    <row r="2304" spans="1:8" x14ac:dyDescent="0.35">
      <c r="A2304" s="467">
        <v>41094</v>
      </c>
      <c r="B2304" s="468">
        <v>5.5138122505534737E-2</v>
      </c>
      <c r="C2304" s="468">
        <v>6.394358035447345E-2</v>
      </c>
      <c r="D2304" s="469">
        <v>7.0912662060524045E-2</v>
      </c>
      <c r="G2304" s="470"/>
      <c r="H2304" s="471"/>
    </row>
    <row r="2305" spans="1:8" x14ac:dyDescent="0.35">
      <c r="A2305" s="467">
        <v>41095</v>
      </c>
      <c r="B2305" s="468">
        <v>5.5188024496215737E-2</v>
      </c>
      <c r="C2305" s="468">
        <v>6.3856658344292105E-2</v>
      </c>
      <c r="D2305" s="469">
        <v>7.0633978727505209E-2</v>
      </c>
      <c r="G2305" s="470"/>
      <c r="H2305" s="471"/>
    </row>
    <row r="2306" spans="1:8" x14ac:dyDescent="0.35">
      <c r="A2306" s="467">
        <v>41096</v>
      </c>
      <c r="B2306" s="468">
        <v>5.5089584031503103E-2</v>
      </c>
      <c r="C2306" s="468">
        <v>6.3585160641341787E-2</v>
      </c>
      <c r="D2306" s="469">
        <v>7.0479155868065746E-2</v>
      </c>
      <c r="G2306" s="470"/>
      <c r="H2306" s="471"/>
    </row>
    <row r="2307" spans="1:8" x14ac:dyDescent="0.35">
      <c r="A2307" s="467">
        <v>41099</v>
      </c>
      <c r="B2307" s="468">
        <v>5.4997598608666598E-2</v>
      </c>
      <c r="C2307" s="468">
        <v>6.3832227502052419E-2</v>
      </c>
      <c r="D2307" s="469">
        <v>7.0816342321189829E-2</v>
      </c>
      <c r="G2307" s="470"/>
      <c r="H2307" s="471"/>
    </row>
    <row r="2308" spans="1:8" x14ac:dyDescent="0.35">
      <c r="A2308" s="467">
        <v>41100</v>
      </c>
      <c r="B2308" s="468">
        <v>5.4982571988813511E-2</v>
      </c>
      <c r="C2308" s="468">
        <v>6.3429379325888657E-2</v>
      </c>
      <c r="D2308" s="469">
        <v>7.0565618625801907E-2</v>
      </c>
      <c r="G2308" s="470"/>
      <c r="H2308" s="471"/>
    </row>
    <row r="2309" spans="1:8" x14ac:dyDescent="0.35">
      <c r="A2309" s="467">
        <v>41101</v>
      </c>
      <c r="B2309" s="468">
        <v>5.4880737571473714E-2</v>
      </c>
      <c r="C2309" s="468">
        <v>6.2833389253572403E-2</v>
      </c>
      <c r="D2309" s="469">
        <v>7.0196473661955805E-2</v>
      </c>
      <c r="G2309" s="470"/>
      <c r="H2309" s="471"/>
    </row>
    <row r="2310" spans="1:8" x14ac:dyDescent="0.35">
      <c r="A2310" s="467">
        <v>41102</v>
      </c>
      <c r="B2310" s="468">
        <v>5.4762754889761345E-2</v>
      </c>
      <c r="C2310" s="468">
        <v>6.2568931888794754E-2</v>
      </c>
      <c r="D2310" s="469">
        <v>6.9945416159870488E-2</v>
      </c>
      <c r="G2310" s="470"/>
      <c r="H2310" s="471"/>
    </row>
    <row r="2311" spans="1:8" x14ac:dyDescent="0.35">
      <c r="A2311" s="467">
        <v>41103</v>
      </c>
      <c r="B2311" s="468">
        <v>5.4474272780343336E-2</v>
      </c>
      <c r="C2311" s="468">
        <v>6.1846453314591043E-2</v>
      </c>
      <c r="D2311" s="469">
        <v>6.9439276739628575E-2</v>
      </c>
      <c r="G2311" s="470"/>
      <c r="H2311" s="471"/>
    </row>
    <row r="2312" spans="1:8" x14ac:dyDescent="0.35">
      <c r="A2312" s="467">
        <v>41106</v>
      </c>
      <c r="B2312" s="468">
        <v>5.4327550989740958E-2</v>
      </c>
      <c r="C2312" s="468">
        <v>6.1640271042764372E-2</v>
      </c>
      <c r="D2312" s="469">
        <v>6.9212799841503525E-2</v>
      </c>
      <c r="G2312" s="470"/>
      <c r="H2312" s="471"/>
    </row>
    <row r="2313" spans="1:8" x14ac:dyDescent="0.35">
      <c r="A2313" s="467">
        <v>41107</v>
      </c>
      <c r="B2313" s="468">
        <v>5.4586641067761787E-2</v>
      </c>
      <c r="C2313" s="468">
        <v>6.1812501590972957E-2</v>
      </c>
      <c r="D2313" s="469">
        <v>6.9241080502132846E-2</v>
      </c>
      <c r="G2313" s="470"/>
      <c r="H2313" s="471"/>
    </row>
    <row r="2314" spans="1:8" x14ac:dyDescent="0.35">
      <c r="A2314" s="467">
        <v>41108</v>
      </c>
      <c r="B2314" s="468">
        <v>5.4707462584772992E-2</v>
      </c>
      <c r="C2314" s="468">
        <v>6.1965072280119937E-2</v>
      </c>
      <c r="D2314" s="469">
        <v>6.9259710105577632E-2</v>
      </c>
      <c r="G2314" s="470"/>
      <c r="H2314" s="471"/>
    </row>
    <row r="2315" spans="1:8" x14ac:dyDescent="0.35">
      <c r="A2315" s="467">
        <v>41109</v>
      </c>
      <c r="B2315" s="468">
        <v>5.4591576541939135E-2</v>
      </c>
      <c r="C2315" s="468">
        <v>6.1876147421105143E-2</v>
      </c>
      <c r="D2315" s="469">
        <v>6.9009518063988251E-2</v>
      </c>
      <c r="G2315" s="470"/>
      <c r="H2315" s="471"/>
    </row>
    <row r="2316" spans="1:8" x14ac:dyDescent="0.35">
      <c r="A2316" s="467">
        <v>41113</v>
      </c>
      <c r="B2316" s="468">
        <v>5.4399016250441967E-2</v>
      </c>
      <c r="C2316" s="468">
        <v>6.1529712293930894E-2</v>
      </c>
      <c r="D2316" s="469">
        <v>6.8778180260495869E-2</v>
      </c>
      <c r="G2316" s="470"/>
      <c r="H2316" s="471"/>
    </row>
    <row r="2317" spans="1:8" x14ac:dyDescent="0.35">
      <c r="A2317" s="467">
        <v>41114</v>
      </c>
      <c r="B2317" s="468">
        <v>5.4290024090331901E-2</v>
      </c>
      <c r="C2317" s="468">
        <v>6.1175971222265479E-2</v>
      </c>
      <c r="D2317" s="469">
        <v>6.8449380176762276E-2</v>
      </c>
      <c r="G2317" s="470"/>
      <c r="H2317" s="471"/>
    </row>
    <row r="2318" spans="1:8" x14ac:dyDescent="0.35">
      <c r="A2318" s="467">
        <v>41115</v>
      </c>
      <c r="B2318" s="468">
        <v>5.4223387340589513E-2</v>
      </c>
      <c r="C2318" s="468">
        <v>6.1381838968983304E-2</v>
      </c>
      <c r="D2318" s="469">
        <v>6.8718475525700207E-2</v>
      </c>
      <c r="G2318" s="470"/>
      <c r="H2318" s="471"/>
    </row>
    <row r="2319" spans="1:8" x14ac:dyDescent="0.35">
      <c r="A2319" s="467">
        <v>41116</v>
      </c>
      <c r="B2319" s="468">
        <v>5.3749385576155717E-2</v>
      </c>
      <c r="C2319" s="468">
        <v>6.1016584390722217E-2</v>
      </c>
      <c r="D2319" s="469">
        <v>6.8414902903823016E-2</v>
      </c>
      <c r="G2319" s="470"/>
      <c r="H2319" s="471"/>
    </row>
    <row r="2320" spans="1:8" x14ac:dyDescent="0.35">
      <c r="A2320" s="467">
        <v>41117</v>
      </c>
      <c r="B2320" s="468">
        <v>5.4138955646469755E-2</v>
      </c>
      <c r="C2320" s="468">
        <v>6.1255843113364072E-2</v>
      </c>
      <c r="D2320" s="469">
        <v>6.8667026610938375E-2</v>
      </c>
      <c r="G2320" s="470"/>
      <c r="H2320" s="471"/>
    </row>
    <row r="2321" spans="1:8" x14ac:dyDescent="0.35">
      <c r="A2321" s="467">
        <v>41120</v>
      </c>
      <c r="B2321" s="468">
        <v>5.2725882091692045E-2</v>
      </c>
      <c r="C2321" s="468">
        <v>6.0325320490880685E-2</v>
      </c>
      <c r="D2321" s="469">
        <v>6.79033679229748E-2</v>
      </c>
      <c r="G2321" s="470"/>
      <c r="H2321" s="471"/>
    </row>
    <row r="2322" spans="1:8" x14ac:dyDescent="0.35">
      <c r="A2322" s="467">
        <v>41121</v>
      </c>
      <c r="B2322" s="468">
        <v>5.2782540655782029E-2</v>
      </c>
      <c r="C2322" s="468">
        <v>5.9869245622659717E-2</v>
      </c>
      <c r="D2322" s="469">
        <v>6.7727146339142896E-2</v>
      </c>
      <c r="G2322" s="470"/>
      <c r="H2322" s="471"/>
    </row>
    <row r="2323" spans="1:8" x14ac:dyDescent="0.35">
      <c r="A2323" s="467">
        <v>41122</v>
      </c>
      <c r="B2323" s="468">
        <v>5.2788344413220445E-2</v>
      </c>
      <c r="C2323" s="468">
        <v>5.9685874652642523E-2</v>
      </c>
      <c r="D2323" s="469">
        <v>6.7745914977630939E-2</v>
      </c>
      <c r="G2323" s="470"/>
      <c r="H2323" s="471"/>
    </row>
    <row r="2324" spans="1:8" x14ac:dyDescent="0.35">
      <c r="A2324" s="467">
        <v>41123</v>
      </c>
      <c r="B2324" s="468">
        <v>5.2526650655641216E-2</v>
      </c>
      <c r="C2324" s="468">
        <v>5.9524413961269396E-2</v>
      </c>
      <c r="D2324" s="469">
        <v>6.7428313997095701E-2</v>
      </c>
      <c r="G2324" s="470"/>
      <c r="H2324" s="471"/>
    </row>
    <row r="2325" spans="1:8" x14ac:dyDescent="0.35">
      <c r="A2325" s="467">
        <v>41124</v>
      </c>
      <c r="B2325" s="468">
        <v>5.2455817785743708E-2</v>
      </c>
      <c r="C2325" s="468">
        <v>5.9300058828621882E-2</v>
      </c>
      <c r="D2325" s="469">
        <v>6.7253476416604618E-2</v>
      </c>
      <c r="G2325" s="470"/>
      <c r="H2325" s="471"/>
    </row>
    <row r="2326" spans="1:8" x14ac:dyDescent="0.35">
      <c r="A2326" s="467">
        <v>41127</v>
      </c>
      <c r="B2326" s="468">
        <v>5.1766042332018758E-2</v>
      </c>
      <c r="C2326" s="468">
        <v>5.8932273343607289E-2</v>
      </c>
      <c r="D2326" s="469">
        <v>6.727075467079624E-2</v>
      </c>
      <c r="G2326" s="470"/>
      <c r="H2326" s="471"/>
    </row>
    <row r="2327" spans="1:8" x14ac:dyDescent="0.35">
      <c r="A2327" s="467">
        <v>41129</v>
      </c>
      <c r="B2327" s="468">
        <v>5.1415027360512289E-2</v>
      </c>
      <c r="C2327" s="468">
        <v>5.8847805130679998E-2</v>
      </c>
      <c r="D2327" s="469">
        <v>6.7730710050101228E-2</v>
      </c>
      <c r="G2327" s="470"/>
      <c r="H2327" s="471"/>
    </row>
    <row r="2328" spans="1:8" x14ac:dyDescent="0.35">
      <c r="A2328" s="467">
        <v>41130</v>
      </c>
      <c r="B2328" s="468">
        <v>5.1419929296717237E-2</v>
      </c>
      <c r="C2328" s="468">
        <v>5.9150437424598801E-2</v>
      </c>
      <c r="D2328" s="469">
        <v>6.828411370311871E-2</v>
      </c>
      <c r="G2328" s="470"/>
      <c r="H2328" s="471"/>
    </row>
    <row r="2329" spans="1:8" x14ac:dyDescent="0.35">
      <c r="A2329" s="467">
        <v>41131</v>
      </c>
      <c r="B2329" s="468">
        <v>5.0563063853104273E-2</v>
      </c>
      <c r="C2329" s="468">
        <v>5.8976117079786894E-2</v>
      </c>
      <c r="D2329" s="469">
        <v>6.7899753910802607E-2</v>
      </c>
      <c r="G2329" s="470"/>
      <c r="H2329" s="471"/>
    </row>
    <row r="2330" spans="1:8" x14ac:dyDescent="0.35">
      <c r="A2330" s="467">
        <v>41134</v>
      </c>
      <c r="B2330" s="468">
        <v>5.0399647669796543E-2</v>
      </c>
      <c r="C2330" s="468">
        <v>5.8589355443844138E-2</v>
      </c>
      <c r="D2330" s="469">
        <v>6.7804027952247603E-2</v>
      </c>
      <c r="G2330" s="470"/>
      <c r="H2330" s="471"/>
    </row>
    <row r="2331" spans="1:8" x14ac:dyDescent="0.35">
      <c r="A2331" s="467">
        <v>41135</v>
      </c>
      <c r="B2331" s="468">
        <v>4.975857091181779E-2</v>
      </c>
      <c r="C2331" s="468">
        <v>5.8544474339611074E-2</v>
      </c>
      <c r="D2331" s="469">
        <v>6.7982751854325008E-2</v>
      </c>
      <c r="G2331" s="470"/>
      <c r="H2331" s="471"/>
    </row>
    <row r="2332" spans="1:8" x14ac:dyDescent="0.35">
      <c r="A2332" s="467">
        <v>41136</v>
      </c>
      <c r="B2332" s="468">
        <v>4.8577138635460981E-2</v>
      </c>
      <c r="C2332" s="468">
        <v>5.8436608173575211E-2</v>
      </c>
      <c r="D2332" s="469">
        <v>6.7822377546742141E-2</v>
      </c>
      <c r="G2332" s="470"/>
      <c r="H2332" s="471"/>
    </row>
    <row r="2333" spans="1:8" x14ac:dyDescent="0.35">
      <c r="A2333" s="467">
        <v>41137</v>
      </c>
      <c r="B2333" s="468">
        <v>4.8322851103180575E-2</v>
      </c>
      <c r="C2333" s="468">
        <v>5.7971495278483554E-2</v>
      </c>
      <c r="D2333" s="469">
        <v>6.7248539474209945E-2</v>
      </c>
      <c r="G2333" s="470"/>
      <c r="H2333" s="471"/>
    </row>
    <row r="2334" spans="1:8" x14ac:dyDescent="0.35">
      <c r="A2334" s="467">
        <v>41138</v>
      </c>
      <c r="B2334" s="468">
        <v>4.8338815165206217E-2</v>
      </c>
      <c r="C2334" s="468">
        <v>5.8050428219726946E-2</v>
      </c>
      <c r="D2334" s="469">
        <v>6.7407606031749667E-2</v>
      </c>
      <c r="G2334" s="470"/>
      <c r="H2334" s="471"/>
    </row>
    <row r="2335" spans="1:8" x14ac:dyDescent="0.35">
      <c r="A2335" s="467">
        <v>41142</v>
      </c>
      <c r="B2335" s="468">
        <v>4.8198660824062545E-2</v>
      </c>
      <c r="C2335" s="468">
        <v>5.7937041286407309E-2</v>
      </c>
      <c r="D2335" s="469">
        <v>6.729603880988777E-2</v>
      </c>
      <c r="G2335" s="470"/>
      <c r="H2335" s="471"/>
    </row>
    <row r="2336" spans="1:8" x14ac:dyDescent="0.35">
      <c r="A2336" s="467">
        <v>41143</v>
      </c>
      <c r="B2336" s="468">
        <v>4.8291418692289145E-2</v>
      </c>
      <c r="C2336" s="468">
        <v>5.814977400929755E-2</v>
      </c>
      <c r="D2336" s="469">
        <v>6.7369002393471211E-2</v>
      </c>
      <c r="G2336" s="470"/>
      <c r="H2336" s="471"/>
    </row>
    <row r="2337" spans="1:8" x14ac:dyDescent="0.35">
      <c r="A2337" s="467">
        <v>41144</v>
      </c>
      <c r="B2337" s="468">
        <v>4.9113893557961807E-2</v>
      </c>
      <c r="C2337" s="468">
        <v>5.8651894058628473E-2</v>
      </c>
      <c r="D2337" s="469">
        <v>6.7780401619311315E-2</v>
      </c>
      <c r="G2337" s="470"/>
      <c r="H2337" s="471"/>
    </row>
    <row r="2338" spans="1:8" x14ac:dyDescent="0.35">
      <c r="A2338" s="467">
        <v>41145</v>
      </c>
      <c r="B2338" s="468">
        <v>4.8923380102231739E-2</v>
      </c>
      <c r="C2338" s="468">
        <v>5.8610501032973383E-2</v>
      </c>
      <c r="D2338" s="469">
        <v>6.7552763097822766E-2</v>
      </c>
      <c r="G2338" s="470"/>
      <c r="H2338" s="471"/>
    </row>
    <row r="2339" spans="1:8" x14ac:dyDescent="0.35">
      <c r="A2339" s="467">
        <v>41148</v>
      </c>
      <c r="B2339" s="468">
        <v>4.8851971935621519E-2</v>
      </c>
      <c r="C2339" s="468">
        <v>5.8440373746589724E-2</v>
      </c>
      <c r="D2339" s="469">
        <v>6.7536630577166523E-2</v>
      </c>
      <c r="G2339" s="470"/>
      <c r="H2339" s="471"/>
    </row>
    <row r="2340" spans="1:8" x14ac:dyDescent="0.35">
      <c r="A2340" s="467">
        <v>41149</v>
      </c>
      <c r="B2340" s="468">
        <v>4.8763972218618834E-2</v>
      </c>
      <c r="C2340" s="468">
        <v>5.8405020752246628E-2</v>
      </c>
      <c r="D2340" s="469">
        <v>6.7435736926549694E-2</v>
      </c>
      <c r="G2340" s="470"/>
      <c r="H2340" s="471"/>
    </row>
    <row r="2341" spans="1:8" x14ac:dyDescent="0.35">
      <c r="A2341" s="467">
        <v>41150</v>
      </c>
      <c r="B2341" s="468">
        <v>4.9370975955642216E-2</v>
      </c>
      <c r="C2341" s="468">
        <v>5.8696332083633784E-2</v>
      </c>
      <c r="D2341" s="469">
        <v>6.7669735315667889E-2</v>
      </c>
      <c r="G2341" s="470"/>
      <c r="H2341" s="471"/>
    </row>
    <row r="2342" spans="1:8" x14ac:dyDescent="0.35">
      <c r="A2342" s="467">
        <v>41151</v>
      </c>
      <c r="B2342" s="468">
        <v>4.8915377636148172E-2</v>
      </c>
      <c r="C2342" s="468">
        <v>5.885846454104815E-2</v>
      </c>
      <c r="D2342" s="469">
        <v>6.766583005666571E-2</v>
      </c>
      <c r="G2342" s="470"/>
      <c r="H2342" s="471"/>
    </row>
    <row r="2343" spans="1:8" x14ac:dyDescent="0.35">
      <c r="A2343" s="467">
        <v>41152</v>
      </c>
      <c r="B2343" s="468">
        <v>4.8347482869393721E-2</v>
      </c>
      <c r="C2343" s="468">
        <v>5.8846175671718459E-2</v>
      </c>
      <c r="D2343" s="469">
        <v>6.7575840208572657E-2</v>
      </c>
      <c r="G2343" s="470"/>
      <c r="H2343" s="471"/>
    </row>
    <row r="2344" spans="1:8" x14ac:dyDescent="0.35">
      <c r="A2344" s="467">
        <v>41155</v>
      </c>
      <c r="B2344" s="468">
        <v>4.7994160289703824E-2</v>
      </c>
      <c r="C2344" s="468">
        <v>5.8496503577252223E-2</v>
      </c>
      <c r="D2344" s="469">
        <v>6.7457133716640527E-2</v>
      </c>
      <c r="G2344" s="470"/>
      <c r="H2344" s="471"/>
    </row>
    <row r="2345" spans="1:8" x14ac:dyDescent="0.35">
      <c r="A2345" s="467">
        <v>41156</v>
      </c>
      <c r="B2345" s="468">
        <v>4.8150829203892354E-2</v>
      </c>
      <c r="C2345" s="468">
        <v>5.8641721888149423E-2</v>
      </c>
      <c r="D2345" s="469">
        <v>6.7620060988248465E-2</v>
      </c>
      <c r="G2345" s="470"/>
      <c r="H2345" s="471"/>
    </row>
    <row r="2346" spans="1:8" x14ac:dyDescent="0.35">
      <c r="A2346" s="467">
        <v>41157</v>
      </c>
      <c r="B2346" s="468">
        <v>4.8293662432636442E-2</v>
      </c>
      <c r="C2346" s="468">
        <v>5.8695754641826747E-2</v>
      </c>
      <c r="D2346" s="469">
        <v>6.775740672604802E-2</v>
      </c>
      <c r="G2346" s="470"/>
      <c r="H2346" s="471"/>
    </row>
    <row r="2347" spans="1:8" x14ac:dyDescent="0.35">
      <c r="A2347" s="467">
        <v>41158</v>
      </c>
      <c r="B2347" s="468">
        <v>4.7920295256574041E-2</v>
      </c>
      <c r="C2347" s="468">
        <v>5.8293807525528596E-2</v>
      </c>
      <c r="D2347" s="469">
        <v>6.7657730873998512E-2</v>
      </c>
      <c r="G2347" s="470"/>
      <c r="H2347" s="471"/>
    </row>
    <row r="2348" spans="1:8" x14ac:dyDescent="0.35">
      <c r="A2348" s="467">
        <v>41159</v>
      </c>
      <c r="B2348" s="468">
        <v>4.7454169010002545E-2</v>
      </c>
      <c r="C2348" s="468">
        <v>5.7743508183407011E-2</v>
      </c>
      <c r="D2348" s="469">
        <v>6.7213968263476032E-2</v>
      </c>
      <c r="G2348" s="470"/>
      <c r="H2348" s="471"/>
    </row>
    <row r="2349" spans="1:8" x14ac:dyDescent="0.35">
      <c r="A2349" s="467">
        <v>41162</v>
      </c>
      <c r="B2349" s="468">
        <v>4.762154425071019E-2</v>
      </c>
      <c r="C2349" s="468">
        <v>5.7464273683177192E-2</v>
      </c>
      <c r="D2349" s="469">
        <v>6.662912782866548E-2</v>
      </c>
      <c r="G2349" s="470"/>
      <c r="H2349" s="471"/>
    </row>
    <row r="2350" spans="1:8" x14ac:dyDescent="0.35">
      <c r="A2350" s="467">
        <v>41163</v>
      </c>
      <c r="B2350" s="468">
        <v>4.8158406905476792E-2</v>
      </c>
      <c r="C2350" s="468">
        <v>5.7660507500473246E-2</v>
      </c>
      <c r="D2350" s="469">
        <v>6.6678024761425148E-2</v>
      </c>
      <c r="G2350" s="470"/>
      <c r="H2350" s="471"/>
    </row>
    <row r="2351" spans="1:8" x14ac:dyDescent="0.35">
      <c r="A2351" s="467">
        <v>41164</v>
      </c>
      <c r="B2351" s="468">
        <v>4.800049366082404E-2</v>
      </c>
      <c r="C2351" s="468">
        <v>5.8021711990740465E-2</v>
      </c>
      <c r="D2351" s="469">
        <v>6.6748880760545637E-2</v>
      </c>
      <c r="G2351" s="470"/>
      <c r="H2351" s="471"/>
    </row>
    <row r="2352" spans="1:8" x14ac:dyDescent="0.35">
      <c r="A2352" s="467">
        <v>41165</v>
      </c>
      <c r="B2352" s="468">
        <v>4.7874551444236468E-2</v>
      </c>
      <c r="C2352" s="468">
        <v>5.7729483984306773E-2</v>
      </c>
      <c r="D2352" s="469">
        <v>6.6434574155064929E-2</v>
      </c>
      <c r="G2352" s="470"/>
      <c r="H2352" s="471"/>
    </row>
    <row r="2353" spans="1:8" x14ac:dyDescent="0.35">
      <c r="A2353" s="467">
        <v>41166</v>
      </c>
      <c r="B2353" s="468">
        <v>4.7563285585740411E-2</v>
      </c>
      <c r="C2353" s="468">
        <v>5.8261353896542412E-2</v>
      </c>
      <c r="D2353" s="469">
        <v>6.6921879972893228E-2</v>
      </c>
      <c r="G2353" s="470"/>
      <c r="H2353" s="471"/>
    </row>
    <row r="2354" spans="1:8" x14ac:dyDescent="0.35">
      <c r="A2354" s="467">
        <v>41169</v>
      </c>
      <c r="B2354" s="468">
        <v>4.864079309801328E-2</v>
      </c>
      <c r="C2354" s="468">
        <v>5.8244284988692385E-2</v>
      </c>
      <c r="D2354" s="469">
        <v>6.6949194634863707E-2</v>
      </c>
      <c r="G2354" s="470"/>
      <c r="H2354" s="471"/>
    </row>
    <row r="2355" spans="1:8" x14ac:dyDescent="0.35">
      <c r="A2355" s="467">
        <v>41170</v>
      </c>
      <c r="B2355" s="468">
        <v>4.7597496508523962E-2</v>
      </c>
      <c r="C2355" s="468">
        <v>5.8403235819437516E-2</v>
      </c>
      <c r="D2355" s="469">
        <v>6.671766119541056E-2</v>
      </c>
      <c r="G2355" s="470"/>
      <c r="H2355" s="471"/>
    </row>
    <row r="2356" spans="1:8" x14ac:dyDescent="0.35">
      <c r="A2356" s="467">
        <v>41171</v>
      </c>
      <c r="B2356" s="468">
        <v>4.7990762906098272E-2</v>
      </c>
      <c r="C2356" s="468">
        <v>5.8526554314998203E-2</v>
      </c>
      <c r="D2356" s="469">
        <v>6.6758569592570316E-2</v>
      </c>
      <c r="G2356" s="470"/>
      <c r="H2356" s="471"/>
    </row>
    <row r="2357" spans="1:8" x14ac:dyDescent="0.35">
      <c r="A2357" s="467">
        <v>41172</v>
      </c>
      <c r="B2357" s="468">
        <v>4.7871341126097366E-2</v>
      </c>
      <c r="C2357" s="468">
        <v>5.7961980557091231E-2</v>
      </c>
      <c r="D2357" s="469">
        <v>6.6243398373396989E-2</v>
      </c>
      <c r="G2357" s="470"/>
      <c r="H2357" s="471"/>
    </row>
    <row r="2358" spans="1:8" x14ac:dyDescent="0.35">
      <c r="A2358" s="467">
        <v>41173</v>
      </c>
      <c r="B2358" s="468">
        <v>4.8201664023912683E-2</v>
      </c>
      <c r="C2358" s="468">
        <v>5.8074929167081457E-2</v>
      </c>
      <c r="D2358" s="469">
        <v>6.6121940639042309E-2</v>
      </c>
      <c r="G2358" s="470"/>
      <c r="H2358" s="471"/>
    </row>
    <row r="2359" spans="1:8" x14ac:dyDescent="0.35">
      <c r="A2359" s="467">
        <v>41176</v>
      </c>
      <c r="B2359" s="468">
        <v>4.8248811629689303E-2</v>
      </c>
      <c r="C2359" s="468">
        <v>5.7801913679268679E-2</v>
      </c>
      <c r="D2359" s="469">
        <v>6.5692421524731204E-2</v>
      </c>
      <c r="G2359" s="470"/>
      <c r="H2359" s="471"/>
    </row>
    <row r="2360" spans="1:8" x14ac:dyDescent="0.35">
      <c r="A2360" s="467">
        <v>41177</v>
      </c>
      <c r="B2360" s="468">
        <v>4.787340823864894E-2</v>
      </c>
      <c r="C2360" s="468">
        <v>5.7614426713971323E-2</v>
      </c>
      <c r="D2360" s="469">
        <v>6.5448929744889028E-2</v>
      </c>
      <c r="G2360" s="470"/>
      <c r="H2360" s="471"/>
    </row>
    <row r="2361" spans="1:8" x14ac:dyDescent="0.35">
      <c r="A2361" s="467">
        <v>41178</v>
      </c>
      <c r="B2361" s="468">
        <v>4.7814904879769582E-2</v>
      </c>
      <c r="C2361" s="468">
        <v>5.7276601006557959E-2</v>
      </c>
      <c r="D2361" s="469">
        <v>6.5086500065328901E-2</v>
      </c>
      <c r="G2361" s="470"/>
      <c r="H2361" s="471"/>
    </row>
    <row r="2362" spans="1:8" x14ac:dyDescent="0.35">
      <c r="A2362" s="467">
        <v>41179</v>
      </c>
      <c r="B2362" s="468">
        <v>4.7753181065873118E-2</v>
      </c>
      <c r="C2362" s="468">
        <v>5.7253040307583936E-2</v>
      </c>
      <c r="D2362" s="469">
        <v>6.502642491560584E-2</v>
      </c>
      <c r="G2362" s="470"/>
      <c r="H2362" s="471"/>
    </row>
    <row r="2363" spans="1:8" x14ac:dyDescent="0.35">
      <c r="A2363" s="467">
        <v>41180</v>
      </c>
      <c r="B2363" s="468">
        <v>4.7739968525716048E-2</v>
      </c>
      <c r="C2363" s="468">
        <v>5.7010263654332372E-2</v>
      </c>
      <c r="D2363" s="469">
        <v>6.4458858951030873E-2</v>
      </c>
      <c r="G2363" s="470"/>
      <c r="H2363" s="471"/>
    </row>
    <row r="2364" spans="1:8" x14ac:dyDescent="0.35">
      <c r="A2364" s="467">
        <v>41183</v>
      </c>
      <c r="B2364" s="468">
        <v>4.7732808173085894E-2</v>
      </c>
      <c r="C2364" s="468">
        <v>5.7441248327327443E-2</v>
      </c>
      <c r="D2364" s="469">
        <v>6.4452953293409498E-2</v>
      </c>
      <c r="G2364" s="470"/>
      <c r="H2364" s="471"/>
    </row>
    <row r="2365" spans="1:8" x14ac:dyDescent="0.35">
      <c r="A2365" s="467">
        <v>41184</v>
      </c>
      <c r="B2365" s="468">
        <v>4.7829191075311028E-2</v>
      </c>
      <c r="C2365" s="468">
        <v>5.6971971006836153E-2</v>
      </c>
      <c r="D2365" s="469">
        <v>6.3832317531299365E-2</v>
      </c>
      <c r="G2365" s="470"/>
      <c r="H2365" s="471"/>
    </row>
    <row r="2366" spans="1:8" x14ac:dyDescent="0.35">
      <c r="A2366" s="467">
        <v>41185</v>
      </c>
      <c r="B2366" s="468">
        <v>4.7665585869558713E-2</v>
      </c>
      <c r="C2366" s="468">
        <v>5.6872256163940094E-2</v>
      </c>
      <c r="D2366" s="469">
        <v>6.367186979620465E-2</v>
      </c>
      <c r="G2366" s="470"/>
      <c r="H2366" s="471"/>
    </row>
    <row r="2367" spans="1:8" x14ac:dyDescent="0.35">
      <c r="A2367" s="467">
        <v>41186</v>
      </c>
      <c r="B2367" s="468">
        <v>4.8266091913330644E-2</v>
      </c>
      <c r="C2367" s="468">
        <v>5.6908580144632515E-2</v>
      </c>
      <c r="D2367" s="469">
        <v>6.3767704006452375E-2</v>
      </c>
      <c r="G2367" s="470"/>
      <c r="H2367" s="471"/>
    </row>
    <row r="2368" spans="1:8" x14ac:dyDescent="0.35">
      <c r="A2368" s="467">
        <v>41187</v>
      </c>
      <c r="B2368" s="468">
        <v>4.7949436710152948E-2</v>
      </c>
      <c r="C2368" s="468">
        <v>5.6373004538915916E-2</v>
      </c>
      <c r="D2368" s="469">
        <v>6.3022349278316181E-2</v>
      </c>
      <c r="G2368" s="470"/>
      <c r="H2368" s="471"/>
    </row>
    <row r="2369" spans="1:8" x14ac:dyDescent="0.35">
      <c r="A2369" s="467">
        <v>41190</v>
      </c>
      <c r="B2369" s="468">
        <v>4.7990420771482745E-2</v>
      </c>
      <c r="C2369" s="468">
        <v>5.6091048806221178E-2</v>
      </c>
      <c r="D2369" s="469">
        <v>6.2099188062925137E-2</v>
      </c>
      <c r="G2369" s="470"/>
      <c r="H2369" s="471"/>
    </row>
    <row r="2370" spans="1:8" x14ac:dyDescent="0.35">
      <c r="A2370" s="467">
        <v>41191</v>
      </c>
      <c r="B2370" s="468">
        <v>4.8484497135977023E-2</v>
      </c>
      <c r="C2370" s="468">
        <v>5.5964691077310835E-2</v>
      </c>
      <c r="D2370" s="469">
        <v>6.1779232739450407E-2</v>
      </c>
      <c r="G2370" s="470"/>
      <c r="H2370" s="471"/>
    </row>
    <row r="2371" spans="1:8" x14ac:dyDescent="0.35">
      <c r="A2371" s="467">
        <v>41192</v>
      </c>
      <c r="B2371" s="468">
        <v>4.8581110062381638E-2</v>
      </c>
      <c r="C2371" s="468">
        <v>5.6102701731570059E-2</v>
      </c>
      <c r="D2371" s="469">
        <v>6.2102759084828651E-2</v>
      </c>
      <c r="G2371" s="470"/>
      <c r="H2371" s="471"/>
    </row>
    <row r="2372" spans="1:8" x14ac:dyDescent="0.35">
      <c r="A2372" s="467">
        <v>41193</v>
      </c>
      <c r="B2372" s="468">
        <v>4.8450537413004202E-2</v>
      </c>
      <c r="C2372" s="468">
        <v>5.5694340185266533E-2</v>
      </c>
      <c r="D2372" s="469">
        <v>6.1509623597999941E-2</v>
      </c>
      <c r="G2372" s="470"/>
      <c r="H2372" s="471"/>
    </row>
    <row r="2373" spans="1:8" x14ac:dyDescent="0.35">
      <c r="A2373" s="467">
        <v>41194</v>
      </c>
      <c r="B2373" s="468">
        <v>4.837342471794126E-2</v>
      </c>
      <c r="C2373" s="468">
        <v>5.4828155072407458E-2</v>
      </c>
      <c r="D2373" s="469">
        <v>6.0890034587170794E-2</v>
      </c>
      <c r="G2373" s="470"/>
      <c r="H2373" s="471"/>
    </row>
    <row r="2374" spans="1:8" x14ac:dyDescent="0.35">
      <c r="A2374" s="467">
        <v>41198</v>
      </c>
      <c r="B2374" s="468">
        <v>4.8562025918362339E-2</v>
      </c>
      <c r="C2374" s="468">
        <v>5.4641938658767097E-2</v>
      </c>
      <c r="D2374" s="469">
        <v>6.1047532899044299E-2</v>
      </c>
      <c r="G2374" s="470"/>
      <c r="H2374" s="471"/>
    </row>
    <row r="2375" spans="1:8" x14ac:dyDescent="0.35">
      <c r="A2375" s="467">
        <v>41199</v>
      </c>
      <c r="B2375" s="468">
        <v>4.8652257013187317E-2</v>
      </c>
      <c r="C2375" s="468">
        <v>5.5099882432558811E-2</v>
      </c>
      <c r="D2375" s="469">
        <v>6.1540174832754646E-2</v>
      </c>
      <c r="G2375" s="470"/>
      <c r="H2375" s="471"/>
    </row>
    <row r="2376" spans="1:8" x14ac:dyDescent="0.35">
      <c r="A2376" s="467">
        <v>41200</v>
      </c>
      <c r="B2376" s="468">
        <v>4.8783754217714526E-2</v>
      </c>
      <c r="C2376" s="468">
        <v>5.5569893981319396E-2</v>
      </c>
      <c r="D2376" s="469">
        <v>6.2173317015697727E-2</v>
      </c>
      <c r="G2376" s="470"/>
      <c r="H2376" s="471"/>
    </row>
    <row r="2377" spans="1:8" x14ac:dyDescent="0.35">
      <c r="A2377" s="467">
        <v>41201</v>
      </c>
      <c r="B2377" s="468">
        <v>4.8034373618278225E-2</v>
      </c>
      <c r="C2377" s="468">
        <v>5.4689109208899911E-2</v>
      </c>
      <c r="D2377" s="469">
        <v>6.1390940019454998E-2</v>
      </c>
      <c r="G2377" s="470"/>
      <c r="H2377" s="471"/>
    </row>
    <row r="2378" spans="1:8" x14ac:dyDescent="0.35">
      <c r="A2378" s="467">
        <v>41204</v>
      </c>
      <c r="B2378" s="468">
        <v>4.800167101054198E-2</v>
      </c>
      <c r="C2378" s="468">
        <v>5.4579051362064535E-2</v>
      </c>
      <c r="D2378" s="469">
        <v>6.1293895968494994E-2</v>
      </c>
      <c r="G2378" s="470"/>
      <c r="H2378" s="471"/>
    </row>
    <row r="2379" spans="1:8" x14ac:dyDescent="0.35">
      <c r="A2379" s="467">
        <v>41205</v>
      </c>
      <c r="B2379" s="468">
        <v>4.8318659111847184E-2</v>
      </c>
      <c r="C2379" s="468">
        <v>5.4762115444117576E-2</v>
      </c>
      <c r="D2379" s="469">
        <v>6.1480834473942592E-2</v>
      </c>
      <c r="G2379" s="470"/>
      <c r="H2379" s="471"/>
    </row>
    <row r="2380" spans="1:8" x14ac:dyDescent="0.35">
      <c r="A2380" s="467">
        <v>41206</v>
      </c>
      <c r="B2380" s="468">
        <v>4.8314975024881912E-2</v>
      </c>
      <c r="C2380" s="468">
        <v>5.4870959232911076E-2</v>
      </c>
      <c r="D2380" s="469">
        <v>6.14985591368582E-2</v>
      </c>
      <c r="G2380" s="470"/>
      <c r="H2380" s="471"/>
    </row>
    <row r="2381" spans="1:8" x14ac:dyDescent="0.35">
      <c r="A2381" s="467">
        <v>41207</v>
      </c>
      <c r="B2381" s="468">
        <v>4.8510622322107011E-2</v>
      </c>
      <c r="C2381" s="468">
        <v>5.4908279716578079E-2</v>
      </c>
      <c r="D2381" s="469">
        <v>6.1443686169570855E-2</v>
      </c>
      <c r="G2381" s="470"/>
      <c r="H2381" s="471"/>
    </row>
    <row r="2382" spans="1:8" x14ac:dyDescent="0.35">
      <c r="A2382" s="467">
        <v>41208</v>
      </c>
      <c r="B2382" s="468">
        <v>4.8462049182514511E-2</v>
      </c>
      <c r="C2382" s="468">
        <v>5.4644533922389993E-2</v>
      </c>
      <c r="D2382" s="469">
        <v>6.1116389699022333E-2</v>
      </c>
      <c r="G2382" s="470"/>
      <c r="H2382" s="471"/>
    </row>
    <row r="2383" spans="1:8" x14ac:dyDescent="0.35">
      <c r="A2383" s="467">
        <v>41211</v>
      </c>
      <c r="B2383" s="468">
        <v>4.8730042303475329E-2</v>
      </c>
      <c r="C2383" s="468">
        <v>5.5042092495379391E-2</v>
      </c>
      <c r="D2383" s="469">
        <v>6.1480998250175389E-2</v>
      </c>
      <c r="G2383" s="470"/>
      <c r="H2383" s="471"/>
    </row>
    <row r="2384" spans="1:8" x14ac:dyDescent="0.35">
      <c r="A2384" s="467">
        <v>41212</v>
      </c>
      <c r="B2384" s="468">
        <v>4.8720535711029411E-2</v>
      </c>
      <c r="C2384" s="468">
        <v>5.5475375117056247E-2</v>
      </c>
      <c r="D2384" s="469">
        <v>6.2052195869264137E-2</v>
      </c>
      <c r="G2384" s="470"/>
      <c r="H2384" s="471"/>
    </row>
    <row r="2385" spans="1:8" x14ac:dyDescent="0.35">
      <c r="A2385" s="467">
        <v>41213</v>
      </c>
      <c r="B2385" s="468">
        <v>4.8649796119338395E-2</v>
      </c>
      <c r="C2385" s="468">
        <v>5.5744114264680844E-2</v>
      </c>
      <c r="D2385" s="469">
        <v>6.2616167641829534E-2</v>
      </c>
      <c r="G2385" s="470"/>
      <c r="H2385" s="471"/>
    </row>
    <row r="2386" spans="1:8" x14ac:dyDescent="0.35">
      <c r="A2386" s="467">
        <v>41214</v>
      </c>
      <c r="B2386" s="468">
        <v>4.8515239916930852E-2</v>
      </c>
      <c r="C2386" s="468">
        <v>5.5780858996429927E-2</v>
      </c>
      <c r="D2386" s="469">
        <v>6.2688066402095011E-2</v>
      </c>
      <c r="G2386" s="470"/>
      <c r="H2386" s="471"/>
    </row>
    <row r="2387" spans="1:8" x14ac:dyDescent="0.35">
      <c r="A2387" s="467">
        <v>41215</v>
      </c>
      <c r="B2387" s="468">
        <v>4.8908816537427402E-2</v>
      </c>
      <c r="C2387" s="468">
        <v>5.6043235579365636E-2</v>
      </c>
      <c r="D2387" s="469">
        <v>6.3307866594356943E-2</v>
      </c>
      <c r="G2387" s="470"/>
      <c r="H2387" s="471"/>
    </row>
    <row r="2388" spans="1:8" x14ac:dyDescent="0.35">
      <c r="A2388" s="467">
        <v>41219</v>
      </c>
      <c r="B2388" s="468">
        <v>4.9104396088055946E-2</v>
      </c>
      <c r="C2388" s="468">
        <v>5.5788438576245714E-2</v>
      </c>
      <c r="D2388" s="469">
        <v>6.303328763611038E-2</v>
      </c>
      <c r="G2388" s="470"/>
      <c r="H2388" s="471"/>
    </row>
    <row r="2389" spans="1:8" x14ac:dyDescent="0.35">
      <c r="A2389" s="467">
        <v>41220</v>
      </c>
      <c r="B2389" s="468">
        <v>4.8986202636741139E-2</v>
      </c>
      <c r="C2389" s="468">
        <v>5.5453318146961639E-2</v>
      </c>
      <c r="D2389" s="469">
        <v>6.2521356095033953E-2</v>
      </c>
      <c r="G2389" s="470"/>
      <c r="H2389" s="471"/>
    </row>
    <row r="2390" spans="1:8" x14ac:dyDescent="0.35">
      <c r="A2390" s="467">
        <v>41221</v>
      </c>
      <c r="B2390" s="468">
        <v>4.8782119180204919E-2</v>
      </c>
      <c r="C2390" s="468">
        <v>5.5413260002554754E-2</v>
      </c>
      <c r="D2390" s="469">
        <v>6.2246969479130554E-2</v>
      </c>
      <c r="G2390" s="470"/>
      <c r="H2390" s="471"/>
    </row>
    <row r="2391" spans="1:8" x14ac:dyDescent="0.35">
      <c r="A2391" s="467">
        <v>41222</v>
      </c>
      <c r="B2391" s="468">
        <v>4.9048474642929163E-2</v>
      </c>
      <c r="C2391" s="468">
        <v>5.5973100296832223E-2</v>
      </c>
      <c r="D2391" s="469">
        <v>6.2682382384967594E-2</v>
      </c>
      <c r="G2391" s="470"/>
      <c r="H2391" s="471"/>
    </row>
    <row r="2392" spans="1:8" x14ac:dyDescent="0.35">
      <c r="A2392" s="467">
        <v>41226</v>
      </c>
      <c r="B2392" s="468">
        <v>4.9457645595840649E-2</v>
      </c>
      <c r="C2392" s="468">
        <v>5.6231988577363001E-2</v>
      </c>
      <c r="D2392" s="469">
        <v>6.2824443763985549E-2</v>
      </c>
      <c r="G2392" s="470"/>
      <c r="H2392" s="471"/>
    </row>
    <row r="2393" spans="1:8" x14ac:dyDescent="0.35">
      <c r="A2393" s="467">
        <v>41227</v>
      </c>
      <c r="B2393" s="468">
        <v>4.9691797860773157E-2</v>
      </c>
      <c r="C2393" s="468">
        <v>5.7028191322332722E-2</v>
      </c>
      <c r="D2393" s="469">
        <v>6.3335226876044759E-2</v>
      </c>
      <c r="G2393" s="470"/>
      <c r="H2393" s="471"/>
    </row>
    <row r="2394" spans="1:8" x14ac:dyDescent="0.35">
      <c r="A2394" s="467">
        <v>41228</v>
      </c>
      <c r="B2394" s="468">
        <v>5.2220885827790386E-2</v>
      </c>
      <c r="C2394" s="468">
        <v>5.7387817406342023E-2</v>
      </c>
      <c r="D2394" s="469">
        <v>6.2531011990948571E-2</v>
      </c>
      <c r="G2394" s="470"/>
      <c r="H2394" s="471"/>
    </row>
    <row r="2395" spans="1:8" x14ac:dyDescent="0.35">
      <c r="A2395" s="467">
        <v>41229</v>
      </c>
      <c r="B2395" s="468">
        <v>5.2488937734195718E-2</v>
      </c>
      <c r="C2395" s="468">
        <v>5.7344339797384514E-2</v>
      </c>
      <c r="D2395" s="469">
        <v>6.2469361552090819E-2</v>
      </c>
      <c r="G2395" s="470"/>
      <c r="H2395" s="471"/>
    </row>
    <row r="2396" spans="1:8" x14ac:dyDescent="0.35">
      <c r="A2396" s="467">
        <v>41232</v>
      </c>
      <c r="B2396" s="468">
        <v>5.1696496260131175E-2</v>
      </c>
      <c r="C2396" s="468">
        <v>5.6718037274650079E-2</v>
      </c>
      <c r="D2396" s="469">
        <v>6.2482674738560506E-2</v>
      </c>
      <c r="G2396" s="470"/>
      <c r="H2396" s="471"/>
    </row>
    <row r="2397" spans="1:8" x14ac:dyDescent="0.35">
      <c r="A2397" s="467">
        <v>41233</v>
      </c>
      <c r="B2397" s="468">
        <v>5.1892507555830969E-2</v>
      </c>
      <c r="C2397" s="468">
        <v>5.6683707498322633E-2</v>
      </c>
      <c r="D2397" s="469">
        <v>6.2276427769038412E-2</v>
      </c>
      <c r="G2397" s="470"/>
      <c r="H2397" s="471"/>
    </row>
    <row r="2398" spans="1:8" x14ac:dyDescent="0.35">
      <c r="A2398" s="467">
        <v>41234</v>
      </c>
      <c r="B2398" s="468">
        <v>5.1941211324183723E-2</v>
      </c>
      <c r="C2398" s="468">
        <v>5.6434588730922997E-2</v>
      </c>
      <c r="D2398" s="469">
        <v>6.2126320862545326E-2</v>
      </c>
      <c r="G2398" s="470"/>
      <c r="H2398" s="471"/>
    </row>
    <row r="2399" spans="1:8" x14ac:dyDescent="0.35">
      <c r="A2399" s="467">
        <v>41235</v>
      </c>
      <c r="B2399" s="468">
        <v>5.2519998461376893E-2</v>
      </c>
      <c r="C2399" s="468">
        <v>5.717920507346208E-2</v>
      </c>
      <c r="D2399" s="469">
        <v>6.2076586145681789E-2</v>
      </c>
      <c r="G2399" s="470"/>
      <c r="H2399" s="471"/>
    </row>
    <row r="2400" spans="1:8" x14ac:dyDescent="0.35">
      <c r="A2400" s="467">
        <v>41236</v>
      </c>
      <c r="B2400" s="468">
        <v>5.1648901648041923E-2</v>
      </c>
      <c r="C2400" s="468">
        <v>5.6472716894280905E-2</v>
      </c>
      <c r="D2400" s="469">
        <v>6.1637285252914342E-2</v>
      </c>
      <c r="G2400" s="470"/>
      <c r="H2400" s="471"/>
    </row>
    <row r="2401" spans="1:8" x14ac:dyDescent="0.35">
      <c r="A2401" s="467">
        <v>41239</v>
      </c>
      <c r="B2401" s="468">
        <v>4.9940025299923363E-2</v>
      </c>
      <c r="C2401" s="468">
        <v>5.5054168235182832E-2</v>
      </c>
      <c r="D2401" s="469">
        <v>6.062347509007715E-2</v>
      </c>
      <c r="G2401" s="470"/>
      <c r="H2401" s="471"/>
    </row>
    <row r="2402" spans="1:8" x14ac:dyDescent="0.35">
      <c r="A2402" s="467">
        <v>41240</v>
      </c>
      <c r="B2402" s="468">
        <v>4.9931307340603581E-2</v>
      </c>
      <c r="C2402" s="468">
        <v>5.4795814870510773E-2</v>
      </c>
      <c r="D2402" s="469">
        <v>6.0339255790360369E-2</v>
      </c>
      <c r="G2402" s="470"/>
      <c r="H2402" s="471"/>
    </row>
    <row r="2403" spans="1:8" x14ac:dyDescent="0.35">
      <c r="A2403" s="467">
        <v>41241</v>
      </c>
      <c r="B2403" s="468">
        <v>4.9328831192025024E-2</v>
      </c>
      <c r="C2403" s="468">
        <v>5.4717254549910166E-2</v>
      </c>
      <c r="D2403" s="469">
        <v>6.0398915076264714E-2</v>
      </c>
      <c r="G2403" s="470"/>
      <c r="H2403" s="471"/>
    </row>
    <row r="2404" spans="1:8" x14ac:dyDescent="0.35">
      <c r="A2404" s="467">
        <v>41242</v>
      </c>
      <c r="B2404" s="468">
        <v>4.9127362241052408E-2</v>
      </c>
      <c r="C2404" s="468">
        <v>5.5093074939180031E-2</v>
      </c>
      <c r="D2404" s="469">
        <v>6.0348334690909056E-2</v>
      </c>
      <c r="G2404" s="470"/>
      <c r="H2404" s="471"/>
    </row>
    <row r="2405" spans="1:8" x14ac:dyDescent="0.35">
      <c r="A2405" s="467">
        <v>41243</v>
      </c>
      <c r="B2405" s="468">
        <v>4.9150448361407584E-2</v>
      </c>
      <c r="C2405" s="468">
        <v>5.4476183428797009E-2</v>
      </c>
      <c r="D2405" s="469">
        <v>5.9956217986851357E-2</v>
      </c>
      <c r="G2405" s="470"/>
      <c r="H2405" s="471"/>
    </row>
    <row r="2406" spans="1:8" x14ac:dyDescent="0.35">
      <c r="A2406" s="467">
        <v>41246</v>
      </c>
      <c r="B2406" s="468">
        <v>4.9095569399578265E-2</v>
      </c>
      <c r="C2406" s="468">
        <v>5.4372311701117448E-2</v>
      </c>
      <c r="D2406" s="469">
        <v>6.0058589675975105E-2</v>
      </c>
      <c r="G2406" s="470"/>
      <c r="H2406" s="471"/>
    </row>
    <row r="2407" spans="1:8" x14ac:dyDescent="0.35">
      <c r="A2407" s="467">
        <v>41247</v>
      </c>
      <c r="B2407" s="468">
        <v>4.9436590004771519E-2</v>
      </c>
      <c r="C2407" s="468">
        <v>5.422006474266805E-2</v>
      </c>
      <c r="D2407" s="469">
        <v>6.0229118328277931E-2</v>
      </c>
      <c r="G2407" s="470"/>
      <c r="H2407" s="471"/>
    </row>
    <row r="2408" spans="1:8" x14ac:dyDescent="0.35">
      <c r="A2408" s="467">
        <v>41248</v>
      </c>
      <c r="B2408" s="468">
        <v>4.9433225869884634E-2</v>
      </c>
      <c r="C2408" s="468">
        <v>5.4304578461347397E-2</v>
      </c>
      <c r="D2408" s="469">
        <v>5.9764762926096671E-2</v>
      </c>
      <c r="G2408" s="470"/>
      <c r="H2408" s="471"/>
    </row>
    <row r="2409" spans="1:8" x14ac:dyDescent="0.35">
      <c r="A2409" s="467">
        <v>41249</v>
      </c>
      <c r="B2409" s="468">
        <v>4.843954691875374E-2</v>
      </c>
      <c r="C2409" s="468">
        <v>5.3119711972311912E-2</v>
      </c>
      <c r="D2409" s="469">
        <v>5.8732867219696949E-2</v>
      </c>
      <c r="G2409" s="470"/>
      <c r="H2409" s="471"/>
    </row>
    <row r="2410" spans="1:8" x14ac:dyDescent="0.35">
      <c r="A2410" s="467">
        <v>41250</v>
      </c>
      <c r="B2410" s="468">
        <v>4.855511339993801E-2</v>
      </c>
      <c r="C2410" s="468">
        <v>5.3230851881855612E-2</v>
      </c>
      <c r="D2410" s="469">
        <v>5.8910779880939845E-2</v>
      </c>
      <c r="G2410" s="470"/>
      <c r="H2410" s="471"/>
    </row>
    <row r="2411" spans="1:8" x14ac:dyDescent="0.35">
      <c r="A2411" s="467">
        <v>41253</v>
      </c>
      <c r="B2411" s="468">
        <v>4.8370162431800257E-2</v>
      </c>
      <c r="C2411" s="468">
        <v>5.2934181297631611E-2</v>
      </c>
      <c r="D2411" s="469">
        <v>5.87232719295121E-2</v>
      </c>
      <c r="G2411" s="470"/>
      <c r="H2411" s="471"/>
    </row>
    <row r="2412" spans="1:8" x14ac:dyDescent="0.35">
      <c r="A2412" s="467">
        <v>41254</v>
      </c>
      <c r="B2412" s="468">
        <v>4.9411349817740424E-2</v>
      </c>
      <c r="C2412" s="468">
        <v>5.4109496618104602E-2</v>
      </c>
      <c r="D2412" s="469">
        <v>5.9839081341865663E-2</v>
      </c>
      <c r="G2412" s="470"/>
      <c r="H2412" s="471"/>
    </row>
    <row r="2413" spans="1:8" x14ac:dyDescent="0.35">
      <c r="A2413" s="467">
        <v>41255</v>
      </c>
      <c r="B2413" s="468">
        <v>4.9201524119657059E-2</v>
      </c>
      <c r="C2413" s="468">
        <v>5.4388356871795329E-2</v>
      </c>
      <c r="D2413" s="469">
        <v>6.0448966127853776E-2</v>
      </c>
      <c r="G2413" s="470"/>
      <c r="H2413" s="471"/>
    </row>
    <row r="2414" spans="1:8" x14ac:dyDescent="0.35">
      <c r="A2414" s="467">
        <v>41256</v>
      </c>
      <c r="B2414" s="468">
        <v>4.9084092320299755E-2</v>
      </c>
      <c r="C2414" s="468">
        <v>5.4413054090984847E-2</v>
      </c>
      <c r="D2414" s="469">
        <v>6.0036966744741793E-2</v>
      </c>
      <c r="G2414" s="470"/>
      <c r="H2414" s="471"/>
    </row>
    <row r="2415" spans="1:8" x14ac:dyDescent="0.35">
      <c r="A2415" s="467">
        <v>41257</v>
      </c>
      <c r="B2415" s="468">
        <v>4.9037386148309325E-2</v>
      </c>
      <c r="C2415" s="468">
        <v>5.3465692442292045E-2</v>
      </c>
      <c r="D2415" s="469">
        <v>5.9376348287094372E-2</v>
      </c>
      <c r="G2415" s="470"/>
      <c r="H2415" s="471"/>
    </row>
    <row r="2416" spans="1:8" x14ac:dyDescent="0.35">
      <c r="A2416" s="467">
        <v>41260</v>
      </c>
      <c r="B2416" s="468">
        <v>4.8525019831240357E-2</v>
      </c>
      <c r="C2416" s="468">
        <v>5.4113781825015916E-2</v>
      </c>
      <c r="D2416" s="469">
        <v>5.9663197495775977E-2</v>
      </c>
      <c r="G2416" s="470"/>
      <c r="H2416" s="471"/>
    </row>
    <row r="2417" spans="1:8" x14ac:dyDescent="0.35">
      <c r="A2417" s="467">
        <v>41261</v>
      </c>
      <c r="B2417" s="468">
        <v>4.8212359522097348E-2</v>
      </c>
      <c r="C2417" s="468">
        <v>5.3759532267090071E-2</v>
      </c>
      <c r="D2417" s="469">
        <v>5.913489220894852E-2</v>
      </c>
      <c r="G2417" s="470"/>
      <c r="H2417" s="471"/>
    </row>
    <row r="2418" spans="1:8" x14ac:dyDescent="0.35">
      <c r="A2418" s="467">
        <v>41262</v>
      </c>
      <c r="B2418" s="468">
        <v>4.7818353531706714E-2</v>
      </c>
      <c r="C2418" s="468">
        <v>5.3849738375777889E-2</v>
      </c>
      <c r="D2418" s="469">
        <v>5.9239366060424237E-2</v>
      </c>
      <c r="G2418" s="470"/>
      <c r="H2418" s="471"/>
    </row>
    <row r="2419" spans="1:8" x14ac:dyDescent="0.35">
      <c r="A2419" s="467">
        <v>41263</v>
      </c>
      <c r="B2419" s="468">
        <v>4.7703259069407533E-2</v>
      </c>
      <c r="C2419" s="468">
        <v>5.3697601822196184E-2</v>
      </c>
      <c r="D2419" s="469">
        <v>5.9029002105825734E-2</v>
      </c>
      <c r="G2419" s="470"/>
      <c r="H2419" s="471"/>
    </row>
    <row r="2420" spans="1:8" x14ac:dyDescent="0.35">
      <c r="A2420" s="467">
        <v>41264</v>
      </c>
      <c r="B2420" s="468">
        <v>4.5674577932307558E-2</v>
      </c>
      <c r="C2420" s="468">
        <v>5.2431278556379857E-2</v>
      </c>
      <c r="D2420" s="469">
        <v>5.7881652551006857E-2</v>
      </c>
      <c r="G2420" s="470"/>
      <c r="H2420" s="471"/>
    </row>
    <row r="2421" spans="1:8" x14ac:dyDescent="0.35">
      <c r="A2421" s="467">
        <v>41267</v>
      </c>
      <c r="B2421" s="468">
        <v>4.6003880937212083E-2</v>
      </c>
      <c r="C2421" s="468">
        <v>5.1192496428325462E-2</v>
      </c>
      <c r="D2421" s="469">
        <v>5.6974563455388649E-2</v>
      </c>
      <c r="G2421" s="470"/>
      <c r="H2421" s="471"/>
    </row>
    <row r="2422" spans="1:8" x14ac:dyDescent="0.35">
      <c r="A2422" s="467">
        <v>41269</v>
      </c>
      <c r="B2422" s="468">
        <v>4.4954440460881706E-2</v>
      </c>
      <c r="C2422" s="468">
        <v>5.153872294457118E-2</v>
      </c>
      <c r="D2422" s="469">
        <v>5.7214274294988376E-2</v>
      </c>
      <c r="G2422" s="470"/>
      <c r="H2422" s="471"/>
    </row>
    <row r="2423" spans="1:8" x14ac:dyDescent="0.35">
      <c r="A2423" s="467">
        <v>41270</v>
      </c>
      <c r="B2423" s="468">
        <v>4.498074257438045E-2</v>
      </c>
      <c r="C2423" s="468">
        <v>5.1920572030204504E-2</v>
      </c>
      <c r="D2423" s="469">
        <v>5.7210861653202105E-2</v>
      </c>
      <c r="G2423" s="470"/>
      <c r="H2423" s="471"/>
    </row>
    <row r="2424" spans="1:8" x14ac:dyDescent="0.35">
      <c r="A2424" s="467">
        <v>41271</v>
      </c>
      <c r="B2424" s="468">
        <v>4.3933974478814974E-2</v>
      </c>
      <c r="C2424" s="468">
        <v>5.1611437900817903E-2</v>
      </c>
      <c r="D2424" s="469">
        <v>5.7113337803223807E-2</v>
      </c>
      <c r="G2424" s="470"/>
      <c r="H2424" s="471"/>
    </row>
    <row r="2425" spans="1:8" x14ac:dyDescent="0.35">
      <c r="A2425" s="467">
        <v>41276</v>
      </c>
      <c r="B2425" s="468">
        <v>4.362867558025707E-2</v>
      </c>
      <c r="C2425" s="468">
        <v>5.168042548568641E-2</v>
      </c>
      <c r="D2425" s="469">
        <v>5.715955945622464E-2</v>
      </c>
      <c r="G2425" s="470"/>
      <c r="H2425" s="471"/>
    </row>
    <row r="2426" spans="1:8" x14ac:dyDescent="0.35">
      <c r="A2426" s="467">
        <v>41277</v>
      </c>
      <c r="B2426" s="468">
        <v>4.3743990733181803E-2</v>
      </c>
      <c r="C2426" s="468">
        <v>5.151318721880882E-2</v>
      </c>
      <c r="D2426" s="469">
        <v>5.7022550140695349E-2</v>
      </c>
      <c r="G2426" s="470"/>
      <c r="H2426" s="471"/>
    </row>
    <row r="2427" spans="1:8" x14ac:dyDescent="0.35">
      <c r="A2427" s="467">
        <v>41278</v>
      </c>
      <c r="B2427" s="468">
        <v>4.3469091459776621E-2</v>
      </c>
      <c r="C2427" s="468">
        <v>5.1745232179905898E-2</v>
      </c>
      <c r="D2427" s="469">
        <v>5.7291659227852287E-2</v>
      </c>
      <c r="G2427" s="470"/>
      <c r="H2427" s="471"/>
    </row>
    <row r="2428" spans="1:8" x14ac:dyDescent="0.35">
      <c r="A2428" s="467">
        <v>41282</v>
      </c>
      <c r="B2428" s="468">
        <v>4.3201157510818655E-2</v>
      </c>
      <c r="C2428" s="468">
        <v>5.0665928088435397E-2</v>
      </c>
      <c r="D2428" s="469">
        <v>5.6373932622060696E-2</v>
      </c>
      <c r="G2428" s="470"/>
      <c r="H2428" s="471"/>
    </row>
    <row r="2429" spans="1:8" x14ac:dyDescent="0.35">
      <c r="A2429" s="467">
        <v>41283</v>
      </c>
      <c r="B2429" s="468">
        <v>4.339493022553742E-2</v>
      </c>
      <c r="C2429" s="468">
        <v>5.0516961968426699E-2</v>
      </c>
      <c r="D2429" s="469">
        <v>5.6025936937707632E-2</v>
      </c>
      <c r="G2429" s="470"/>
      <c r="H2429" s="471"/>
    </row>
    <row r="2430" spans="1:8" x14ac:dyDescent="0.35">
      <c r="A2430" s="467">
        <v>41284</v>
      </c>
      <c r="B2430" s="468">
        <v>4.3232393790443524E-2</v>
      </c>
      <c r="C2430" s="468">
        <v>4.9697369746236619E-2</v>
      </c>
      <c r="D2430" s="469">
        <v>5.5317235087934291E-2</v>
      </c>
      <c r="G2430" s="470"/>
      <c r="H2430" s="471"/>
    </row>
    <row r="2431" spans="1:8" x14ac:dyDescent="0.35">
      <c r="A2431" s="467">
        <v>41285</v>
      </c>
      <c r="B2431" s="468">
        <v>4.320465409294294E-2</v>
      </c>
      <c r="C2431" s="468">
        <v>4.9631586856510035E-2</v>
      </c>
      <c r="D2431" s="469">
        <v>5.5256226023692623E-2</v>
      </c>
      <c r="G2431" s="470"/>
      <c r="H2431" s="471"/>
    </row>
    <row r="2432" spans="1:8" x14ac:dyDescent="0.35">
      <c r="A2432" s="467">
        <v>41288</v>
      </c>
      <c r="B2432" s="468">
        <v>4.3416402532155951E-2</v>
      </c>
      <c r="C2432" s="468">
        <v>4.9107665206329365E-2</v>
      </c>
      <c r="D2432" s="469">
        <v>5.4663648921885022E-2</v>
      </c>
      <c r="G2432" s="470"/>
      <c r="H2432" s="471"/>
    </row>
    <row r="2433" spans="1:8" x14ac:dyDescent="0.35">
      <c r="A2433" s="467">
        <v>41289</v>
      </c>
      <c r="B2433" s="468">
        <v>4.3355895525888588E-2</v>
      </c>
      <c r="C2433" s="468">
        <v>4.8913234178008302E-2</v>
      </c>
      <c r="D2433" s="469">
        <v>5.468437795052461E-2</v>
      </c>
      <c r="G2433" s="470"/>
      <c r="H2433" s="471"/>
    </row>
    <row r="2434" spans="1:8" x14ac:dyDescent="0.35">
      <c r="A2434" s="467">
        <v>41290</v>
      </c>
      <c r="B2434" s="468">
        <v>4.3262557545405977E-2</v>
      </c>
      <c r="C2434" s="468">
        <v>4.8786427189510873E-2</v>
      </c>
      <c r="D2434" s="469">
        <v>5.4342473288856219E-2</v>
      </c>
      <c r="G2434" s="470"/>
      <c r="H2434" s="471"/>
    </row>
    <row r="2435" spans="1:8" x14ac:dyDescent="0.35">
      <c r="A2435" s="467">
        <v>41291</v>
      </c>
      <c r="B2435" s="468">
        <v>4.3268807308352697E-2</v>
      </c>
      <c r="C2435" s="468">
        <v>4.8176681486373774E-2</v>
      </c>
      <c r="D2435" s="469">
        <v>5.3716666648619071E-2</v>
      </c>
      <c r="G2435" s="470"/>
      <c r="H2435" s="471"/>
    </row>
    <row r="2436" spans="1:8" x14ac:dyDescent="0.35">
      <c r="A2436" s="467">
        <v>41292</v>
      </c>
      <c r="B2436" s="468">
        <v>4.2881259050038256E-2</v>
      </c>
      <c r="C2436" s="468">
        <v>4.8102103270522445E-2</v>
      </c>
      <c r="D2436" s="469">
        <v>5.3767192497029104E-2</v>
      </c>
      <c r="G2436" s="470"/>
      <c r="H2436" s="471"/>
    </row>
    <row r="2437" spans="1:8" x14ac:dyDescent="0.35">
      <c r="A2437" s="467">
        <v>41295</v>
      </c>
      <c r="B2437" s="468">
        <v>4.291205720617608E-2</v>
      </c>
      <c r="C2437" s="468">
        <v>4.7547201239063863E-2</v>
      </c>
      <c r="D2437" s="469">
        <v>5.3314397241949418E-2</v>
      </c>
      <c r="G2437" s="470"/>
      <c r="H2437" s="471"/>
    </row>
    <row r="2438" spans="1:8" x14ac:dyDescent="0.35">
      <c r="A2438" s="467">
        <v>41296</v>
      </c>
      <c r="B2438" s="468">
        <v>4.2897259524251607E-2</v>
      </c>
      <c r="C2438" s="468">
        <v>4.7703835085132429E-2</v>
      </c>
      <c r="D2438" s="469">
        <v>5.3310720645328269E-2</v>
      </c>
      <c r="G2438" s="470"/>
      <c r="H2438" s="471"/>
    </row>
    <row r="2439" spans="1:8" x14ac:dyDescent="0.35">
      <c r="A2439" s="467">
        <v>41297</v>
      </c>
      <c r="B2439" s="468">
        <v>4.2687273129885295E-2</v>
      </c>
      <c r="C2439" s="468">
        <v>4.71338493799629E-2</v>
      </c>
      <c r="D2439" s="469">
        <v>5.2701719625412258E-2</v>
      </c>
      <c r="G2439" s="470"/>
      <c r="H2439" s="471"/>
    </row>
    <row r="2440" spans="1:8" x14ac:dyDescent="0.35">
      <c r="A2440" s="467">
        <v>41298</v>
      </c>
      <c r="B2440" s="468">
        <v>4.2702990250439221E-2</v>
      </c>
      <c r="C2440" s="468">
        <v>4.7363722727905566E-2</v>
      </c>
      <c r="D2440" s="469">
        <v>5.2894927238739786E-2</v>
      </c>
      <c r="G2440" s="470"/>
      <c r="H2440" s="471"/>
    </row>
    <row r="2441" spans="1:8" x14ac:dyDescent="0.35">
      <c r="A2441" s="467">
        <v>41299</v>
      </c>
      <c r="B2441" s="468">
        <v>4.2787319680212876E-2</v>
      </c>
      <c r="C2441" s="468">
        <v>4.7456670758357467E-2</v>
      </c>
      <c r="D2441" s="469">
        <v>5.3277288508363219E-2</v>
      </c>
      <c r="G2441" s="470"/>
      <c r="H2441" s="471"/>
    </row>
    <row r="2442" spans="1:8" x14ac:dyDescent="0.35">
      <c r="A2442" s="467">
        <v>41302</v>
      </c>
      <c r="B2442" s="468">
        <v>4.2368670038186229E-2</v>
      </c>
      <c r="C2442" s="468">
        <v>4.7594152084392327E-2</v>
      </c>
      <c r="D2442" s="469">
        <v>5.3229410736908234E-2</v>
      </c>
      <c r="G2442" s="470"/>
      <c r="H2442" s="471"/>
    </row>
    <row r="2443" spans="1:8" x14ac:dyDescent="0.35">
      <c r="A2443" s="467">
        <v>41303</v>
      </c>
      <c r="B2443" s="468">
        <v>4.229607170839933E-2</v>
      </c>
      <c r="C2443" s="468">
        <v>4.7561969247658764E-2</v>
      </c>
      <c r="D2443" s="469">
        <v>5.3201663690150447E-2</v>
      </c>
      <c r="G2443" s="470"/>
      <c r="H2443" s="471"/>
    </row>
    <row r="2444" spans="1:8" x14ac:dyDescent="0.35">
      <c r="A2444" s="467">
        <v>41304</v>
      </c>
      <c r="B2444" s="468">
        <v>4.2592435002113627E-2</v>
      </c>
      <c r="C2444" s="468">
        <v>4.7728435429903238E-2</v>
      </c>
      <c r="D2444" s="469">
        <v>5.3315791783785871E-2</v>
      </c>
      <c r="G2444" s="470"/>
      <c r="H2444" s="471"/>
    </row>
    <row r="2445" spans="1:8" x14ac:dyDescent="0.35">
      <c r="A2445" s="467">
        <v>41305</v>
      </c>
      <c r="B2445" s="468">
        <v>4.2430453697914317E-2</v>
      </c>
      <c r="C2445" s="468">
        <v>4.7598792776703647E-2</v>
      </c>
      <c r="D2445" s="469">
        <v>5.3045205054855105E-2</v>
      </c>
      <c r="G2445" s="470"/>
      <c r="H2445" s="471"/>
    </row>
    <row r="2446" spans="1:8" x14ac:dyDescent="0.35">
      <c r="A2446" s="467">
        <v>41306</v>
      </c>
      <c r="B2446" s="468">
        <v>4.2805806986623285E-2</v>
      </c>
      <c r="C2446" s="468">
        <v>4.7422822449260105E-2</v>
      </c>
      <c r="D2446" s="469">
        <v>5.2768614707488393E-2</v>
      </c>
      <c r="G2446" s="470"/>
      <c r="H2446" s="471"/>
    </row>
    <row r="2447" spans="1:8" x14ac:dyDescent="0.35">
      <c r="A2447" s="467">
        <v>41309</v>
      </c>
      <c r="B2447" s="468">
        <v>4.2911467925510927E-2</v>
      </c>
      <c r="C2447" s="468">
        <v>4.7530012413953049E-2</v>
      </c>
      <c r="D2447" s="469">
        <v>5.2704996613712307E-2</v>
      </c>
      <c r="G2447" s="470"/>
      <c r="H2447" s="471"/>
    </row>
    <row r="2448" spans="1:8" x14ac:dyDescent="0.35">
      <c r="A2448" s="467">
        <v>41310</v>
      </c>
      <c r="B2448" s="468">
        <v>4.2503786257297227E-2</v>
      </c>
      <c r="C2448" s="468">
        <v>4.7523132979514937E-2</v>
      </c>
      <c r="D2448" s="469">
        <v>5.2757753965493093E-2</v>
      </c>
      <c r="G2448" s="470"/>
      <c r="H2448" s="471"/>
    </row>
    <row r="2449" spans="1:8" x14ac:dyDescent="0.35">
      <c r="A2449" s="467">
        <v>41311</v>
      </c>
      <c r="B2449" s="468">
        <v>4.1996549081297241E-2</v>
      </c>
      <c r="C2449" s="468">
        <v>4.6396726450760317E-2</v>
      </c>
      <c r="D2449" s="469">
        <v>5.1918104795134479E-2</v>
      </c>
      <c r="G2449" s="470"/>
      <c r="H2449" s="471"/>
    </row>
    <row r="2450" spans="1:8" x14ac:dyDescent="0.35">
      <c r="A2450" s="467">
        <v>41312</v>
      </c>
      <c r="B2450" s="468">
        <v>4.1740429949914226E-2</v>
      </c>
      <c r="C2450" s="468">
        <v>4.6132002546174222E-2</v>
      </c>
      <c r="D2450" s="469">
        <v>5.1601479805666761E-2</v>
      </c>
      <c r="G2450" s="470"/>
      <c r="H2450" s="471"/>
    </row>
    <row r="2451" spans="1:8" x14ac:dyDescent="0.35">
      <c r="A2451" s="467">
        <v>41313</v>
      </c>
      <c r="B2451" s="468">
        <v>4.1672703915923259E-2</v>
      </c>
      <c r="C2451" s="468">
        <v>4.6150720260804245E-2</v>
      </c>
      <c r="D2451" s="469">
        <v>5.1393937449328853E-2</v>
      </c>
      <c r="G2451" s="470"/>
      <c r="H2451" s="471"/>
    </row>
    <row r="2452" spans="1:8" x14ac:dyDescent="0.35">
      <c r="A2452" s="467">
        <v>41316</v>
      </c>
      <c r="B2452" s="468">
        <v>4.2533123339548951E-2</v>
      </c>
      <c r="C2452" s="468">
        <v>4.6304703164157246E-2</v>
      </c>
      <c r="D2452" s="469">
        <v>5.1965169096977126E-2</v>
      </c>
      <c r="G2452" s="470"/>
      <c r="H2452" s="471"/>
    </row>
    <row r="2453" spans="1:8" x14ac:dyDescent="0.35">
      <c r="A2453" s="467">
        <v>41317</v>
      </c>
      <c r="B2453" s="468">
        <v>4.2423563793755559E-2</v>
      </c>
      <c r="C2453" s="468">
        <v>4.6232648941087362E-2</v>
      </c>
      <c r="D2453" s="469">
        <v>5.1813172104351546E-2</v>
      </c>
      <c r="G2453" s="470"/>
      <c r="H2453" s="471"/>
    </row>
    <row r="2454" spans="1:8" x14ac:dyDescent="0.35">
      <c r="A2454" s="467">
        <v>41318</v>
      </c>
      <c r="B2454" s="468">
        <v>4.2235821236692228E-2</v>
      </c>
      <c r="C2454" s="468">
        <v>4.5925120780429873E-2</v>
      </c>
      <c r="D2454" s="469">
        <v>5.1415318523674536E-2</v>
      </c>
      <c r="G2454" s="470"/>
      <c r="H2454" s="471"/>
    </row>
    <row r="2455" spans="1:8" x14ac:dyDescent="0.35">
      <c r="A2455" s="467">
        <v>41319</v>
      </c>
      <c r="B2455" s="468">
        <v>4.2191395359223227E-2</v>
      </c>
      <c r="C2455" s="468">
        <v>4.5710473794538853E-2</v>
      </c>
      <c r="D2455" s="469">
        <v>5.1604869285428068E-2</v>
      </c>
      <c r="G2455" s="470"/>
      <c r="H2455" s="471"/>
    </row>
    <row r="2456" spans="1:8" x14ac:dyDescent="0.35">
      <c r="A2456" s="467">
        <v>41320</v>
      </c>
      <c r="B2456" s="468">
        <v>4.1319987471548858E-2</v>
      </c>
      <c r="C2456" s="468">
        <v>4.5546412070460063E-2</v>
      </c>
      <c r="D2456" s="469">
        <v>5.1139342327697124E-2</v>
      </c>
      <c r="G2456" s="470"/>
      <c r="H2456" s="471"/>
    </row>
    <row r="2457" spans="1:8" x14ac:dyDescent="0.35">
      <c r="A2457" s="467">
        <v>41323</v>
      </c>
      <c r="B2457" s="468">
        <v>4.13185312976172E-2</v>
      </c>
      <c r="C2457" s="468">
        <v>4.5502282217660506E-2</v>
      </c>
      <c r="D2457" s="469">
        <v>5.1197137628770539E-2</v>
      </c>
      <c r="G2457" s="470"/>
      <c r="H2457" s="471"/>
    </row>
    <row r="2458" spans="1:8" x14ac:dyDescent="0.35">
      <c r="A2458" s="467">
        <v>41324</v>
      </c>
      <c r="B2458" s="468">
        <v>4.0970410550310365E-2</v>
      </c>
      <c r="C2458" s="468">
        <v>4.5548211049853515E-2</v>
      </c>
      <c r="D2458" s="469">
        <v>5.1223651599732634E-2</v>
      </c>
      <c r="G2458" s="470"/>
      <c r="H2458" s="471"/>
    </row>
    <row r="2459" spans="1:8" x14ac:dyDescent="0.35">
      <c r="A2459" s="467">
        <v>41325</v>
      </c>
      <c r="B2459" s="468">
        <v>4.1098758135173385E-2</v>
      </c>
      <c r="C2459" s="468">
        <v>4.5447040043687048E-2</v>
      </c>
      <c r="D2459" s="469">
        <v>5.1246350756727121E-2</v>
      </c>
      <c r="G2459" s="470"/>
      <c r="H2459" s="471"/>
    </row>
    <row r="2460" spans="1:8" x14ac:dyDescent="0.35">
      <c r="A2460" s="467">
        <v>41326</v>
      </c>
      <c r="B2460" s="468">
        <v>4.0926681313953051E-2</v>
      </c>
      <c r="C2460" s="468">
        <v>4.5134905293986005E-2</v>
      </c>
      <c r="D2460" s="469">
        <v>5.0718081059864639E-2</v>
      </c>
      <c r="G2460" s="470"/>
      <c r="H2460" s="471"/>
    </row>
    <row r="2461" spans="1:8" x14ac:dyDescent="0.35">
      <c r="A2461" s="467">
        <v>41327</v>
      </c>
      <c r="B2461" s="468">
        <v>4.029096763783846E-2</v>
      </c>
      <c r="C2461" s="468">
        <v>4.4909244546344818E-2</v>
      </c>
      <c r="D2461" s="469">
        <v>5.0413509007888102E-2</v>
      </c>
      <c r="G2461" s="470"/>
      <c r="H2461" s="471"/>
    </row>
    <row r="2462" spans="1:8" x14ac:dyDescent="0.35">
      <c r="A2462" s="467">
        <v>41330</v>
      </c>
      <c r="B2462" s="468">
        <v>4.03739183739662E-2</v>
      </c>
      <c r="C2462" s="468">
        <v>4.5262607104726627E-2</v>
      </c>
      <c r="D2462" s="469">
        <v>5.0650659285533584E-2</v>
      </c>
      <c r="G2462" s="470"/>
      <c r="H2462" s="471"/>
    </row>
    <row r="2463" spans="1:8" x14ac:dyDescent="0.35">
      <c r="A2463" s="467">
        <v>41331</v>
      </c>
      <c r="B2463" s="468">
        <v>4.0648985499888379E-2</v>
      </c>
      <c r="C2463" s="468">
        <v>4.532211419894816E-2</v>
      </c>
      <c r="D2463" s="469">
        <v>5.0928803089859809E-2</v>
      </c>
      <c r="G2463" s="470"/>
      <c r="H2463" s="471"/>
    </row>
    <row r="2464" spans="1:8" x14ac:dyDescent="0.35">
      <c r="A2464" s="467">
        <v>41332</v>
      </c>
      <c r="B2464" s="468">
        <v>4.064861636618855E-2</v>
      </c>
      <c r="C2464" s="468">
        <v>4.5302344173269171E-2</v>
      </c>
      <c r="D2464" s="469">
        <v>5.1054713606751623E-2</v>
      </c>
      <c r="G2464" s="470"/>
      <c r="H2464" s="471"/>
    </row>
    <row r="2465" spans="1:8" x14ac:dyDescent="0.35">
      <c r="A2465" s="467">
        <v>41333</v>
      </c>
      <c r="B2465" s="468">
        <v>4.0431213110395436E-2</v>
      </c>
      <c r="C2465" s="468">
        <v>4.5089333932898157E-2</v>
      </c>
      <c r="D2465" s="469">
        <v>5.0863766620799611E-2</v>
      </c>
      <c r="G2465" s="470"/>
      <c r="H2465" s="471"/>
    </row>
    <row r="2466" spans="1:8" x14ac:dyDescent="0.35">
      <c r="A2466" s="467">
        <v>41334</v>
      </c>
      <c r="B2466" s="468">
        <v>4.0580824586902819E-2</v>
      </c>
      <c r="C2466" s="468">
        <v>4.4914592846615031E-2</v>
      </c>
      <c r="D2466" s="469">
        <v>5.0558293423502043E-2</v>
      </c>
      <c r="G2466" s="470"/>
      <c r="H2466" s="471"/>
    </row>
    <row r="2467" spans="1:8" x14ac:dyDescent="0.35">
      <c r="A2467" s="467">
        <v>41337</v>
      </c>
      <c r="B2467" s="468">
        <v>3.9812030658143982E-2</v>
      </c>
      <c r="C2467" s="468">
        <v>4.49287114498782E-2</v>
      </c>
      <c r="D2467" s="469">
        <v>5.0618043013325398E-2</v>
      </c>
      <c r="G2467" s="470"/>
      <c r="H2467" s="471"/>
    </row>
    <row r="2468" spans="1:8" x14ac:dyDescent="0.35">
      <c r="A2468" s="467">
        <v>41338</v>
      </c>
      <c r="B2468" s="468">
        <v>3.9834518628669269E-2</v>
      </c>
      <c r="C2468" s="468">
        <v>4.4674043694940435E-2</v>
      </c>
      <c r="D2468" s="469">
        <v>5.0531789550669171E-2</v>
      </c>
      <c r="G2468" s="470"/>
      <c r="H2468" s="471"/>
    </row>
    <row r="2469" spans="1:8" x14ac:dyDescent="0.35">
      <c r="A2469" s="467">
        <v>41339</v>
      </c>
      <c r="B2469" s="468">
        <v>3.9208653283262951E-2</v>
      </c>
      <c r="C2469" s="468">
        <v>4.4452459287047885E-2</v>
      </c>
      <c r="D2469" s="469">
        <v>5.0267753574691376E-2</v>
      </c>
      <c r="G2469" s="470"/>
      <c r="H2469" s="471"/>
    </row>
    <row r="2470" spans="1:8" x14ac:dyDescent="0.35">
      <c r="A2470" s="467">
        <v>41340</v>
      </c>
      <c r="B2470" s="468">
        <v>3.9106675688822978E-2</v>
      </c>
      <c r="C2470" s="468">
        <v>4.3868448371362279E-2</v>
      </c>
      <c r="D2470" s="469">
        <v>4.9597708636321514E-2</v>
      </c>
      <c r="G2470" s="470"/>
      <c r="H2470" s="471"/>
    </row>
    <row r="2471" spans="1:8" x14ac:dyDescent="0.35">
      <c r="A2471" s="467">
        <v>41341</v>
      </c>
      <c r="B2471" s="468">
        <v>3.9380514704660641E-2</v>
      </c>
      <c r="C2471" s="468">
        <v>4.4215547466635474E-2</v>
      </c>
      <c r="D2471" s="469">
        <v>5.0138115171668662E-2</v>
      </c>
      <c r="G2471" s="470"/>
      <c r="H2471" s="471"/>
    </row>
    <row r="2472" spans="1:8" x14ac:dyDescent="0.35">
      <c r="A2472" s="467">
        <v>41344</v>
      </c>
      <c r="B2472" s="468">
        <v>3.7794980708284021E-2</v>
      </c>
      <c r="C2472" s="468">
        <v>4.4701009303410366E-2</v>
      </c>
      <c r="D2472" s="469">
        <v>5.0270812101089968E-2</v>
      </c>
      <c r="G2472" s="470"/>
      <c r="H2472" s="471"/>
    </row>
    <row r="2473" spans="1:8" x14ac:dyDescent="0.35">
      <c r="A2473" s="467">
        <v>41345</v>
      </c>
      <c r="B2473" s="468">
        <v>3.8102944805063377E-2</v>
      </c>
      <c r="C2473" s="468">
        <v>4.4821832836367426E-2</v>
      </c>
      <c r="D2473" s="469">
        <v>5.0364782273309761E-2</v>
      </c>
      <c r="G2473" s="470"/>
      <c r="H2473" s="471"/>
    </row>
    <row r="2474" spans="1:8" x14ac:dyDescent="0.35">
      <c r="A2474" s="467">
        <v>41346</v>
      </c>
      <c r="B2474" s="468">
        <v>3.8386726068849075E-2</v>
      </c>
      <c r="C2474" s="468">
        <v>4.4619213805839664E-2</v>
      </c>
      <c r="D2474" s="469">
        <v>5.0438395381788181E-2</v>
      </c>
      <c r="G2474" s="470"/>
      <c r="H2474" s="471"/>
    </row>
    <row r="2475" spans="1:8" x14ac:dyDescent="0.35">
      <c r="A2475" s="467">
        <v>41347</v>
      </c>
      <c r="B2475" s="468">
        <v>3.8769155807620193E-2</v>
      </c>
      <c r="C2475" s="468">
        <v>4.473845891946171E-2</v>
      </c>
      <c r="D2475" s="469">
        <v>5.0670562876492076E-2</v>
      </c>
      <c r="G2475" s="470"/>
      <c r="H2475" s="471"/>
    </row>
    <row r="2476" spans="1:8" x14ac:dyDescent="0.35">
      <c r="A2476" s="467">
        <v>41348</v>
      </c>
      <c r="B2476" s="468">
        <v>3.8388717239756343E-2</v>
      </c>
      <c r="C2476" s="468">
        <v>4.4623227867417015E-2</v>
      </c>
      <c r="D2476" s="469">
        <v>5.0533578928174672E-2</v>
      </c>
      <c r="G2476" s="470"/>
      <c r="H2476" s="471"/>
    </row>
    <row r="2477" spans="1:8" x14ac:dyDescent="0.35">
      <c r="A2477" s="467">
        <v>41351</v>
      </c>
      <c r="B2477" s="468">
        <v>3.912451634791414E-2</v>
      </c>
      <c r="C2477" s="468">
        <v>4.4733500477367016E-2</v>
      </c>
      <c r="D2477" s="469">
        <v>5.0820632102299701E-2</v>
      </c>
      <c r="G2477" s="470"/>
      <c r="H2477" s="471"/>
    </row>
    <row r="2478" spans="1:8" x14ac:dyDescent="0.35">
      <c r="A2478" s="467">
        <v>41352</v>
      </c>
      <c r="B2478" s="468">
        <v>3.8530934095282632E-2</v>
      </c>
      <c r="C2478" s="468">
        <v>4.4668064089375736E-2</v>
      </c>
      <c r="D2478" s="469">
        <v>5.1347875428667367E-2</v>
      </c>
      <c r="G2478" s="470"/>
      <c r="H2478" s="471"/>
    </row>
    <row r="2479" spans="1:8" x14ac:dyDescent="0.35">
      <c r="A2479" s="467">
        <v>41353</v>
      </c>
      <c r="B2479" s="468">
        <v>3.8982148067074229E-2</v>
      </c>
      <c r="C2479" s="468">
        <v>4.4936694967316226E-2</v>
      </c>
      <c r="D2479" s="469">
        <v>5.2397946771628234E-2</v>
      </c>
      <c r="G2479" s="470"/>
      <c r="H2479" s="471"/>
    </row>
    <row r="2480" spans="1:8" x14ac:dyDescent="0.35">
      <c r="A2480" s="467">
        <v>41354</v>
      </c>
      <c r="B2480" s="468">
        <v>3.9057154077815737E-2</v>
      </c>
      <c r="C2480" s="468">
        <v>4.5935358953316463E-2</v>
      </c>
      <c r="D2480" s="469">
        <v>5.3264705307535465E-2</v>
      </c>
      <c r="G2480" s="470"/>
      <c r="H2480" s="471"/>
    </row>
    <row r="2481" spans="1:8" x14ac:dyDescent="0.35">
      <c r="A2481" s="467">
        <v>41355</v>
      </c>
      <c r="B2481" s="468">
        <v>3.9167118583992799E-2</v>
      </c>
      <c r="C2481" s="468">
        <v>4.6420823493419805E-2</v>
      </c>
      <c r="D2481" s="469">
        <v>5.3021154600904508E-2</v>
      </c>
      <c r="G2481" s="470"/>
      <c r="H2481" s="471"/>
    </row>
    <row r="2482" spans="1:8" x14ac:dyDescent="0.35">
      <c r="A2482" s="467">
        <v>41359</v>
      </c>
      <c r="B2482" s="468">
        <v>3.5935408512375311E-2</v>
      </c>
      <c r="C2482" s="468">
        <v>4.3968623627371972E-2</v>
      </c>
      <c r="D2482" s="469">
        <v>5.087787272755806E-2</v>
      </c>
      <c r="G2482" s="470"/>
      <c r="H2482" s="471"/>
    </row>
    <row r="2483" spans="1:8" x14ac:dyDescent="0.35">
      <c r="A2483" s="467">
        <v>41360</v>
      </c>
      <c r="B2483" s="468">
        <v>3.5845526945956552E-2</v>
      </c>
      <c r="C2483" s="468">
        <v>4.4341825144788904E-2</v>
      </c>
      <c r="D2483" s="469">
        <v>5.1069411870142467E-2</v>
      </c>
      <c r="G2483" s="470"/>
      <c r="H2483" s="471"/>
    </row>
    <row r="2484" spans="1:8" x14ac:dyDescent="0.35">
      <c r="A2484" s="467">
        <v>41365</v>
      </c>
      <c r="B2484" s="468">
        <v>3.5812910643343798E-2</v>
      </c>
      <c r="C2484" s="468">
        <v>4.5181954789997203E-2</v>
      </c>
      <c r="D2484" s="469">
        <v>5.2104575518473473E-2</v>
      </c>
      <c r="G2484" s="470"/>
      <c r="H2484" s="471"/>
    </row>
    <row r="2485" spans="1:8" x14ac:dyDescent="0.35">
      <c r="A2485" s="467">
        <v>41366</v>
      </c>
      <c r="B2485" s="468">
        <v>3.5805974389759188E-2</v>
      </c>
      <c r="C2485" s="468">
        <v>4.5274672462746857E-2</v>
      </c>
      <c r="D2485" s="469">
        <v>5.2583647187721905E-2</v>
      </c>
      <c r="G2485" s="470"/>
      <c r="H2485" s="471"/>
    </row>
    <row r="2486" spans="1:8" x14ac:dyDescent="0.35">
      <c r="A2486" s="467">
        <v>41367</v>
      </c>
      <c r="B2486" s="468">
        <v>3.6513183873243316E-2</v>
      </c>
      <c r="C2486" s="468">
        <v>4.5620468181738039E-2</v>
      </c>
      <c r="D2486" s="469">
        <v>5.343624064094632E-2</v>
      </c>
      <c r="G2486" s="470"/>
      <c r="H2486" s="471"/>
    </row>
    <row r="2487" spans="1:8" x14ac:dyDescent="0.35">
      <c r="A2487" s="467">
        <v>41368</v>
      </c>
      <c r="B2487" s="468">
        <v>3.6652480291764933E-2</v>
      </c>
      <c r="C2487" s="468">
        <v>4.5945765886357792E-2</v>
      </c>
      <c r="D2487" s="469">
        <v>5.3640523527012096E-2</v>
      </c>
      <c r="G2487" s="470"/>
      <c r="H2487" s="471"/>
    </row>
    <row r="2488" spans="1:8" x14ac:dyDescent="0.35">
      <c r="A2488" s="467">
        <v>41369</v>
      </c>
      <c r="B2488" s="468">
        <v>3.6138509149260312E-2</v>
      </c>
      <c r="C2488" s="468">
        <v>4.5252855540938164E-2</v>
      </c>
      <c r="D2488" s="469">
        <v>5.2418403874000541E-2</v>
      </c>
      <c r="G2488" s="470"/>
      <c r="H2488" s="471"/>
    </row>
    <row r="2489" spans="1:8" x14ac:dyDescent="0.35">
      <c r="A2489" s="467">
        <v>41372</v>
      </c>
      <c r="B2489" s="468">
        <v>3.6100539891415817E-2</v>
      </c>
      <c r="C2489" s="468">
        <v>4.4968455409277519E-2</v>
      </c>
      <c r="D2489" s="469">
        <v>5.1751638845167536E-2</v>
      </c>
      <c r="G2489" s="470"/>
      <c r="H2489" s="471"/>
    </row>
    <row r="2490" spans="1:8" x14ac:dyDescent="0.35">
      <c r="A2490" s="467">
        <v>41373</v>
      </c>
      <c r="B2490" s="468">
        <v>3.6039066677149068E-2</v>
      </c>
      <c r="C2490" s="468">
        <v>4.5121898339360644E-2</v>
      </c>
      <c r="D2490" s="469">
        <v>5.2016722982603181E-2</v>
      </c>
      <c r="G2490" s="470"/>
      <c r="H2490" s="471"/>
    </row>
    <row r="2491" spans="1:8" x14ac:dyDescent="0.35">
      <c r="A2491" s="467">
        <v>41374</v>
      </c>
      <c r="B2491" s="468">
        <v>3.6229922501147982E-2</v>
      </c>
      <c r="C2491" s="468">
        <v>4.5490527137627357E-2</v>
      </c>
      <c r="D2491" s="469">
        <v>5.2312618592674998E-2</v>
      </c>
      <c r="G2491" s="470"/>
      <c r="H2491" s="471"/>
    </row>
    <row r="2492" spans="1:8" x14ac:dyDescent="0.35">
      <c r="A2492" s="467">
        <v>41375</v>
      </c>
      <c r="B2492" s="468">
        <v>3.6240405186505953E-2</v>
      </c>
      <c r="C2492" s="468">
        <v>4.467509055497243E-2</v>
      </c>
      <c r="D2492" s="469">
        <v>5.1534048668270271E-2</v>
      </c>
      <c r="G2492" s="470"/>
      <c r="H2492" s="471"/>
    </row>
    <row r="2493" spans="1:8" x14ac:dyDescent="0.35">
      <c r="A2493" s="467">
        <v>41376</v>
      </c>
      <c r="B2493" s="468">
        <v>3.6899981194316034E-2</v>
      </c>
      <c r="C2493" s="468">
        <v>4.4589593871553035E-2</v>
      </c>
      <c r="D2493" s="469">
        <v>5.1394562236687369E-2</v>
      </c>
      <c r="G2493" s="470"/>
      <c r="H2493" s="471"/>
    </row>
    <row r="2494" spans="1:8" x14ac:dyDescent="0.35">
      <c r="A2494" s="467">
        <v>41379</v>
      </c>
      <c r="B2494" s="468">
        <v>3.6190527761863267E-2</v>
      </c>
      <c r="C2494" s="468">
        <v>4.4927667265359128E-2</v>
      </c>
      <c r="D2494" s="469">
        <v>5.1784657818520596E-2</v>
      </c>
      <c r="G2494" s="470"/>
      <c r="H2494" s="471"/>
    </row>
    <row r="2495" spans="1:8" x14ac:dyDescent="0.35">
      <c r="A2495" s="467">
        <v>41380</v>
      </c>
      <c r="B2495" s="468">
        <v>3.6772664311281567E-2</v>
      </c>
      <c r="C2495" s="468">
        <v>4.4792150731457259E-2</v>
      </c>
      <c r="D2495" s="469">
        <v>5.1628172560738816E-2</v>
      </c>
      <c r="G2495" s="470"/>
      <c r="H2495" s="471"/>
    </row>
    <row r="2496" spans="1:8" x14ac:dyDescent="0.35">
      <c r="A2496" s="467">
        <v>41381</v>
      </c>
      <c r="B2496" s="468">
        <v>3.6332185415969942E-2</v>
      </c>
      <c r="C2496" s="468">
        <v>4.4928049662421365E-2</v>
      </c>
      <c r="D2496" s="469">
        <v>5.1710134772334326E-2</v>
      </c>
      <c r="G2496" s="470"/>
      <c r="H2496" s="471"/>
    </row>
    <row r="2497" spans="1:8" x14ac:dyDescent="0.35">
      <c r="A2497" s="467">
        <v>41382</v>
      </c>
      <c r="B2497" s="468">
        <v>3.6485403351433021E-2</v>
      </c>
      <c r="C2497" s="468">
        <v>4.4774457942459378E-2</v>
      </c>
      <c r="D2497" s="469">
        <v>5.1285388534348275E-2</v>
      </c>
      <c r="G2497" s="470"/>
      <c r="H2497" s="471"/>
    </row>
    <row r="2498" spans="1:8" x14ac:dyDescent="0.35">
      <c r="A2498" s="467">
        <v>41383</v>
      </c>
      <c r="B2498" s="468">
        <v>3.6665747805845195E-2</v>
      </c>
      <c r="C2498" s="468">
        <v>4.4527456374372498E-2</v>
      </c>
      <c r="D2498" s="469">
        <v>5.0944362167854473E-2</v>
      </c>
      <c r="G2498" s="470"/>
      <c r="H2498" s="471"/>
    </row>
    <row r="2499" spans="1:8" x14ac:dyDescent="0.35">
      <c r="A2499" s="467">
        <v>41386</v>
      </c>
      <c r="B2499" s="468">
        <v>3.5900868958743004E-2</v>
      </c>
      <c r="C2499" s="468">
        <v>4.4443425083385613E-2</v>
      </c>
      <c r="D2499" s="469">
        <v>5.1014710989066403E-2</v>
      </c>
      <c r="G2499" s="470"/>
      <c r="H2499" s="471"/>
    </row>
    <row r="2500" spans="1:8" x14ac:dyDescent="0.35">
      <c r="A2500" s="467">
        <v>41387</v>
      </c>
      <c r="B2500" s="468">
        <v>3.6128229319622784E-2</v>
      </c>
      <c r="C2500" s="468">
        <v>4.4533425849289543E-2</v>
      </c>
      <c r="D2500" s="469">
        <v>5.1103388062916366E-2</v>
      </c>
      <c r="G2500" s="470"/>
      <c r="H2500" s="471"/>
    </row>
    <row r="2501" spans="1:8" x14ac:dyDescent="0.35">
      <c r="A2501" s="467">
        <v>41388</v>
      </c>
      <c r="B2501" s="468">
        <v>3.5861388687079776E-2</v>
      </c>
      <c r="C2501" s="468">
        <v>4.4546464818599363E-2</v>
      </c>
      <c r="D2501" s="469">
        <v>5.0949195309993422E-2</v>
      </c>
      <c r="G2501" s="470"/>
      <c r="H2501" s="471"/>
    </row>
    <row r="2502" spans="1:8" x14ac:dyDescent="0.35">
      <c r="A2502" s="467">
        <v>41389</v>
      </c>
      <c r="B2502" s="468">
        <v>3.625516922411065E-2</v>
      </c>
      <c r="C2502" s="468">
        <v>4.4527973114891095E-2</v>
      </c>
      <c r="D2502" s="469">
        <v>5.0768443031572241E-2</v>
      </c>
      <c r="G2502" s="470"/>
      <c r="H2502" s="471"/>
    </row>
    <row r="2503" spans="1:8" x14ac:dyDescent="0.35">
      <c r="A2503" s="467">
        <v>41390</v>
      </c>
      <c r="B2503" s="468">
        <v>3.6213292012026388E-2</v>
      </c>
      <c r="C2503" s="468">
        <v>4.4537634110763058E-2</v>
      </c>
      <c r="D2503" s="469">
        <v>5.0692487202438796E-2</v>
      </c>
      <c r="G2503" s="470"/>
      <c r="H2503" s="471"/>
    </row>
    <row r="2504" spans="1:8" x14ac:dyDescent="0.35">
      <c r="A2504" s="467">
        <v>41393</v>
      </c>
      <c r="B2504" s="468">
        <v>3.6585678803858768E-2</v>
      </c>
      <c r="C2504" s="468">
        <v>4.4924926440560897E-2</v>
      </c>
      <c r="D2504" s="469">
        <v>5.1035803451615624E-2</v>
      </c>
      <c r="G2504" s="470"/>
      <c r="H2504" s="471"/>
    </row>
    <row r="2505" spans="1:8" x14ac:dyDescent="0.35">
      <c r="A2505" s="467">
        <v>41394</v>
      </c>
      <c r="B2505" s="468">
        <v>3.6852750180641047E-2</v>
      </c>
      <c r="C2505" s="468">
        <v>4.4943506570762182E-2</v>
      </c>
      <c r="D2505" s="469">
        <v>5.0868145997699399E-2</v>
      </c>
      <c r="G2505" s="470"/>
      <c r="H2505" s="471"/>
    </row>
    <row r="2506" spans="1:8" x14ac:dyDescent="0.35">
      <c r="A2506" s="467">
        <v>41396</v>
      </c>
      <c r="B2506" s="468">
        <v>3.6758291194534332E-2</v>
      </c>
      <c r="C2506" s="468">
        <v>4.503426922454401E-2</v>
      </c>
      <c r="D2506" s="469">
        <v>5.1139516199496526E-2</v>
      </c>
      <c r="G2506" s="470"/>
      <c r="H2506" s="471"/>
    </row>
    <row r="2507" spans="1:8" x14ac:dyDescent="0.35">
      <c r="A2507" s="467">
        <v>41397</v>
      </c>
      <c r="B2507" s="468">
        <v>3.7846258239693009E-2</v>
      </c>
      <c r="C2507" s="468">
        <v>4.5204590867884198E-2</v>
      </c>
      <c r="D2507" s="469">
        <v>5.1352367096416218E-2</v>
      </c>
      <c r="G2507" s="470"/>
      <c r="H2507" s="471"/>
    </row>
    <row r="2508" spans="1:8" x14ac:dyDescent="0.35">
      <c r="A2508" s="467">
        <v>41400</v>
      </c>
      <c r="B2508" s="468">
        <v>3.8972511983263125E-2</v>
      </c>
      <c r="C2508" s="468">
        <v>4.6087597288783755E-2</v>
      </c>
      <c r="D2508" s="469">
        <v>5.275215800689681E-2</v>
      </c>
      <c r="G2508" s="470"/>
      <c r="H2508" s="471"/>
    </row>
    <row r="2509" spans="1:8" x14ac:dyDescent="0.35">
      <c r="A2509" s="467">
        <v>41401</v>
      </c>
      <c r="B2509" s="468">
        <v>3.9509817606556696E-2</v>
      </c>
      <c r="C2509" s="468">
        <v>4.6797804740910554E-2</v>
      </c>
      <c r="D2509" s="469">
        <v>5.3347182796030124E-2</v>
      </c>
      <c r="G2509" s="470"/>
      <c r="H2509" s="471"/>
    </row>
    <row r="2510" spans="1:8" x14ac:dyDescent="0.35">
      <c r="A2510" s="467">
        <v>41402</v>
      </c>
      <c r="B2510" s="468">
        <v>3.9817665253410572E-2</v>
      </c>
      <c r="C2510" s="468">
        <v>4.643500820125035E-2</v>
      </c>
      <c r="D2510" s="469">
        <v>5.2857226002483548E-2</v>
      </c>
      <c r="G2510" s="470"/>
      <c r="H2510" s="471"/>
    </row>
    <row r="2511" spans="1:8" x14ac:dyDescent="0.35">
      <c r="A2511" s="467">
        <v>41403</v>
      </c>
      <c r="B2511" s="468">
        <v>3.932190228166732E-2</v>
      </c>
      <c r="C2511" s="468">
        <v>4.6231844575901571E-2</v>
      </c>
      <c r="D2511" s="469">
        <v>5.2556061655726793E-2</v>
      </c>
      <c r="G2511" s="470"/>
      <c r="H2511" s="471"/>
    </row>
    <row r="2512" spans="1:8" x14ac:dyDescent="0.35">
      <c r="A2512" s="467">
        <v>41404</v>
      </c>
      <c r="B2512" s="468">
        <v>3.8980145800241672E-2</v>
      </c>
      <c r="C2512" s="468">
        <v>4.6376051007672725E-2</v>
      </c>
      <c r="D2512" s="469">
        <v>5.263697161365033E-2</v>
      </c>
      <c r="G2512" s="470"/>
      <c r="H2512" s="471"/>
    </row>
    <row r="2513" spans="1:8" x14ac:dyDescent="0.35">
      <c r="A2513" s="467">
        <v>41408</v>
      </c>
      <c r="B2513" s="468">
        <v>3.8721884149564456E-2</v>
      </c>
      <c r="C2513" s="468">
        <v>4.6137652295399567E-2</v>
      </c>
      <c r="D2513" s="469">
        <v>5.2666051855753349E-2</v>
      </c>
      <c r="G2513" s="470"/>
      <c r="H2513" s="471"/>
    </row>
    <row r="2514" spans="1:8" x14ac:dyDescent="0.35">
      <c r="A2514" s="467">
        <v>41409</v>
      </c>
      <c r="B2514" s="468">
        <v>3.872215742824503E-2</v>
      </c>
      <c r="C2514" s="468">
        <v>4.618415699986711E-2</v>
      </c>
      <c r="D2514" s="469">
        <v>5.2868248411197083E-2</v>
      </c>
      <c r="G2514" s="470"/>
      <c r="H2514" s="471"/>
    </row>
    <row r="2515" spans="1:8" x14ac:dyDescent="0.35">
      <c r="A2515" s="467">
        <v>41410</v>
      </c>
      <c r="B2515" s="468">
        <v>3.8973833120931722E-2</v>
      </c>
      <c r="C2515" s="468">
        <v>4.6967884342923982E-2</v>
      </c>
      <c r="D2515" s="469">
        <v>5.3051226963181541E-2</v>
      </c>
      <c r="G2515" s="470"/>
      <c r="H2515" s="471"/>
    </row>
    <row r="2516" spans="1:8" x14ac:dyDescent="0.35">
      <c r="A2516" s="467">
        <v>41411</v>
      </c>
      <c r="B2516" s="468">
        <v>3.8774931788774225E-2</v>
      </c>
      <c r="C2516" s="468">
        <v>4.7337868884566703E-2</v>
      </c>
      <c r="D2516" s="469">
        <v>5.3246882291726694E-2</v>
      </c>
      <c r="G2516" s="470"/>
      <c r="H2516" s="471"/>
    </row>
    <row r="2517" spans="1:8" x14ac:dyDescent="0.35">
      <c r="A2517" s="467">
        <v>41414</v>
      </c>
      <c r="B2517" s="468">
        <v>3.860265641633176E-2</v>
      </c>
      <c r="C2517" s="468">
        <v>4.660096478331055E-2</v>
      </c>
      <c r="D2517" s="469">
        <v>5.2820127210779111E-2</v>
      </c>
      <c r="G2517" s="470"/>
      <c r="H2517" s="471"/>
    </row>
    <row r="2518" spans="1:8" x14ac:dyDescent="0.35">
      <c r="A2518" s="467">
        <v>41415</v>
      </c>
      <c r="B2518" s="468">
        <v>3.8700651687164633E-2</v>
      </c>
      <c r="C2518" s="468">
        <v>4.7670071354368293E-2</v>
      </c>
      <c r="D2518" s="469">
        <v>5.3437791583476724E-2</v>
      </c>
      <c r="G2518" s="470"/>
      <c r="H2518" s="471"/>
    </row>
    <row r="2519" spans="1:8" x14ac:dyDescent="0.35">
      <c r="A2519" s="467">
        <v>41416</v>
      </c>
      <c r="B2519" s="468">
        <v>3.8660929426193036E-2</v>
      </c>
      <c r="C2519" s="468">
        <v>4.7665707898702392E-2</v>
      </c>
      <c r="D2519" s="469">
        <v>5.37554514390719E-2</v>
      </c>
      <c r="G2519" s="470"/>
      <c r="H2519" s="471"/>
    </row>
    <row r="2520" spans="1:8" x14ac:dyDescent="0.35">
      <c r="A2520" s="467">
        <v>41417</v>
      </c>
      <c r="B2520" s="468">
        <v>3.8819692601512301E-2</v>
      </c>
      <c r="C2520" s="468">
        <v>4.8388868090952553E-2</v>
      </c>
      <c r="D2520" s="469">
        <v>5.4765521403238537E-2</v>
      </c>
      <c r="G2520" s="470"/>
      <c r="H2520" s="471"/>
    </row>
    <row r="2521" spans="1:8" x14ac:dyDescent="0.35">
      <c r="A2521" s="467">
        <v>41418</v>
      </c>
      <c r="B2521" s="468">
        <v>3.9041133744996959E-2</v>
      </c>
      <c r="C2521" s="468">
        <v>4.8683575574686833E-2</v>
      </c>
      <c r="D2521" s="469">
        <v>5.4781457877356221E-2</v>
      </c>
      <c r="G2521" s="470"/>
      <c r="H2521" s="471"/>
    </row>
    <row r="2522" spans="1:8" x14ac:dyDescent="0.35">
      <c r="A2522" s="467">
        <v>41421</v>
      </c>
      <c r="B2522" s="468">
        <v>4.0820096213272761E-2</v>
      </c>
      <c r="C2522" s="468">
        <v>4.9165577843130803E-2</v>
      </c>
      <c r="D2522" s="469">
        <v>5.4747471410536264E-2</v>
      </c>
      <c r="G2522" s="470"/>
      <c r="H2522" s="471"/>
    </row>
    <row r="2523" spans="1:8" x14ac:dyDescent="0.35">
      <c r="A2523" s="467">
        <v>41422</v>
      </c>
      <c r="B2523" s="468">
        <v>3.9249267177156932E-2</v>
      </c>
      <c r="C2523" s="468">
        <v>5.0564809875147443E-2</v>
      </c>
      <c r="D2523" s="469">
        <v>5.6634361438218761E-2</v>
      </c>
      <c r="G2523" s="470"/>
      <c r="H2523" s="471"/>
    </row>
    <row r="2524" spans="1:8" x14ac:dyDescent="0.35">
      <c r="A2524" s="467">
        <v>41423</v>
      </c>
      <c r="B2524" s="468">
        <v>3.9812857398151991E-2</v>
      </c>
      <c r="C2524" s="468">
        <v>5.0752500071483908E-2</v>
      </c>
      <c r="D2524" s="469">
        <v>5.8434296307128486E-2</v>
      </c>
      <c r="G2524" s="470"/>
      <c r="H2524" s="471"/>
    </row>
    <row r="2525" spans="1:8" x14ac:dyDescent="0.35">
      <c r="A2525" s="467">
        <v>41424</v>
      </c>
      <c r="B2525" s="468">
        <v>4.000743214040714E-2</v>
      </c>
      <c r="C2525" s="468">
        <v>5.3632967518197905E-2</v>
      </c>
      <c r="D2525" s="469">
        <v>6.1050982769463413E-2</v>
      </c>
      <c r="G2525" s="470"/>
      <c r="H2525" s="471"/>
    </row>
    <row r="2526" spans="1:8" x14ac:dyDescent="0.35">
      <c r="A2526" s="467">
        <v>41425</v>
      </c>
      <c r="B2526" s="468">
        <v>3.9794321997465687E-2</v>
      </c>
      <c r="C2526" s="468">
        <v>5.3115572919359533E-2</v>
      </c>
      <c r="D2526" s="469">
        <v>6.1242632717037226E-2</v>
      </c>
      <c r="G2526" s="470"/>
      <c r="H2526" s="471"/>
    </row>
    <row r="2527" spans="1:8" x14ac:dyDescent="0.35">
      <c r="A2527" s="467">
        <v>41429</v>
      </c>
      <c r="B2527" s="468">
        <v>4.0420237617906363E-2</v>
      </c>
      <c r="C2527" s="468">
        <v>5.5277211638582457E-2</v>
      </c>
      <c r="D2527" s="469">
        <v>6.1970522449231957E-2</v>
      </c>
      <c r="G2527" s="470"/>
      <c r="H2527" s="471"/>
    </row>
    <row r="2528" spans="1:8" x14ac:dyDescent="0.35">
      <c r="A2528" s="467">
        <v>41430</v>
      </c>
      <c r="B2528" s="468">
        <v>4.1056291608923878E-2</v>
      </c>
      <c r="C2528" s="468">
        <v>5.8399490246580754E-2</v>
      </c>
      <c r="D2528" s="469">
        <v>6.4622396243767977E-2</v>
      </c>
      <c r="G2528" s="470"/>
      <c r="H2528" s="471"/>
    </row>
    <row r="2529" spans="1:8" x14ac:dyDescent="0.35">
      <c r="A2529" s="467">
        <v>41431</v>
      </c>
      <c r="B2529" s="468">
        <v>4.2163657212231476E-2</v>
      </c>
      <c r="C2529" s="468">
        <v>6.0694618970406289E-2</v>
      </c>
      <c r="D2529" s="469">
        <v>6.632811066642641E-2</v>
      </c>
      <c r="G2529" s="470"/>
      <c r="H2529" s="471"/>
    </row>
    <row r="2530" spans="1:8" x14ac:dyDescent="0.35">
      <c r="A2530" s="467">
        <v>41432</v>
      </c>
      <c r="B2530" s="468">
        <v>4.1504131717514881E-2</v>
      </c>
      <c r="C2530" s="468">
        <v>5.9124178714553111E-2</v>
      </c>
      <c r="D2530" s="469">
        <v>6.608406771330344E-2</v>
      </c>
      <c r="G2530" s="470"/>
      <c r="H2530" s="471"/>
    </row>
    <row r="2531" spans="1:8" x14ac:dyDescent="0.35">
      <c r="A2531" s="467">
        <v>41436</v>
      </c>
      <c r="B2531" s="468">
        <v>4.1521407063446869E-2</v>
      </c>
      <c r="C2531" s="468">
        <v>6.0950979660977511E-2</v>
      </c>
      <c r="D2531" s="469">
        <v>6.8327990366900959E-2</v>
      </c>
      <c r="G2531" s="470"/>
      <c r="H2531" s="471"/>
    </row>
    <row r="2532" spans="1:8" x14ac:dyDescent="0.35">
      <c r="A2532" s="467">
        <v>41437</v>
      </c>
      <c r="B2532" s="468">
        <v>4.2036928095231296E-2</v>
      </c>
      <c r="C2532" s="468">
        <v>6.2169696520618212E-2</v>
      </c>
      <c r="D2532" s="469">
        <v>6.9936553868301887E-2</v>
      </c>
      <c r="G2532" s="470"/>
      <c r="H2532" s="471"/>
    </row>
    <row r="2533" spans="1:8" x14ac:dyDescent="0.35">
      <c r="A2533" s="467">
        <v>41438</v>
      </c>
      <c r="B2533" s="468">
        <v>4.2396417549894316E-2</v>
      </c>
      <c r="C2533" s="468">
        <v>6.1321522671694328E-2</v>
      </c>
      <c r="D2533" s="469">
        <v>6.8440595488939548E-2</v>
      </c>
      <c r="G2533" s="470"/>
      <c r="H2533" s="471"/>
    </row>
    <row r="2534" spans="1:8" x14ac:dyDescent="0.35">
      <c r="A2534" s="467">
        <v>41439</v>
      </c>
      <c r="B2534" s="468">
        <v>4.3052454973891985E-2</v>
      </c>
      <c r="C2534" s="468">
        <v>5.9690569150717465E-2</v>
      </c>
      <c r="D2534" s="469">
        <v>6.6838886575704803E-2</v>
      </c>
      <c r="G2534" s="470"/>
      <c r="H2534" s="471"/>
    </row>
    <row r="2535" spans="1:8" x14ac:dyDescent="0.35">
      <c r="A2535" s="467">
        <v>41442</v>
      </c>
      <c r="B2535" s="468">
        <v>4.1880801638433107E-2</v>
      </c>
      <c r="C2535" s="468">
        <v>6.0078800330419346E-2</v>
      </c>
      <c r="D2535" s="469">
        <v>6.7560847386100242E-2</v>
      </c>
      <c r="G2535" s="470"/>
      <c r="H2535" s="471"/>
    </row>
    <row r="2536" spans="1:8" x14ac:dyDescent="0.35">
      <c r="A2536" s="467">
        <v>41443</v>
      </c>
      <c r="B2536" s="468">
        <v>4.2196010230239667E-2</v>
      </c>
      <c r="C2536" s="468">
        <v>6.0712859505194006E-2</v>
      </c>
      <c r="D2536" s="469">
        <v>6.8497180570178395E-2</v>
      </c>
      <c r="G2536" s="470"/>
      <c r="H2536" s="471"/>
    </row>
    <row r="2537" spans="1:8" x14ac:dyDescent="0.35">
      <c r="A2537" s="467">
        <v>41444</v>
      </c>
      <c r="B2537" s="468">
        <v>4.2585179561502651E-2</v>
      </c>
      <c r="C2537" s="468">
        <v>6.1365864499014933E-2</v>
      </c>
      <c r="D2537" s="469">
        <v>6.8490506160467257E-2</v>
      </c>
      <c r="G2537" s="470"/>
      <c r="H2537" s="471"/>
    </row>
    <row r="2538" spans="1:8" x14ac:dyDescent="0.35">
      <c r="A2538" s="467">
        <v>41445</v>
      </c>
      <c r="B2538" s="468">
        <v>4.4279496592890766E-2</v>
      </c>
      <c r="C2538" s="468">
        <v>6.4994039737179543E-2</v>
      </c>
      <c r="D2538" s="469">
        <v>7.3110979121980391E-2</v>
      </c>
      <c r="G2538" s="470"/>
      <c r="H2538" s="471"/>
    </row>
    <row r="2539" spans="1:8" x14ac:dyDescent="0.35">
      <c r="A2539" s="467">
        <v>41446</v>
      </c>
      <c r="B2539" s="468">
        <v>4.3507438305560697E-2</v>
      </c>
      <c r="C2539" s="468">
        <v>6.6226774456569881E-2</v>
      </c>
      <c r="D2539" s="469">
        <v>7.4570774534055806E-2</v>
      </c>
      <c r="G2539" s="470"/>
      <c r="H2539" s="471"/>
    </row>
    <row r="2540" spans="1:8" x14ac:dyDescent="0.35">
      <c r="A2540" s="467">
        <v>41449</v>
      </c>
      <c r="B2540" s="468">
        <v>4.5225118153925603E-2</v>
      </c>
      <c r="C2540" s="468">
        <v>7.0555350105218295E-2</v>
      </c>
      <c r="D2540" s="469">
        <v>7.7379959744571236E-2</v>
      </c>
      <c r="G2540" s="470"/>
      <c r="H2540" s="471"/>
    </row>
    <row r="2541" spans="1:8" x14ac:dyDescent="0.35">
      <c r="A2541" s="467">
        <v>41450</v>
      </c>
      <c r="B2541" s="468">
        <v>4.4226718293722378E-2</v>
      </c>
      <c r="C2541" s="468">
        <v>6.9377157426013136E-2</v>
      </c>
      <c r="D2541" s="469">
        <v>7.6098886855393566E-2</v>
      </c>
      <c r="G2541" s="470"/>
      <c r="H2541" s="471"/>
    </row>
    <row r="2542" spans="1:8" x14ac:dyDescent="0.35">
      <c r="A2542" s="467">
        <v>41451</v>
      </c>
      <c r="B2542" s="468">
        <v>4.4513202340447533E-2</v>
      </c>
      <c r="C2542" s="468">
        <v>6.6958651270514924E-2</v>
      </c>
      <c r="D2542" s="469">
        <v>7.3479700202446541E-2</v>
      </c>
      <c r="G2542" s="470"/>
      <c r="H2542" s="471"/>
    </row>
    <row r="2543" spans="1:8" x14ac:dyDescent="0.35">
      <c r="A2543" s="467">
        <v>41452</v>
      </c>
      <c r="B2543" s="468">
        <v>4.3797937320729563E-2</v>
      </c>
      <c r="C2543" s="468">
        <v>6.4594622044690242E-2</v>
      </c>
      <c r="D2543" s="469">
        <v>7.1907207112083205E-2</v>
      </c>
      <c r="G2543" s="470"/>
      <c r="H2543" s="471"/>
    </row>
    <row r="2544" spans="1:8" x14ac:dyDescent="0.35">
      <c r="A2544" s="467">
        <v>41453</v>
      </c>
      <c r="B2544" s="468">
        <v>4.3274561016219737E-2</v>
      </c>
      <c r="C2544" s="468">
        <v>6.3906111591869985E-2</v>
      </c>
      <c r="D2544" s="469">
        <v>7.1296266875681136E-2</v>
      </c>
      <c r="G2544" s="470"/>
      <c r="H2544" s="471"/>
    </row>
    <row r="2545" spans="1:8" x14ac:dyDescent="0.35">
      <c r="A2545" s="467">
        <v>41457</v>
      </c>
      <c r="B2545" s="468">
        <v>4.3949075465691267E-2</v>
      </c>
      <c r="C2545" s="468">
        <v>6.3928991624304876E-2</v>
      </c>
      <c r="D2545" s="469">
        <v>7.3014348023197062E-2</v>
      </c>
      <c r="G2545" s="470"/>
      <c r="H2545" s="471"/>
    </row>
    <row r="2546" spans="1:8" x14ac:dyDescent="0.35">
      <c r="A2546" s="467">
        <v>41458</v>
      </c>
      <c r="B2546" s="468">
        <v>4.3510683106152914E-2</v>
      </c>
      <c r="C2546" s="468">
        <v>6.4479121822809571E-2</v>
      </c>
      <c r="D2546" s="469">
        <v>7.2369745302330646E-2</v>
      </c>
      <c r="G2546" s="470"/>
      <c r="H2546" s="471"/>
    </row>
    <row r="2547" spans="1:8" x14ac:dyDescent="0.35">
      <c r="A2547" s="467">
        <v>41459</v>
      </c>
      <c r="B2547" s="468">
        <v>4.4054745246396187E-2</v>
      </c>
      <c r="C2547" s="468">
        <v>6.4283340548511925E-2</v>
      </c>
      <c r="D2547" s="469">
        <v>7.2301895286445594E-2</v>
      </c>
      <c r="G2547" s="470"/>
      <c r="H2547" s="471"/>
    </row>
    <row r="2548" spans="1:8" x14ac:dyDescent="0.35">
      <c r="A2548" s="467">
        <v>41460</v>
      </c>
      <c r="B2548" s="468">
        <v>4.429919946935601E-2</v>
      </c>
      <c r="C2548" s="468">
        <v>6.5320729880414596E-2</v>
      </c>
      <c r="D2548" s="469">
        <v>7.3924596618133886E-2</v>
      </c>
      <c r="G2548" s="470"/>
      <c r="H2548" s="471"/>
    </row>
    <row r="2549" spans="1:8" x14ac:dyDescent="0.35">
      <c r="A2549" s="467">
        <v>41463</v>
      </c>
      <c r="B2549" s="468">
        <v>4.2209483745767606E-2</v>
      </c>
      <c r="C2549" s="468">
        <v>6.5357201027645306E-2</v>
      </c>
      <c r="D2549" s="469">
        <v>7.320321545459274E-2</v>
      </c>
      <c r="G2549" s="470"/>
      <c r="H2549" s="471"/>
    </row>
    <row r="2550" spans="1:8" x14ac:dyDescent="0.35">
      <c r="A2550" s="467">
        <v>41464</v>
      </c>
      <c r="B2550" s="468">
        <v>4.3357914794911689E-2</v>
      </c>
      <c r="C2550" s="468">
        <v>6.3825965309477484E-2</v>
      </c>
      <c r="D2550" s="469">
        <v>7.2482393626876584E-2</v>
      </c>
      <c r="G2550" s="470"/>
      <c r="H2550" s="471"/>
    </row>
    <row r="2551" spans="1:8" x14ac:dyDescent="0.35">
      <c r="A2551" s="467">
        <v>41465</v>
      </c>
      <c r="B2551" s="468">
        <v>4.3404665953035826E-2</v>
      </c>
      <c r="C2551" s="468">
        <v>6.3603150225746585E-2</v>
      </c>
      <c r="D2551" s="469">
        <v>7.2501474581756931E-2</v>
      </c>
      <c r="G2551" s="470"/>
      <c r="H2551" s="471"/>
    </row>
    <row r="2552" spans="1:8" x14ac:dyDescent="0.35">
      <c r="A2552" s="467">
        <v>41466</v>
      </c>
      <c r="B2552" s="468">
        <v>4.0843071568527956E-2</v>
      </c>
      <c r="C2552" s="468">
        <v>6.2152714868481063E-2</v>
      </c>
      <c r="D2552" s="469">
        <v>6.9566872616177333E-2</v>
      </c>
      <c r="G2552" s="470"/>
      <c r="H2552" s="471"/>
    </row>
    <row r="2553" spans="1:8" x14ac:dyDescent="0.35">
      <c r="A2553" s="467">
        <v>41467</v>
      </c>
      <c r="B2553" s="468">
        <v>4.0622319625893466E-2</v>
      </c>
      <c r="C2553" s="468">
        <v>6.202423759149811E-2</v>
      </c>
      <c r="D2553" s="469">
        <v>6.8340851397256097E-2</v>
      </c>
      <c r="G2553" s="470"/>
      <c r="H2553" s="471"/>
    </row>
    <row r="2554" spans="1:8" x14ac:dyDescent="0.35">
      <c r="A2554" s="467">
        <v>41470</v>
      </c>
      <c r="B2554" s="468">
        <v>4.1601177478841178E-2</v>
      </c>
      <c r="C2554" s="468">
        <v>6.1375757709001055E-2</v>
      </c>
      <c r="D2554" s="469">
        <v>6.9000625732113408E-2</v>
      </c>
      <c r="G2554" s="470"/>
      <c r="H2554" s="471"/>
    </row>
    <row r="2555" spans="1:8" x14ac:dyDescent="0.35">
      <c r="A2555" s="467">
        <v>41471</v>
      </c>
      <c r="B2555" s="468">
        <v>4.1083528372794387E-2</v>
      </c>
      <c r="C2555" s="468">
        <v>6.1755323748494906E-2</v>
      </c>
      <c r="D2555" s="469">
        <v>6.9390809981301205E-2</v>
      </c>
      <c r="G2555" s="470"/>
      <c r="H2555" s="471"/>
    </row>
    <row r="2556" spans="1:8" x14ac:dyDescent="0.35">
      <c r="A2556" s="467">
        <v>41472</v>
      </c>
      <c r="B2556" s="468">
        <v>4.1660941042618083E-2</v>
      </c>
      <c r="C2556" s="468">
        <v>6.1373981177913484E-2</v>
      </c>
      <c r="D2556" s="469">
        <v>6.8559920652107254E-2</v>
      </c>
      <c r="G2556" s="470"/>
      <c r="H2556" s="471"/>
    </row>
    <row r="2557" spans="1:8" x14ac:dyDescent="0.35">
      <c r="A2557" s="467">
        <v>41473</v>
      </c>
      <c r="B2557" s="468">
        <v>4.3454671768605513E-2</v>
      </c>
      <c r="C2557" s="468">
        <v>6.1797299071246092E-2</v>
      </c>
      <c r="D2557" s="469">
        <v>6.9644511536770537E-2</v>
      </c>
      <c r="G2557" s="470"/>
      <c r="H2557" s="471"/>
    </row>
    <row r="2558" spans="1:8" x14ac:dyDescent="0.35">
      <c r="A2558" s="467">
        <v>41474</v>
      </c>
      <c r="B2558" s="468">
        <v>4.3480944631212548E-2</v>
      </c>
      <c r="C2558" s="468">
        <v>6.3575580308551816E-2</v>
      </c>
      <c r="D2558" s="469">
        <v>7.1288710774902064E-2</v>
      </c>
      <c r="G2558" s="470"/>
      <c r="H2558" s="471"/>
    </row>
    <row r="2559" spans="1:8" x14ac:dyDescent="0.35">
      <c r="A2559" s="467">
        <v>41477</v>
      </c>
      <c r="B2559" s="468">
        <v>4.3420154173362313E-2</v>
      </c>
      <c r="C2559" s="468">
        <v>6.0644941086560156E-2</v>
      </c>
      <c r="D2559" s="469">
        <v>6.9434509446014703E-2</v>
      </c>
      <c r="G2559" s="470"/>
      <c r="H2559" s="471"/>
    </row>
    <row r="2560" spans="1:8" x14ac:dyDescent="0.35">
      <c r="A2560" s="467">
        <v>41478</v>
      </c>
      <c r="B2560" s="468">
        <v>4.2468096341289563E-2</v>
      </c>
      <c r="C2560" s="468">
        <v>6.1430981777393701E-2</v>
      </c>
      <c r="D2560" s="469">
        <v>6.9263974699876885E-2</v>
      </c>
      <c r="G2560" s="470"/>
      <c r="H2560" s="471"/>
    </row>
    <row r="2561" spans="1:8" x14ac:dyDescent="0.35">
      <c r="A2561" s="467">
        <v>41479</v>
      </c>
      <c r="B2561" s="468">
        <v>4.2136266794023935E-2</v>
      </c>
      <c r="C2561" s="468">
        <v>6.388964431363342E-2</v>
      </c>
      <c r="D2561" s="469">
        <v>7.1947396013009701E-2</v>
      </c>
      <c r="G2561" s="470"/>
      <c r="H2561" s="471"/>
    </row>
    <row r="2562" spans="1:8" x14ac:dyDescent="0.35">
      <c r="A2562" s="467">
        <v>41480</v>
      </c>
      <c r="B2562" s="468">
        <v>4.3510271995846894E-2</v>
      </c>
      <c r="C2562" s="468">
        <v>6.4087407178719191E-2</v>
      </c>
      <c r="D2562" s="469">
        <v>7.2688839074179112E-2</v>
      </c>
      <c r="G2562" s="470"/>
      <c r="H2562" s="471"/>
    </row>
    <row r="2563" spans="1:8" x14ac:dyDescent="0.35">
      <c r="A2563" s="467">
        <v>41481</v>
      </c>
      <c r="B2563" s="468">
        <v>4.3533647378043439E-2</v>
      </c>
      <c r="C2563" s="468">
        <v>6.3821718667884442E-2</v>
      </c>
      <c r="D2563" s="469">
        <v>7.2730286331564864E-2</v>
      </c>
      <c r="G2563" s="470"/>
      <c r="H2563" s="471"/>
    </row>
    <row r="2564" spans="1:8" x14ac:dyDescent="0.35">
      <c r="A2564" s="467">
        <v>41484</v>
      </c>
      <c r="B2564" s="468">
        <v>4.1345496480917898E-2</v>
      </c>
      <c r="C2564" s="468">
        <v>6.4756638284060752E-2</v>
      </c>
      <c r="D2564" s="469">
        <v>7.3175415557622747E-2</v>
      </c>
      <c r="G2564" s="470"/>
      <c r="H2564" s="471"/>
    </row>
    <row r="2565" spans="1:8" x14ac:dyDescent="0.35">
      <c r="A2565" s="467">
        <v>41485</v>
      </c>
      <c r="B2565" s="468">
        <v>4.2130154073312998E-2</v>
      </c>
      <c r="C2565" s="468">
        <v>6.4815330622327583E-2</v>
      </c>
      <c r="D2565" s="469">
        <v>7.3597108286411972E-2</v>
      </c>
      <c r="G2565" s="470"/>
      <c r="H2565" s="471"/>
    </row>
    <row r="2566" spans="1:8" x14ac:dyDescent="0.35">
      <c r="A2566" s="467">
        <v>41486</v>
      </c>
      <c r="B2566" s="468">
        <v>4.1958453594436174E-2</v>
      </c>
      <c r="C2566" s="468">
        <v>6.5621946567186118E-2</v>
      </c>
      <c r="D2566" s="469">
        <v>7.5016443912266473E-2</v>
      </c>
      <c r="G2566" s="470"/>
      <c r="H2566" s="471"/>
    </row>
    <row r="2567" spans="1:8" x14ac:dyDescent="0.35">
      <c r="A2567" s="467">
        <v>41487</v>
      </c>
      <c r="B2567" s="468">
        <v>4.329995921702956E-2</v>
      </c>
      <c r="C2567" s="468">
        <v>6.4749616257321785E-2</v>
      </c>
      <c r="D2567" s="469">
        <v>7.4346497414363721E-2</v>
      </c>
      <c r="G2567" s="470"/>
      <c r="H2567" s="471"/>
    </row>
    <row r="2568" spans="1:8" x14ac:dyDescent="0.35">
      <c r="A2568" s="467">
        <v>41488</v>
      </c>
      <c r="B2568" s="468">
        <v>4.2074894117521744E-2</v>
      </c>
      <c r="C2568" s="468">
        <v>6.4369203032330624E-2</v>
      </c>
      <c r="D2568" s="469">
        <v>7.2980070370312955E-2</v>
      </c>
      <c r="G2568" s="470"/>
      <c r="H2568" s="471"/>
    </row>
    <row r="2569" spans="1:8" x14ac:dyDescent="0.35">
      <c r="A2569" s="467">
        <v>41491</v>
      </c>
      <c r="B2569" s="468">
        <v>4.3031056711025473E-2</v>
      </c>
      <c r="C2569" s="468">
        <v>6.2434963503311236E-2</v>
      </c>
      <c r="D2569" s="469">
        <v>7.2842336185414247E-2</v>
      </c>
      <c r="G2569" s="470"/>
      <c r="H2569" s="471"/>
    </row>
    <row r="2570" spans="1:8" x14ac:dyDescent="0.35">
      <c r="A2570" s="467">
        <v>41492</v>
      </c>
      <c r="B2570" s="468">
        <v>4.1255538075974041E-2</v>
      </c>
      <c r="C2570" s="468">
        <v>6.3502165929033794E-2</v>
      </c>
      <c r="D2570" s="469">
        <v>7.3193608415895728E-2</v>
      </c>
      <c r="G2570" s="470"/>
      <c r="H2570" s="471"/>
    </row>
    <row r="2571" spans="1:8" x14ac:dyDescent="0.35">
      <c r="A2571" s="467">
        <v>41494</v>
      </c>
      <c r="B2571" s="468">
        <v>4.335043133665617E-2</v>
      </c>
      <c r="C2571" s="468">
        <v>6.2150148761462409E-2</v>
      </c>
      <c r="D2571" s="469">
        <v>7.2807245599959547E-2</v>
      </c>
      <c r="G2571" s="470"/>
      <c r="H2571" s="471"/>
    </row>
    <row r="2572" spans="1:8" x14ac:dyDescent="0.35">
      <c r="A2572" s="467">
        <v>41495</v>
      </c>
      <c r="B2572" s="468">
        <v>4.3032004786354827E-2</v>
      </c>
      <c r="C2572" s="468">
        <v>6.1507569224621195E-2</v>
      </c>
      <c r="D2572" s="469">
        <v>7.2850153646451199E-2</v>
      </c>
      <c r="G2572" s="470"/>
      <c r="H2572" s="471"/>
    </row>
    <row r="2573" spans="1:8" x14ac:dyDescent="0.35">
      <c r="A2573" s="467">
        <v>41498</v>
      </c>
      <c r="B2573" s="468">
        <v>4.3471260586293026E-2</v>
      </c>
      <c r="C2573" s="468">
        <v>6.2207685262671175E-2</v>
      </c>
      <c r="D2573" s="469">
        <v>7.4062497321357945E-2</v>
      </c>
      <c r="G2573" s="470"/>
      <c r="H2573" s="471"/>
    </row>
    <row r="2574" spans="1:8" x14ac:dyDescent="0.35">
      <c r="A2574" s="467">
        <v>41499</v>
      </c>
      <c r="B2574" s="468">
        <v>4.3448429820388546E-2</v>
      </c>
      <c r="C2574" s="468">
        <v>6.4594545868922326E-2</v>
      </c>
      <c r="D2574" s="469">
        <v>7.5348856024419097E-2</v>
      </c>
      <c r="G2574" s="470"/>
      <c r="H2574" s="471"/>
    </row>
    <row r="2575" spans="1:8" x14ac:dyDescent="0.35">
      <c r="A2575" s="467">
        <v>41500</v>
      </c>
      <c r="B2575" s="468">
        <v>4.4230996827670621E-2</v>
      </c>
      <c r="C2575" s="468">
        <v>6.4618093315067515E-2</v>
      </c>
      <c r="D2575" s="469">
        <v>7.5607964045183662E-2</v>
      </c>
      <c r="G2575" s="470"/>
      <c r="H2575" s="471"/>
    </row>
    <row r="2576" spans="1:8" x14ac:dyDescent="0.35">
      <c r="A2576" s="467">
        <v>41501</v>
      </c>
      <c r="B2576" s="468">
        <v>4.4878386938405734E-2</v>
      </c>
      <c r="C2576" s="468">
        <v>6.5128562623255393E-2</v>
      </c>
      <c r="D2576" s="469">
        <v>7.7060564107329421E-2</v>
      </c>
      <c r="G2576" s="470"/>
      <c r="H2576" s="471"/>
    </row>
    <row r="2577" spans="1:8" x14ac:dyDescent="0.35">
      <c r="A2577" s="467">
        <v>41502</v>
      </c>
      <c r="B2577" s="468">
        <v>4.4903048245141575E-2</v>
      </c>
      <c r="C2577" s="468">
        <v>6.619250154195444E-2</v>
      </c>
      <c r="D2577" s="469">
        <v>7.79245687014396E-2</v>
      </c>
      <c r="G2577" s="470"/>
      <c r="H2577" s="471"/>
    </row>
    <row r="2578" spans="1:8" x14ac:dyDescent="0.35">
      <c r="A2578" s="467">
        <v>41506</v>
      </c>
      <c r="B2578" s="468">
        <v>4.4839190928859241E-2</v>
      </c>
      <c r="C2578" s="468">
        <v>6.6462239427802494E-2</v>
      </c>
      <c r="D2578" s="469">
        <v>7.7697974081839538E-2</v>
      </c>
      <c r="G2578" s="470"/>
      <c r="H2578" s="471"/>
    </row>
    <row r="2579" spans="1:8" x14ac:dyDescent="0.35">
      <c r="A2579" s="467">
        <v>41507</v>
      </c>
      <c r="B2579" s="468">
        <v>4.5703890976686923E-2</v>
      </c>
      <c r="C2579" s="468">
        <v>6.7063619088774784E-2</v>
      </c>
      <c r="D2579" s="469">
        <v>7.8826222995584727E-2</v>
      </c>
      <c r="G2579" s="470"/>
      <c r="H2579" s="471"/>
    </row>
    <row r="2580" spans="1:8" x14ac:dyDescent="0.35">
      <c r="A2580" s="467">
        <v>41508</v>
      </c>
      <c r="B2580" s="468">
        <v>4.61833389754982E-2</v>
      </c>
      <c r="C2580" s="468">
        <v>6.6788396406636474E-2</v>
      </c>
      <c r="D2580" s="469">
        <v>7.6765622390079225E-2</v>
      </c>
      <c r="G2580" s="470"/>
      <c r="H2580" s="471"/>
    </row>
    <row r="2581" spans="1:8" x14ac:dyDescent="0.35">
      <c r="A2581" s="467">
        <v>41509</v>
      </c>
      <c r="B2581" s="468">
        <v>4.484534200082102E-2</v>
      </c>
      <c r="C2581" s="468">
        <v>6.6517702729785633E-2</v>
      </c>
      <c r="D2581" s="469">
        <v>7.6700414806969874E-2</v>
      </c>
      <c r="G2581" s="470"/>
      <c r="H2581" s="471"/>
    </row>
    <row r="2582" spans="1:8" x14ac:dyDescent="0.35">
      <c r="A2582" s="467">
        <v>41512</v>
      </c>
      <c r="B2582" s="468">
        <v>4.4632456554558164E-2</v>
      </c>
      <c r="C2582" s="468">
        <v>6.6436406084134925E-2</v>
      </c>
      <c r="D2582" s="469">
        <v>7.6713838932494172E-2</v>
      </c>
      <c r="G2582" s="470"/>
      <c r="H2582" s="471"/>
    </row>
    <row r="2583" spans="1:8" x14ac:dyDescent="0.35">
      <c r="A2583" s="467">
        <v>41513</v>
      </c>
      <c r="B2583" s="468">
        <v>4.5114368231441881E-2</v>
      </c>
      <c r="C2583" s="468">
        <v>6.8169688322947453E-2</v>
      </c>
      <c r="D2583" s="469">
        <v>7.7388579339330299E-2</v>
      </c>
      <c r="G2583" s="470"/>
      <c r="H2583" s="471"/>
    </row>
    <row r="2584" spans="1:8" x14ac:dyDescent="0.35">
      <c r="A2584" s="467">
        <v>41514</v>
      </c>
      <c r="B2584" s="468">
        <v>4.523451854404259E-2</v>
      </c>
      <c r="C2584" s="468">
        <v>6.7610834046566204E-2</v>
      </c>
      <c r="D2584" s="469">
        <v>7.7392011245250192E-2</v>
      </c>
      <c r="G2584" s="470"/>
      <c r="H2584" s="471"/>
    </row>
    <row r="2585" spans="1:8" x14ac:dyDescent="0.35">
      <c r="A2585" s="467">
        <v>41515</v>
      </c>
      <c r="B2585" s="468">
        <v>4.5622297770721909E-2</v>
      </c>
      <c r="C2585" s="468">
        <v>6.7675531518541554E-2</v>
      </c>
      <c r="D2585" s="469">
        <v>7.7610394920213377E-2</v>
      </c>
      <c r="G2585" s="470"/>
      <c r="H2585" s="471"/>
    </row>
    <row r="2586" spans="1:8" x14ac:dyDescent="0.35">
      <c r="A2586" s="467">
        <v>41516</v>
      </c>
      <c r="B2586" s="468">
        <v>4.5491756173607456E-2</v>
      </c>
      <c r="C2586" s="468">
        <v>6.7947996903687136E-2</v>
      </c>
      <c r="D2586" s="469">
        <v>7.7586405115293688E-2</v>
      </c>
      <c r="G2586" s="470"/>
      <c r="H2586" s="471"/>
    </row>
    <row r="2587" spans="1:8" x14ac:dyDescent="0.35">
      <c r="A2587" s="467">
        <v>41519</v>
      </c>
      <c r="B2587" s="468">
        <v>4.424425875971405E-2</v>
      </c>
      <c r="C2587" s="468">
        <v>6.7645944979410455E-2</v>
      </c>
      <c r="D2587" s="469">
        <v>7.7198972269071353E-2</v>
      </c>
      <c r="G2587" s="470"/>
      <c r="H2587" s="471"/>
    </row>
    <row r="2588" spans="1:8" x14ac:dyDescent="0.35">
      <c r="A2588" s="467">
        <v>41520</v>
      </c>
      <c r="B2588" s="468">
        <v>4.3878868904086543E-2</v>
      </c>
      <c r="C2588" s="468">
        <v>6.8394843815336115E-2</v>
      </c>
      <c r="D2588" s="469">
        <v>7.8231352776338747E-2</v>
      </c>
      <c r="G2588" s="470"/>
      <c r="H2588" s="471"/>
    </row>
    <row r="2589" spans="1:8" x14ac:dyDescent="0.35">
      <c r="A2589" s="467">
        <v>41521</v>
      </c>
      <c r="B2589" s="468">
        <v>4.2824855239704585E-2</v>
      </c>
      <c r="C2589" s="468">
        <v>6.8611907599527733E-2</v>
      </c>
      <c r="D2589" s="469">
        <v>7.8541934980117301E-2</v>
      </c>
      <c r="G2589" s="470"/>
      <c r="H2589" s="471"/>
    </row>
    <row r="2590" spans="1:8" x14ac:dyDescent="0.35">
      <c r="A2590" s="467">
        <v>41522</v>
      </c>
      <c r="B2590" s="468">
        <v>4.361362408228886E-2</v>
      </c>
      <c r="C2590" s="468">
        <v>6.8173651064886709E-2</v>
      </c>
      <c r="D2590" s="469">
        <v>7.8832465431777132E-2</v>
      </c>
      <c r="G2590" s="470"/>
      <c r="H2590" s="471"/>
    </row>
    <row r="2591" spans="1:8" x14ac:dyDescent="0.35">
      <c r="A2591" s="467">
        <v>41523</v>
      </c>
      <c r="B2591" s="468">
        <v>4.2680710667234001E-2</v>
      </c>
      <c r="C2591" s="468">
        <v>6.7305592203349196E-2</v>
      </c>
      <c r="D2591" s="469">
        <v>7.8121097126656824E-2</v>
      </c>
      <c r="G2591" s="470"/>
      <c r="H2591" s="471"/>
    </row>
    <row r="2592" spans="1:8" x14ac:dyDescent="0.35">
      <c r="A2592" s="467">
        <v>41526</v>
      </c>
      <c r="B2592" s="468">
        <v>4.1686792526674177E-2</v>
      </c>
      <c r="C2592" s="468">
        <v>6.7750897627935958E-2</v>
      </c>
      <c r="D2592" s="469">
        <v>7.7865818736786219E-2</v>
      </c>
      <c r="G2592" s="470"/>
      <c r="H2592" s="471"/>
    </row>
    <row r="2593" spans="1:8" x14ac:dyDescent="0.35">
      <c r="A2593" s="467">
        <v>41527</v>
      </c>
      <c r="B2593" s="468">
        <v>4.2522244263358822E-2</v>
      </c>
      <c r="C2593" s="468">
        <v>6.6377843312602547E-2</v>
      </c>
      <c r="D2593" s="469">
        <v>7.7340473273264543E-2</v>
      </c>
      <c r="G2593" s="470"/>
      <c r="H2593" s="471"/>
    </row>
    <row r="2594" spans="1:8" x14ac:dyDescent="0.35">
      <c r="A2594" s="467">
        <v>41528</v>
      </c>
      <c r="B2594" s="468">
        <v>4.5184751398021472E-2</v>
      </c>
      <c r="C2594" s="468">
        <v>6.5588029709820583E-2</v>
      </c>
      <c r="D2594" s="469">
        <v>7.5175645889668186E-2</v>
      </c>
      <c r="G2594" s="470"/>
      <c r="H2594" s="471"/>
    </row>
    <row r="2595" spans="1:8" x14ac:dyDescent="0.35">
      <c r="A2595" s="467">
        <v>41529</v>
      </c>
      <c r="B2595" s="468">
        <v>4.168737087660257E-2</v>
      </c>
      <c r="C2595" s="468">
        <v>6.446268504666941E-2</v>
      </c>
      <c r="D2595" s="469">
        <v>7.4933799503567045E-2</v>
      </c>
      <c r="G2595" s="470"/>
      <c r="H2595" s="471"/>
    </row>
    <row r="2596" spans="1:8" x14ac:dyDescent="0.35">
      <c r="A2596" s="467">
        <v>41530</v>
      </c>
      <c r="B2596" s="468">
        <v>4.0440211320390773E-2</v>
      </c>
      <c r="C2596" s="468">
        <v>6.435291784787589E-2</v>
      </c>
      <c r="D2596" s="469">
        <v>7.3865402752704812E-2</v>
      </c>
      <c r="G2596" s="470"/>
      <c r="H2596" s="471"/>
    </row>
    <row r="2597" spans="1:8" x14ac:dyDescent="0.35">
      <c r="A2597" s="467">
        <v>41533</v>
      </c>
      <c r="B2597" s="468">
        <v>4.0739486064482744E-2</v>
      </c>
      <c r="C2597" s="468">
        <v>6.3443878445749613E-2</v>
      </c>
      <c r="D2597" s="469">
        <v>7.4607192385456989E-2</v>
      </c>
      <c r="G2597" s="470"/>
      <c r="H2597" s="471"/>
    </row>
    <row r="2598" spans="1:8" x14ac:dyDescent="0.35">
      <c r="A2598" s="467">
        <v>41534</v>
      </c>
      <c r="B2598" s="468">
        <v>4.1987682379797553E-2</v>
      </c>
      <c r="C2598" s="468">
        <v>6.5327389460855034E-2</v>
      </c>
      <c r="D2598" s="469">
        <v>7.4987209446920833E-2</v>
      </c>
      <c r="G2598" s="470"/>
      <c r="H2598" s="471"/>
    </row>
    <row r="2599" spans="1:8" x14ac:dyDescent="0.35">
      <c r="A2599" s="467">
        <v>41535</v>
      </c>
      <c r="B2599" s="468">
        <v>4.2122317065055759E-2</v>
      </c>
      <c r="C2599" s="468">
        <v>6.5829973860102253E-2</v>
      </c>
      <c r="D2599" s="469">
        <v>7.522114505397326E-2</v>
      </c>
      <c r="G2599" s="470"/>
      <c r="H2599" s="471"/>
    </row>
    <row r="2600" spans="1:8" x14ac:dyDescent="0.35">
      <c r="A2600" s="467">
        <v>41536</v>
      </c>
      <c r="B2600" s="468">
        <v>4.1714302205478448E-2</v>
      </c>
      <c r="C2600" s="468">
        <v>6.4450727144977238E-2</v>
      </c>
      <c r="D2600" s="469">
        <v>7.3352063382318589E-2</v>
      </c>
      <c r="G2600" s="470"/>
      <c r="H2600" s="471"/>
    </row>
    <row r="2601" spans="1:8" x14ac:dyDescent="0.35">
      <c r="A2601" s="467">
        <v>41537</v>
      </c>
      <c r="B2601" s="468">
        <v>4.1291583623698225E-2</v>
      </c>
      <c r="C2601" s="468">
        <v>6.4103053236893581E-2</v>
      </c>
      <c r="D2601" s="469">
        <v>7.2695658663070928E-2</v>
      </c>
      <c r="G2601" s="470"/>
      <c r="H2601" s="471"/>
    </row>
    <row r="2602" spans="1:8" x14ac:dyDescent="0.35">
      <c r="A2602" s="467">
        <v>41540</v>
      </c>
      <c r="B2602" s="468">
        <v>4.3286938705326961E-2</v>
      </c>
      <c r="C2602" s="468">
        <v>6.3799680498825007E-2</v>
      </c>
      <c r="D2602" s="469">
        <v>7.3722337531483939E-2</v>
      </c>
      <c r="G2602" s="470"/>
      <c r="H2602" s="471"/>
    </row>
    <row r="2603" spans="1:8" x14ac:dyDescent="0.35">
      <c r="A2603" s="467">
        <v>41541</v>
      </c>
      <c r="B2603" s="468">
        <v>4.3199146992345394E-2</v>
      </c>
      <c r="C2603" s="468">
        <v>6.4193020003998402E-2</v>
      </c>
      <c r="D2603" s="469">
        <v>7.3397968242606471E-2</v>
      </c>
      <c r="G2603" s="470"/>
      <c r="H2603" s="471"/>
    </row>
    <row r="2604" spans="1:8" x14ac:dyDescent="0.35">
      <c r="A2604" s="467">
        <v>41542</v>
      </c>
      <c r="B2604" s="468">
        <v>4.3105408938072243E-2</v>
      </c>
      <c r="C2604" s="468">
        <v>6.386422267102021E-2</v>
      </c>
      <c r="D2604" s="469">
        <v>7.2823889137913156E-2</v>
      </c>
      <c r="G2604" s="470"/>
      <c r="H2604" s="471"/>
    </row>
    <row r="2605" spans="1:8" x14ac:dyDescent="0.35">
      <c r="A2605" s="467">
        <v>41543</v>
      </c>
      <c r="B2605" s="468">
        <v>4.2783635632114958E-2</v>
      </c>
      <c r="C2605" s="468">
        <v>6.3775123839875603E-2</v>
      </c>
      <c r="D2605" s="469">
        <v>7.2780757728864831E-2</v>
      </c>
      <c r="G2605" s="470"/>
      <c r="H2605" s="471"/>
    </row>
    <row r="2606" spans="1:8" x14ac:dyDescent="0.35">
      <c r="A2606" s="467">
        <v>41544</v>
      </c>
      <c r="B2606" s="468">
        <v>4.1898661771511136E-2</v>
      </c>
      <c r="C2606" s="468">
        <v>6.1279698158464679E-2</v>
      </c>
      <c r="D2606" s="469">
        <v>7.1923576104302667E-2</v>
      </c>
      <c r="G2606" s="470"/>
      <c r="H2606" s="471"/>
    </row>
    <row r="2607" spans="1:8" x14ac:dyDescent="0.35">
      <c r="A2607" s="467">
        <v>41547</v>
      </c>
      <c r="B2607" s="468">
        <v>4.2559916323964053E-2</v>
      </c>
      <c r="C2607" s="468">
        <v>6.4336057384850598E-2</v>
      </c>
      <c r="D2607" s="469">
        <v>7.321370567682739E-2</v>
      </c>
      <c r="G2607" s="470"/>
      <c r="H2607" s="471"/>
    </row>
    <row r="2608" spans="1:8" x14ac:dyDescent="0.35">
      <c r="A2608" s="467">
        <v>41548</v>
      </c>
      <c r="B2608" s="468">
        <v>4.2725541063211026E-2</v>
      </c>
      <c r="C2608" s="468">
        <v>6.4968608291519736E-2</v>
      </c>
      <c r="D2608" s="469">
        <v>7.4129079983660029E-2</v>
      </c>
      <c r="G2608" s="470"/>
      <c r="H2608" s="471"/>
    </row>
    <row r="2609" spans="1:8" x14ac:dyDescent="0.35">
      <c r="A2609" s="467">
        <v>41549</v>
      </c>
      <c r="B2609" s="468">
        <v>4.2663954039047658E-2</v>
      </c>
      <c r="C2609" s="468">
        <v>6.4693310945949545E-2</v>
      </c>
      <c r="D2609" s="469">
        <v>7.3688328598388919E-2</v>
      </c>
      <c r="G2609" s="470"/>
      <c r="H2609" s="471"/>
    </row>
    <row r="2610" spans="1:8" x14ac:dyDescent="0.35">
      <c r="A2610" s="467">
        <v>41550</v>
      </c>
      <c r="B2610" s="468">
        <v>4.2517036090257143E-2</v>
      </c>
      <c r="C2610" s="468">
        <v>6.4948079240244372E-2</v>
      </c>
      <c r="D2610" s="469">
        <v>7.4052202364041531E-2</v>
      </c>
      <c r="G2610" s="470"/>
      <c r="H2610" s="471"/>
    </row>
    <row r="2611" spans="1:8" x14ac:dyDescent="0.35">
      <c r="A2611" s="467">
        <v>41551</v>
      </c>
      <c r="B2611" s="468">
        <v>4.2153052194833673E-2</v>
      </c>
      <c r="C2611" s="468">
        <v>6.4329619099193325E-2</v>
      </c>
      <c r="D2611" s="469">
        <v>7.3515842160047473E-2</v>
      </c>
      <c r="G2611" s="470"/>
      <c r="H2611" s="471"/>
    </row>
    <row r="2612" spans="1:8" x14ac:dyDescent="0.35">
      <c r="A2612" s="467">
        <v>41554</v>
      </c>
      <c r="B2612" s="468">
        <v>4.2035297413699491E-2</v>
      </c>
      <c r="C2612" s="468">
        <v>6.365854445730279E-2</v>
      </c>
      <c r="D2612" s="469">
        <v>7.2052276241636681E-2</v>
      </c>
      <c r="G2612" s="470"/>
      <c r="H2612" s="471"/>
    </row>
    <row r="2613" spans="1:8" x14ac:dyDescent="0.35">
      <c r="A2613" s="467">
        <v>41555</v>
      </c>
      <c r="B2613" s="468">
        <v>4.2378954185903872E-2</v>
      </c>
      <c r="C2613" s="468">
        <v>6.3889171688727986E-2</v>
      </c>
      <c r="D2613" s="469">
        <v>7.2416057507240783E-2</v>
      </c>
      <c r="G2613" s="470"/>
      <c r="H2613" s="471"/>
    </row>
    <row r="2614" spans="1:8" x14ac:dyDescent="0.35">
      <c r="A2614" s="467">
        <v>41556</v>
      </c>
      <c r="B2614" s="468">
        <v>4.241656129265392E-2</v>
      </c>
      <c r="C2614" s="468">
        <v>6.467823358508018E-2</v>
      </c>
      <c r="D2614" s="469">
        <v>7.3065768466383352E-2</v>
      </c>
      <c r="G2614" s="470"/>
      <c r="H2614" s="471"/>
    </row>
    <row r="2615" spans="1:8" x14ac:dyDescent="0.35">
      <c r="A2615" s="467">
        <v>41557</v>
      </c>
      <c r="B2615" s="468">
        <v>4.2418815514809749E-2</v>
      </c>
      <c r="C2615" s="468">
        <v>6.3994818935473097E-2</v>
      </c>
      <c r="D2615" s="469">
        <v>7.3162724756778763E-2</v>
      </c>
      <c r="G2615" s="470"/>
      <c r="H2615" s="471"/>
    </row>
    <row r="2616" spans="1:8" x14ac:dyDescent="0.35">
      <c r="A2616" s="467">
        <v>41558</v>
      </c>
      <c r="B2616" s="468">
        <v>4.2286523290497424E-2</v>
      </c>
      <c r="C2616" s="468">
        <v>6.3686323186067151E-2</v>
      </c>
      <c r="D2616" s="469">
        <v>7.2240344173320148E-2</v>
      </c>
      <c r="G2616" s="470"/>
      <c r="H2616" s="471"/>
    </row>
    <row r="2617" spans="1:8" x14ac:dyDescent="0.35">
      <c r="A2617" s="467">
        <v>41562</v>
      </c>
      <c r="B2617" s="468">
        <v>4.1830487052977983E-2</v>
      </c>
      <c r="C2617" s="468">
        <v>6.3491978782217018E-2</v>
      </c>
      <c r="D2617" s="469">
        <v>7.0797196584406752E-2</v>
      </c>
      <c r="G2617" s="470"/>
      <c r="H2617" s="471"/>
    </row>
    <row r="2618" spans="1:8" x14ac:dyDescent="0.35">
      <c r="A2618" s="467">
        <v>41563</v>
      </c>
      <c r="B2618" s="468">
        <v>4.2653420150651655E-2</v>
      </c>
      <c r="C2618" s="468">
        <v>6.3981944245469879E-2</v>
      </c>
      <c r="D2618" s="469">
        <v>7.2211393641181898E-2</v>
      </c>
      <c r="G2618" s="470"/>
      <c r="H2618" s="471"/>
    </row>
    <row r="2619" spans="1:8" x14ac:dyDescent="0.35">
      <c r="A2619" s="467">
        <v>41564</v>
      </c>
      <c r="B2619" s="468">
        <v>4.211703608382722E-2</v>
      </c>
      <c r="C2619" s="468">
        <v>6.2825704640893099E-2</v>
      </c>
      <c r="D2619" s="469">
        <v>7.068244753563846E-2</v>
      </c>
      <c r="G2619" s="470"/>
      <c r="H2619" s="471"/>
    </row>
    <row r="2620" spans="1:8" x14ac:dyDescent="0.35">
      <c r="A2620" s="467">
        <v>41565</v>
      </c>
      <c r="B2620" s="468">
        <v>4.1730989074039382E-2</v>
      </c>
      <c r="C2620" s="468">
        <v>6.2470412654518137E-2</v>
      </c>
      <c r="D2620" s="469">
        <v>7.0207578143433702E-2</v>
      </c>
      <c r="G2620" s="470"/>
      <c r="H2620" s="471"/>
    </row>
    <row r="2621" spans="1:8" x14ac:dyDescent="0.35">
      <c r="A2621" s="467">
        <v>41568</v>
      </c>
      <c r="B2621" s="468">
        <v>4.1067525278992711E-2</v>
      </c>
      <c r="C2621" s="468">
        <v>6.2293939092190609E-2</v>
      </c>
      <c r="D2621" s="469">
        <v>7.044279901518391E-2</v>
      </c>
      <c r="G2621" s="470"/>
      <c r="H2621" s="471"/>
    </row>
    <row r="2622" spans="1:8" x14ac:dyDescent="0.35">
      <c r="A2622" s="467">
        <v>41569</v>
      </c>
      <c r="B2622" s="468">
        <v>4.1079226034647753E-2</v>
      </c>
      <c r="C2622" s="468">
        <v>6.3236105335063186E-2</v>
      </c>
      <c r="D2622" s="469">
        <v>6.9615236257381641E-2</v>
      </c>
      <c r="G2622" s="470"/>
      <c r="H2622" s="471"/>
    </row>
    <row r="2623" spans="1:8" x14ac:dyDescent="0.35">
      <c r="A2623" s="467">
        <v>41570</v>
      </c>
      <c r="B2623" s="468">
        <v>4.1413869614978172E-2</v>
      </c>
      <c r="C2623" s="468">
        <v>6.0545828234520593E-2</v>
      </c>
      <c r="D2623" s="469">
        <v>6.8107173284298383E-2</v>
      </c>
      <c r="G2623" s="470"/>
      <c r="H2623" s="471"/>
    </row>
    <row r="2624" spans="1:8" x14ac:dyDescent="0.35">
      <c r="A2624" s="467">
        <v>41571</v>
      </c>
      <c r="B2624" s="468">
        <v>4.1630231794931527E-2</v>
      </c>
      <c r="C2624" s="468">
        <v>5.9355497496518028E-2</v>
      </c>
      <c r="D2624" s="469">
        <v>6.7728763603589703E-2</v>
      </c>
      <c r="G2624" s="470"/>
      <c r="H2624" s="471"/>
    </row>
    <row r="2625" spans="1:8" x14ac:dyDescent="0.35">
      <c r="A2625" s="467">
        <v>41572</v>
      </c>
      <c r="B2625" s="468">
        <v>4.1210630293474049E-2</v>
      </c>
      <c r="C2625" s="468">
        <v>5.9499299796414773E-2</v>
      </c>
      <c r="D2625" s="469">
        <v>6.8537296957309035E-2</v>
      </c>
      <c r="G2625" s="470"/>
      <c r="H2625" s="471"/>
    </row>
    <row r="2626" spans="1:8" x14ac:dyDescent="0.35">
      <c r="A2626" s="467">
        <v>41575</v>
      </c>
      <c r="B2626" s="468">
        <v>4.1754359089515525E-2</v>
      </c>
      <c r="C2626" s="468">
        <v>6.1001388068126605E-2</v>
      </c>
      <c r="D2626" s="469">
        <v>6.9380076308700023E-2</v>
      </c>
      <c r="G2626" s="470"/>
      <c r="H2626" s="471"/>
    </row>
    <row r="2627" spans="1:8" x14ac:dyDescent="0.35">
      <c r="A2627" s="467">
        <v>41576</v>
      </c>
      <c r="B2627" s="468">
        <v>4.1522141401023616E-2</v>
      </c>
      <c r="C2627" s="468">
        <v>6.1171886635052575E-2</v>
      </c>
      <c r="D2627" s="469">
        <v>6.8658263150765286E-2</v>
      </c>
      <c r="G2627" s="470"/>
      <c r="H2627" s="471"/>
    </row>
    <row r="2628" spans="1:8" x14ac:dyDescent="0.35">
      <c r="A2628" s="467">
        <v>41577</v>
      </c>
      <c r="B2628" s="468">
        <v>4.1244316370945722E-2</v>
      </c>
      <c r="C2628" s="468">
        <v>6.0544319108058575E-2</v>
      </c>
      <c r="D2628" s="469">
        <v>6.8675459145681517E-2</v>
      </c>
      <c r="G2628" s="470"/>
      <c r="H2628" s="471"/>
    </row>
    <row r="2629" spans="1:8" x14ac:dyDescent="0.35">
      <c r="A2629" s="467">
        <v>41578</v>
      </c>
      <c r="B2629" s="468">
        <v>4.179034969578832E-2</v>
      </c>
      <c r="C2629" s="468">
        <v>6.1441395102396656E-2</v>
      </c>
      <c r="D2629" s="469">
        <v>6.9210574741607633E-2</v>
      </c>
      <c r="G2629" s="470"/>
      <c r="H2629" s="471"/>
    </row>
    <row r="2630" spans="1:8" x14ac:dyDescent="0.35">
      <c r="A2630" s="467">
        <v>41579</v>
      </c>
      <c r="B2630" s="468">
        <v>4.3219907120845669E-2</v>
      </c>
      <c r="C2630" s="468">
        <v>6.3338604994318537E-2</v>
      </c>
      <c r="D2630" s="469">
        <v>7.0967379715322743E-2</v>
      </c>
      <c r="G2630" s="470"/>
      <c r="H2630" s="471"/>
    </row>
    <row r="2631" spans="1:8" x14ac:dyDescent="0.35">
      <c r="A2631" s="467">
        <v>41583</v>
      </c>
      <c r="B2631" s="468">
        <v>4.295716155793472E-2</v>
      </c>
      <c r="C2631" s="468">
        <v>6.398139820183113E-2</v>
      </c>
      <c r="D2631" s="469">
        <v>7.3311398143532491E-2</v>
      </c>
      <c r="G2631" s="470"/>
      <c r="H2631" s="471"/>
    </row>
    <row r="2632" spans="1:8" x14ac:dyDescent="0.35">
      <c r="A2632" s="467">
        <v>41584</v>
      </c>
      <c r="B2632" s="468">
        <v>4.1445525256669669E-2</v>
      </c>
      <c r="C2632" s="468">
        <v>6.3202491214512158E-2</v>
      </c>
      <c r="D2632" s="469">
        <v>7.2764238889418742E-2</v>
      </c>
      <c r="G2632" s="470"/>
      <c r="H2632" s="471"/>
    </row>
    <row r="2633" spans="1:8" x14ac:dyDescent="0.35">
      <c r="A2633" s="467">
        <v>41585</v>
      </c>
      <c r="B2633" s="468">
        <v>4.1259389819367609E-2</v>
      </c>
      <c r="C2633" s="468">
        <v>6.3061858271650451E-2</v>
      </c>
      <c r="D2633" s="469">
        <v>7.3473048859903134E-2</v>
      </c>
      <c r="G2633" s="470"/>
      <c r="H2633" s="471"/>
    </row>
    <row r="2634" spans="1:8" x14ac:dyDescent="0.35">
      <c r="A2634" s="467">
        <v>41586</v>
      </c>
      <c r="B2634" s="468">
        <v>4.051398929162997E-2</v>
      </c>
      <c r="C2634" s="468">
        <v>6.6057202959241001E-2</v>
      </c>
      <c r="D2634" s="469">
        <v>7.5457532083454737E-2</v>
      </c>
      <c r="G2634" s="470"/>
      <c r="H2634" s="471"/>
    </row>
    <row r="2635" spans="1:8" x14ac:dyDescent="0.35">
      <c r="A2635" s="467">
        <v>41590</v>
      </c>
      <c r="B2635" s="468">
        <v>4.2176856653434625E-2</v>
      </c>
      <c r="C2635" s="468">
        <v>6.630071369878876E-2</v>
      </c>
      <c r="D2635" s="469">
        <v>7.6324828079215923E-2</v>
      </c>
      <c r="G2635" s="470"/>
      <c r="H2635" s="471"/>
    </row>
    <row r="2636" spans="1:8" x14ac:dyDescent="0.35">
      <c r="A2636" s="467">
        <v>41591</v>
      </c>
      <c r="B2636" s="468">
        <v>4.3801462705773009E-2</v>
      </c>
      <c r="C2636" s="468">
        <v>6.4797828539516544E-2</v>
      </c>
      <c r="D2636" s="469">
        <v>7.6377452149295255E-2</v>
      </c>
      <c r="G2636" s="470"/>
      <c r="H2636" s="471"/>
    </row>
    <row r="2637" spans="1:8" x14ac:dyDescent="0.35">
      <c r="A2637" s="467">
        <v>41592</v>
      </c>
      <c r="B2637" s="468">
        <v>4.114953076468697E-2</v>
      </c>
      <c r="C2637" s="468">
        <v>6.5514439056668428E-2</v>
      </c>
      <c r="D2637" s="469">
        <v>7.5038620219858299E-2</v>
      </c>
      <c r="G2637" s="470"/>
      <c r="H2637" s="471"/>
    </row>
    <row r="2638" spans="1:8" x14ac:dyDescent="0.35">
      <c r="A2638" s="467">
        <v>41593</v>
      </c>
      <c r="B2638" s="468">
        <v>4.1150607215467927E-2</v>
      </c>
      <c r="C2638" s="468">
        <v>6.4712754829892916E-2</v>
      </c>
      <c r="D2638" s="469">
        <v>7.445027741391419E-2</v>
      </c>
      <c r="G2638" s="470"/>
      <c r="H2638" s="471"/>
    </row>
    <row r="2639" spans="1:8" x14ac:dyDescent="0.35">
      <c r="A2639" s="467">
        <v>41596</v>
      </c>
      <c r="B2639" s="468">
        <v>4.0957645358180139E-2</v>
      </c>
      <c r="C2639" s="468">
        <v>6.411607064389635E-2</v>
      </c>
      <c r="D2639" s="469">
        <v>7.3492846392319677E-2</v>
      </c>
      <c r="G2639" s="470"/>
      <c r="H2639" s="471"/>
    </row>
    <row r="2640" spans="1:8" x14ac:dyDescent="0.35">
      <c r="A2640" s="467">
        <v>41597</v>
      </c>
      <c r="B2640" s="468">
        <v>4.1001375631028569E-2</v>
      </c>
      <c r="C2640" s="468">
        <v>6.3835163523346283E-2</v>
      </c>
      <c r="D2640" s="469">
        <v>7.2398445829223057E-2</v>
      </c>
      <c r="G2640" s="470"/>
      <c r="H2640" s="471"/>
    </row>
    <row r="2641" spans="1:8" x14ac:dyDescent="0.35">
      <c r="A2641" s="467">
        <v>41598</v>
      </c>
      <c r="B2641" s="468">
        <v>4.0724029204081136E-2</v>
      </c>
      <c r="C2641" s="468">
        <v>6.3791395997310207E-2</v>
      </c>
      <c r="D2641" s="469">
        <v>7.3132448846643827E-2</v>
      </c>
      <c r="G2641" s="470"/>
      <c r="H2641" s="471"/>
    </row>
    <row r="2642" spans="1:8" x14ac:dyDescent="0.35">
      <c r="A2642" s="467">
        <v>41599</v>
      </c>
      <c r="B2642" s="468">
        <v>4.1778199953132811E-2</v>
      </c>
      <c r="C2642" s="468">
        <v>6.4747897138030419E-2</v>
      </c>
      <c r="D2642" s="469">
        <v>7.396591964121435E-2</v>
      </c>
      <c r="G2642" s="470"/>
      <c r="H2642" s="471"/>
    </row>
    <row r="2643" spans="1:8" x14ac:dyDescent="0.35">
      <c r="A2643" s="467">
        <v>41600</v>
      </c>
      <c r="B2643" s="468">
        <v>4.1427930589811979E-2</v>
      </c>
      <c r="C2643" s="468">
        <v>6.3137533096387699E-2</v>
      </c>
      <c r="D2643" s="469">
        <v>7.2630798219208925E-2</v>
      </c>
      <c r="G2643" s="470"/>
      <c r="H2643" s="471"/>
    </row>
    <row r="2644" spans="1:8" x14ac:dyDescent="0.35">
      <c r="A2644" s="467">
        <v>41603</v>
      </c>
      <c r="B2644" s="468">
        <v>4.1251138851869928E-2</v>
      </c>
      <c r="C2644" s="468">
        <v>6.3632558808050854E-2</v>
      </c>
      <c r="D2644" s="469">
        <v>7.25316176820614E-2</v>
      </c>
      <c r="G2644" s="470"/>
      <c r="H2644" s="471"/>
    </row>
    <row r="2645" spans="1:8" x14ac:dyDescent="0.35">
      <c r="A2645" s="467">
        <v>41604</v>
      </c>
      <c r="B2645" s="468">
        <v>4.129777908293919E-2</v>
      </c>
      <c r="C2645" s="468">
        <v>6.3432624089928558E-2</v>
      </c>
      <c r="D2645" s="469">
        <v>7.2531214082742324E-2</v>
      </c>
      <c r="G2645" s="470"/>
      <c r="H2645" s="471"/>
    </row>
    <row r="2646" spans="1:8" x14ac:dyDescent="0.35">
      <c r="A2646" s="467">
        <v>41605</v>
      </c>
      <c r="B2646" s="468">
        <v>4.1464196073628612E-2</v>
      </c>
      <c r="C2646" s="468">
        <v>6.3518276623056202E-2</v>
      </c>
      <c r="D2646" s="469">
        <v>7.2896251797698763E-2</v>
      </c>
      <c r="G2646" s="470"/>
      <c r="H2646" s="471"/>
    </row>
    <row r="2647" spans="1:8" x14ac:dyDescent="0.35">
      <c r="A2647" s="467">
        <v>41606</v>
      </c>
      <c r="B2647" s="468">
        <v>4.0914466043133535E-2</v>
      </c>
      <c r="C2647" s="468">
        <v>6.3570008185107607E-2</v>
      </c>
      <c r="D2647" s="469">
        <v>7.2921961358014764E-2</v>
      </c>
      <c r="G2647" s="470"/>
      <c r="H2647" s="471"/>
    </row>
    <row r="2648" spans="1:8" x14ac:dyDescent="0.35">
      <c r="A2648" s="467">
        <v>41607</v>
      </c>
      <c r="B2648" s="468">
        <v>4.1209329543683726E-2</v>
      </c>
      <c r="C2648" s="468">
        <v>6.3591152507842308E-2</v>
      </c>
      <c r="D2648" s="469">
        <v>7.3386261982397061E-2</v>
      </c>
      <c r="G2648" s="470"/>
      <c r="H2648" s="471"/>
    </row>
    <row r="2649" spans="1:8" x14ac:dyDescent="0.35">
      <c r="A2649" s="467">
        <v>41610</v>
      </c>
      <c r="B2649" s="468">
        <v>4.0722695775241347E-2</v>
      </c>
      <c r="C2649" s="468">
        <v>6.4202799859682136E-2</v>
      </c>
      <c r="D2649" s="469">
        <v>7.3446256025961443E-2</v>
      </c>
      <c r="G2649" s="470"/>
      <c r="H2649" s="471"/>
    </row>
    <row r="2650" spans="1:8" x14ac:dyDescent="0.35">
      <c r="A2650" s="467">
        <v>41611</v>
      </c>
      <c r="B2650" s="468">
        <v>4.1543570414382502E-2</v>
      </c>
      <c r="C2650" s="468">
        <v>6.4235897888445193E-2</v>
      </c>
      <c r="D2650" s="469">
        <v>7.39528471576818E-2</v>
      </c>
      <c r="G2650" s="470"/>
      <c r="H2650" s="471"/>
    </row>
    <row r="2651" spans="1:8" x14ac:dyDescent="0.35">
      <c r="A2651" s="467">
        <v>41612</v>
      </c>
      <c r="B2651" s="468">
        <v>4.2016417406238737E-2</v>
      </c>
      <c r="C2651" s="468">
        <v>6.48569546087292E-2</v>
      </c>
      <c r="D2651" s="469">
        <v>7.4643707022350902E-2</v>
      </c>
      <c r="G2651" s="470"/>
      <c r="H2651" s="471"/>
    </row>
    <row r="2652" spans="1:8" x14ac:dyDescent="0.35">
      <c r="A2652" s="467">
        <v>41613</v>
      </c>
      <c r="B2652" s="468">
        <v>4.1031202392463051E-2</v>
      </c>
      <c r="C2652" s="468">
        <v>6.4960925009799997E-2</v>
      </c>
      <c r="D2652" s="469">
        <v>7.4445041036632409E-2</v>
      </c>
      <c r="G2652" s="470"/>
      <c r="H2652" s="471"/>
    </row>
    <row r="2653" spans="1:8" x14ac:dyDescent="0.35">
      <c r="A2653" s="467">
        <v>41614</v>
      </c>
      <c r="B2653" s="468">
        <v>4.1445873464492022E-2</v>
      </c>
      <c r="C2653" s="468">
        <v>6.3310166773879351E-2</v>
      </c>
      <c r="D2653" s="469">
        <v>7.3567199137068329E-2</v>
      </c>
      <c r="G2653" s="470"/>
      <c r="H2653" s="471"/>
    </row>
    <row r="2654" spans="1:8" x14ac:dyDescent="0.35">
      <c r="A2654" s="467">
        <v>41617</v>
      </c>
      <c r="B2654" s="468">
        <v>4.130278226428441E-2</v>
      </c>
      <c r="C2654" s="468">
        <v>6.2582409945647566E-2</v>
      </c>
      <c r="D2654" s="469">
        <v>7.1974679443794765E-2</v>
      </c>
      <c r="G2654" s="470"/>
      <c r="H2654" s="471"/>
    </row>
    <row r="2655" spans="1:8" x14ac:dyDescent="0.35">
      <c r="A2655" s="467">
        <v>41618</v>
      </c>
      <c r="B2655" s="468">
        <v>4.0305890847330161E-2</v>
      </c>
      <c r="C2655" s="468">
        <v>6.258272158195255E-2</v>
      </c>
      <c r="D2655" s="469">
        <v>7.3030042776613291E-2</v>
      </c>
      <c r="G2655" s="470"/>
      <c r="H2655" s="471"/>
    </row>
    <row r="2656" spans="1:8" x14ac:dyDescent="0.35">
      <c r="A2656" s="467">
        <v>41619</v>
      </c>
      <c r="B2656" s="468">
        <v>4.0775192434146401E-2</v>
      </c>
      <c r="C2656" s="468">
        <v>6.2686562037254756E-2</v>
      </c>
      <c r="D2656" s="469">
        <v>7.3473271758603298E-2</v>
      </c>
      <c r="G2656" s="470"/>
      <c r="H2656" s="471"/>
    </row>
    <row r="2657" spans="1:8" x14ac:dyDescent="0.35">
      <c r="A2657" s="467">
        <v>41620</v>
      </c>
      <c r="B2657" s="468">
        <v>4.0571422657934564E-2</v>
      </c>
      <c r="C2657" s="468">
        <v>6.3740789124231201E-2</v>
      </c>
      <c r="D2657" s="469">
        <v>7.3049245555053099E-2</v>
      </c>
      <c r="G2657" s="470"/>
      <c r="H2657" s="471"/>
    </row>
    <row r="2658" spans="1:8" x14ac:dyDescent="0.35">
      <c r="A2658" s="467">
        <v>41621</v>
      </c>
      <c r="B2658" s="468">
        <v>4.1734044046628949E-2</v>
      </c>
      <c r="C2658" s="468">
        <v>6.3432974593445657E-2</v>
      </c>
      <c r="D2658" s="469">
        <v>7.3706175400706009E-2</v>
      </c>
      <c r="G2658" s="470"/>
      <c r="H2658" s="471"/>
    </row>
    <row r="2659" spans="1:8" x14ac:dyDescent="0.35">
      <c r="A2659" s="467">
        <v>41624</v>
      </c>
      <c r="B2659" s="468">
        <v>4.1609813795439043E-2</v>
      </c>
      <c r="C2659" s="468">
        <v>6.3128910412386219E-2</v>
      </c>
      <c r="D2659" s="469">
        <v>7.2622905630429502E-2</v>
      </c>
      <c r="G2659" s="470"/>
      <c r="H2659" s="471"/>
    </row>
    <row r="2660" spans="1:8" x14ac:dyDescent="0.35">
      <c r="A2660" s="467">
        <v>41625</v>
      </c>
      <c r="B2660" s="468">
        <v>4.1541075070843592E-2</v>
      </c>
      <c r="C2660" s="468">
        <v>6.3278534935130581E-2</v>
      </c>
      <c r="D2660" s="469">
        <v>7.2523827480063474E-2</v>
      </c>
      <c r="G2660" s="470"/>
      <c r="H2660" s="471"/>
    </row>
    <row r="2661" spans="1:8" x14ac:dyDescent="0.35">
      <c r="A2661" s="467">
        <v>41626</v>
      </c>
      <c r="B2661" s="468">
        <v>4.2004210435951039E-2</v>
      </c>
      <c r="C2661" s="468">
        <v>6.3118503757954469E-2</v>
      </c>
      <c r="D2661" s="469">
        <v>7.3048173866773869E-2</v>
      </c>
      <c r="G2661" s="470"/>
      <c r="H2661" s="471"/>
    </row>
    <row r="2662" spans="1:8" x14ac:dyDescent="0.35">
      <c r="A2662" s="467">
        <v>41627</v>
      </c>
      <c r="B2662" s="468">
        <v>4.1660225138309359E-2</v>
      </c>
      <c r="C2662" s="468">
        <v>6.3533287362247615E-2</v>
      </c>
      <c r="D2662" s="469">
        <v>7.3021411395241653E-2</v>
      </c>
      <c r="G2662" s="470"/>
      <c r="H2662" s="471"/>
    </row>
    <row r="2663" spans="1:8" x14ac:dyDescent="0.35">
      <c r="A2663" s="467">
        <v>41628</v>
      </c>
      <c r="B2663" s="468">
        <v>4.1594292954821199E-2</v>
      </c>
      <c r="C2663" s="468">
        <v>6.2885417461579163E-2</v>
      </c>
      <c r="D2663" s="469">
        <v>7.2306627504245879E-2</v>
      </c>
      <c r="G2663" s="470"/>
      <c r="H2663" s="471"/>
    </row>
    <row r="2664" spans="1:8" x14ac:dyDescent="0.35">
      <c r="A2664" s="467">
        <v>41631</v>
      </c>
      <c r="B2664" s="468">
        <v>4.2112206291467613E-2</v>
      </c>
      <c r="C2664" s="468">
        <v>6.1878313119527073E-2</v>
      </c>
      <c r="D2664" s="469">
        <v>7.1427237583267633E-2</v>
      </c>
      <c r="G2664" s="470"/>
      <c r="H2664" s="471"/>
    </row>
    <row r="2665" spans="1:8" x14ac:dyDescent="0.35">
      <c r="A2665" s="467">
        <v>41632</v>
      </c>
      <c r="B2665" s="468">
        <v>4.1515837815149226E-2</v>
      </c>
      <c r="C2665" s="468">
        <v>6.1901492274589964E-2</v>
      </c>
      <c r="D2665" s="469">
        <v>7.0653255656610847E-2</v>
      </c>
      <c r="G2665" s="470"/>
      <c r="H2665" s="471"/>
    </row>
    <row r="2666" spans="1:8" x14ac:dyDescent="0.35">
      <c r="A2666" s="467">
        <v>41634</v>
      </c>
      <c r="B2666" s="468">
        <v>4.2062161015405941E-2</v>
      </c>
      <c r="C2666" s="468">
        <v>6.0655124492617896E-2</v>
      </c>
      <c r="D2666" s="469">
        <v>7.0808270227008085E-2</v>
      </c>
      <c r="G2666" s="470"/>
      <c r="H2666" s="471"/>
    </row>
    <row r="2667" spans="1:8" x14ac:dyDescent="0.35">
      <c r="A2667" s="467">
        <v>41635</v>
      </c>
      <c r="B2667" s="468">
        <v>4.2235581525104093E-2</v>
      </c>
      <c r="C2667" s="468">
        <v>6.1356930620501959E-2</v>
      </c>
      <c r="D2667" s="469">
        <v>7.1241139831053513E-2</v>
      </c>
      <c r="G2667" s="470"/>
      <c r="H2667" s="471"/>
    </row>
    <row r="2668" spans="1:8" x14ac:dyDescent="0.35">
      <c r="A2668" s="467">
        <v>41638</v>
      </c>
      <c r="B2668" s="468">
        <v>4.1765631690606542E-2</v>
      </c>
      <c r="C2668" s="468">
        <v>6.2858134982754832E-2</v>
      </c>
      <c r="D2668" s="469">
        <v>7.2959258886866163E-2</v>
      </c>
      <c r="G2668" s="470"/>
      <c r="H2668" s="471"/>
    </row>
    <row r="2669" spans="1:8" x14ac:dyDescent="0.35">
      <c r="A2669" s="467">
        <v>41641</v>
      </c>
      <c r="B2669" s="468">
        <v>4.1786189927173867E-2</v>
      </c>
      <c r="C2669" s="468">
        <v>6.3241262092611716E-2</v>
      </c>
      <c r="D2669" s="469">
        <v>7.2232152962403928E-2</v>
      </c>
      <c r="G2669" s="470"/>
      <c r="H2669" s="471"/>
    </row>
    <row r="2670" spans="1:8" x14ac:dyDescent="0.35">
      <c r="A2670" s="467">
        <v>41642</v>
      </c>
      <c r="B2670" s="468">
        <v>4.2104191425815118E-2</v>
      </c>
      <c r="C2670" s="468">
        <v>6.2347663357050997E-2</v>
      </c>
      <c r="D2670" s="469">
        <v>7.1566136865149899E-2</v>
      </c>
      <c r="G2670" s="470"/>
      <c r="H2670" s="471"/>
    </row>
    <row r="2671" spans="1:8" x14ac:dyDescent="0.35">
      <c r="A2671" s="467">
        <v>41646</v>
      </c>
      <c r="B2671" s="468">
        <v>4.140289376115347E-2</v>
      </c>
      <c r="C2671" s="468">
        <v>6.3156950202627016E-2</v>
      </c>
      <c r="D2671" s="469">
        <v>7.2861555408439971E-2</v>
      </c>
      <c r="G2671" s="470"/>
      <c r="H2671" s="471"/>
    </row>
    <row r="2672" spans="1:8" x14ac:dyDescent="0.35">
      <c r="A2672" s="467">
        <v>41647</v>
      </c>
      <c r="B2672" s="468">
        <v>4.1605715585721015E-2</v>
      </c>
      <c r="C2672" s="468">
        <v>6.2954230327507688E-2</v>
      </c>
      <c r="D2672" s="469">
        <v>7.2856346340299138E-2</v>
      </c>
      <c r="G2672" s="470"/>
      <c r="H2672" s="471"/>
    </row>
    <row r="2673" spans="1:8" x14ac:dyDescent="0.35">
      <c r="A2673" s="467">
        <v>41648</v>
      </c>
      <c r="B2673" s="468">
        <v>4.159665975148541E-2</v>
      </c>
      <c r="C2673" s="468">
        <v>6.2697284892754057E-2</v>
      </c>
      <c r="D2673" s="469">
        <v>7.2950743852048694E-2</v>
      </c>
      <c r="G2673" s="470"/>
      <c r="H2673" s="471"/>
    </row>
    <row r="2674" spans="1:8" x14ac:dyDescent="0.35">
      <c r="A2674" s="467">
        <v>41649</v>
      </c>
      <c r="B2674" s="468">
        <v>4.1343173690355117E-2</v>
      </c>
      <c r="C2674" s="468">
        <v>6.2351675421529862E-2</v>
      </c>
      <c r="D2674" s="469">
        <v>7.242450167461878E-2</v>
      </c>
      <c r="G2674" s="470"/>
      <c r="H2674" s="471"/>
    </row>
    <row r="2675" spans="1:8" x14ac:dyDescent="0.35">
      <c r="A2675" s="467">
        <v>41652</v>
      </c>
      <c r="B2675" s="468">
        <v>4.1156612941253279E-2</v>
      </c>
      <c r="C2675" s="468">
        <v>6.2170894585532155E-2</v>
      </c>
      <c r="D2675" s="469">
        <v>7.1901719366424643E-2</v>
      </c>
      <c r="G2675" s="470"/>
      <c r="H2675" s="471"/>
    </row>
    <row r="2676" spans="1:8" x14ac:dyDescent="0.35">
      <c r="A2676" s="467">
        <v>41653</v>
      </c>
      <c r="B2676" s="468">
        <v>4.0993305374244393E-2</v>
      </c>
      <c r="C2676" s="468">
        <v>6.2044392011621596E-2</v>
      </c>
      <c r="D2676" s="469">
        <v>7.2003001082008078E-2</v>
      </c>
      <c r="G2676" s="470"/>
      <c r="H2676" s="471"/>
    </row>
    <row r="2677" spans="1:8" x14ac:dyDescent="0.35">
      <c r="A2677" s="467">
        <v>41654</v>
      </c>
      <c r="B2677" s="468">
        <v>4.1144141094343611E-2</v>
      </c>
      <c r="C2677" s="468">
        <v>6.1735870998385067E-2</v>
      </c>
      <c r="D2677" s="469">
        <v>7.2115476774246678E-2</v>
      </c>
      <c r="G2677" s="470"/>
      <c r="H2677" s="471"/>
    </row>
    <row r="2678" spans="1:8" x14ac:dyDescent="0.35">
      <c r="A2678" s="467">
        <v>41655</v>
      </c>
      <c r="B2678" s="468">
        <v>4.0767827217739194E-2</v>
      </c>
      <c r="C2678" s="468">
        <v>6.162728269833706E-2</v>
      </c>
      <c r="D2678" s="469">
        <v>7.2251719567762551E-2</v>
      </c>
      <c r="G2678" s="470"/>
      <c r="H2678" s="471"/>
    </row>
    <row r="2679" spans="1:8" x14ac:dyDescent="0.35">
      <c r="A2679" s="467">
        <v>41656</v>
      </c>
      <c r="B2679" s="468">
        <v>4.085619099967519E-2</v>
      </c>
      <c r="C2679" s="468">
        <v>6.1988011389463527E-2</v>
      </c>
      <c r="D2679" s="469">
        <v>7.3198618651952208E-2</v>
      </c>
      <c r="G2679" s="470"/>
      <c r="H2679" s="471"/>
    </row>
    <row r="2680" spans="1:8" x14ac:dyDescent="0.35">
      <c r="A2680" s="467">
        <v>41659</v>
      </c>
      <c r="B2680" s="468">
        <v>4.0699490419031648E-2</v>
      </c>
      <c r="C2680" s="468">
        <v>6.2026171459696133E-2</v>
      </c>
      <c r="D2680" s="469">
        <v>7.3764506049242451E-2</v>
      </c>
      <c r="G2680" s="470"/>
      <c r="H2680" s="471"/>
    </row>
    <row r="2681" spans="1:8" x14ac:dyDescent="0.35">
      <c r="A2681" s="467">
        <v>41660</v>
      </c>
      <c r="B2681" s="468">
        <v>4.1105383731552703E-2</v>
      </c>
      <c r="C2681" s="468">
        <v>6.219088575679188E-2</v>
      </c>
      <c r="D2681" s="469">
        <v>7.4480657393728444E-2</v>
      </c>
      <c r="G2681" s="470"/>
      <c r="H2681" s="471"/>
    </row>
    <row r="2682" spans="1:8" x14ac:dyDescent="0.35">
      <c r="A2682" s="467">
        <v>41661</v>
      </c>
      <c r="B2682" s="468">
        <v>4.1171839004651378E-2</v>
      </c>
      <c r="C2682" s="468">
        <v>6.1940677162075408E-2</v>
      </c>
      <c r="D2682" s="469">
        <v>7.3908086405644502E-2</v>
      </c>
      <c r="G2682" s="470"/>
      <c r="H2682" s="471"/>
    </row>
    <row r="2683" spans="1:8" x14ac:dyDescent="0.35">
      <c r="A2683" s="467">
        <v>41662</v>
      </c>
      <c r="B2683" s="468">
        <v>4.1067662929372251E-2</v>
      </c>
      <c r="C2683" s="468">
        <v>6.1980788710456869E-2</v>
      </c>
      <c r="D2683" s="469">
        <v>7.4358271913257612E-2</v>
      </c>
      <c r="G2683" s="470"/>
      <c r="H2683" s="471"/>
    </row>
    <row r="2684" spans="1:8" x14ac:dyDescent="0.35">
      <c r="A2684" s="467">
        <v>41663</v>
      </c>
      <c r="B2684" s="468">
        <v>4.1384406462907197E-2</v>
      </c>
      <c r="C2684" s="468">
        <v>6.271665432188267E-2</v>
      </c>
      <c r="D2684" s="469">
        <v>7.4863204677208195E-2</v>
      </c>
      <c r="G2684" s="470"/>
      <c r="H2684" s="471"/>
    </row>
    <row r="2685" spans="1:8" x14ac:dyDescent="0.35">
      <c r="A2685" s="467">
        <v>41666</v>
      </c>
      <c r="B2685" s="468">
        <v>4.1793493775223789E-2</v>
      </c>
      <c r="C2685" s="468">
        <v>6.1887781806394315E-2</v>
      </c>
      <c r="D2685" s="469">
        <v>7.4234100504811718E-2</v>
      </c>
      <c r="G2685" s="470"/>
      <c r="H2685" s="471"/>
    </row>
    <row r="2686" spans="1:8" x14ac:dyDescent="0.35">
      <c r="A2686" s="467">
        <v>41667</v>
      </c>
      <c r="B2686" s="468">
        <v>4.1386632006198854E-2</v>
      </c>
      <c r="C2686" s="468">
        <v>6.2775863839509949E-2</v>
      </c>
      <c r="D2686" s="469">
        <v>7.3333286431234379E-2</v>
      </c>
      <c r="G2686" s="470"/>
      <c r="H2686" s="471"/>
    </row>
    <row r="2687" spans="1:8" x14ac:dyDescent="0.35">
      <c r="A2687" s="467">
        <v>41668</v>
      </c>
      <c r="B2687" s="468">
        <v>4.1899110522172212E-2</v>
      </c>
      <c r="C2687" s="468">
        <v>6.3919107586357438E-2</v>
      </c>
      <c r="D2687" s="469">
        <v>7.4350858475967785E-2</v>
      </c>
      <c r="G2687" s="470"/>
      <c r="H2687" s="471"/>
    </row>
    <row r="2688" spans="1:8" x14ac:dyDescent="0.35">
      <c r="A2688" s="467">
        <v>41669</v>
      </c>
      <c r="B2688" s="468">
        <v>4.2625792587952738E-2</v>
      </c>
      <c r="C2688" s="468">
        <v>6.4264837768536642E-2</v>
      </c>
      <c r="D2688" s="469">
        <v>7.4139285775266961E-2</v>
      </c>
      <c r="G2688" s="470"/>
      <c r="H2688" s="471"/>
    </row>
    <row r="2689" spans="1:8" x14ac:dyDescent="0.35">
      <c r="A2689" s="467">
        <v>41670</v>
      </c>
      <c r="B2689" s="468">
        <v>4.3496979722186691E-2</v>
      </c>
      <c r="C2689" s="468">
        <v>6.6285156936311429E-2</v>
      </c>
      <c r="D2689" s="469">
        <v>7.6303994941898878E-2</v>
      </c>
      <c r="G2689" s="470"/>
      <c r="H2689" s="471"/>
    </row>
    <row r="2690" spans="1:8" x14ac:dyDescent="0.35">
      <c r="A2690" s="467">
        <v>41673</v>
      </c>
      <c r="B2690" s="468">
        <v>4.3955995578844886E-2</v>
      </c>
      <c r="C2690" s="468">
        <v>6.6561776013374763E-2</v>
      </c>
      <c r="D2690" s="469">
        <v>7.5326216100348065E-2</v>
      </c>
      <c r="G2690" s="470"/>
      <c r="H2690" s="471"/>
    </row>
    <row r="2691" spans="1:8" x14ac:dyDescent="0.35">
      <c r="A2691" s="467">
        <v>41674</v>
      </c>
      <c r="B2691" s="468">
        <v>4.3693963016322224E-2</v>
      </c>
      <c r="C2691" s="468">
        <v>6.6544597940250583E-2</v>
      </c>
      <c r="D2691" s="469">
        <v>7.6078933200301346E-2</v>
      </c>
      <c r="G2691" s="470"/>
      <c r="H2691" s="471"/>
    </row>
    <row r="2692" spans="1:8" x14ac:dyDescent="0.35">
      <c r="A2692" s="467">
        <v>41675</v>
      </c>
      <c r="B2692" s="468">
        <v>4.4174729805589452E-2</v>
      </c>
      <c r="C2692" s="468">
        <v>6.630851924526171E-2</v>
      </c>
      <c r="D2692" s="469">
        <v>7.4947950433374988E-2</v>
      </c>
      <c r="G2692" s="470"/>
      <c r="H2692" s="471"/>
    </row>
    <row r="2693" spans="1:8" x14ac:dyDescent="0.35">
      <c r="A2693" s="467">
        <v>41676</v>
      </c>
      <c r="B2693" s="468">
        <v>4.3582881795303674E-2</v>
      </c>
      <c r="C2693" s="468">
        <v>6.6001421546808325E-2</v>
      </c>
      <c r="D2693" s="469">
        <v>7.4743350630237071E-2</v>
      </c>
      <c r="G2693" s="470"/>
      <c r="H2693" s="471"/>
    </row>
    <row r="2694" spans="1:8" x14ac:dyDescent="0.35">
      <c r="A2694" s="467">
        <v>41677</v>
      </c>
      <c r="B2694" s="468">
        <v>4.2788403200861191E-2</v>
      </c>
      <c r="C2694" s="468">
        <v>6.5842299528555914E-2</v>
      </c>
      <c r="D2694" s="469">
        <v>7.5710883055583933E-2</v>
      </c>
      <c r="G2694" s="470"/>
      <c r="H2694" s="471"/>
    </row>
    <row r="2695" spans="1:8" x14ac:dyDescent="0.35">
      <c r="A2695" s="467">
        <v>41680</v>
      </c>
      <c r="B2695" s="468">
        <v>4.3055170689892286E-2</v>
      </c>
      <c r="C2695" s="468">
        <v>6.5572334765333418E-2</v>
      </c>
      <c r="D2695" s="469">
        <v>7.4805698627366413E-2</v>
      </c>
      <c r="G2695" s="470"/>
      <c r="H2695" s="471"/>
    </row>
    <row r="2696" spans="1:8" x14ac:dyDescent="0.35">
      <c r="A2696" s="467">
        <v>41681</v>
      </c>
      <c r="B2696" s="468">
        <v>4.2469245309647352E-2</v>
      </c>
      <c r="C2696" s="468">
        <v>6.5243268095465545E-2</v>
      </c>
      <c r="D2696" s="469">
        <v>7.5685350434465448E-2</v>
      </c>
      <c r="G2696" s="470"/>
      <c r="H2696" s="471"/>
    </row>
    <row r="2697" spans="1:8" x14ac:dyDescent="0.35">
      <c r="A2697" s="467">
        <v>41682</v>
      </c>
      <c r="B2697" s="468">
        <v>4.2525262961013777E-2</v>
      </c>
      <c r="C2697" s="468">
        <v>6.5024152198962737E-2</v>
      </c>
      <c r="D2697" s="469">
        <v>7.5547856406547931E-2</v>
      </c>
      <c r="G2697" s="470"/>
      <c r="H2697" s="471"/>
    </row>
    <row r="2698" spans="1:8" x14ac:dyDescent="0.35">
      <c r="A2698" s="467">
        <v>41683</v>
      </c>
      <c r="B2698" s="468">
        <v>4.265151766820674E-2</v>
      </c>
      <c r="C2698" s="468">
        <v>6.5491869244955092E-2</v>
      </c>
      <c r="D2698" s="469">
        <v>7.5892138395555975E-2</v>
      </c>
      <c r="G2698" s="470"/>
      <c r="H2698" s="471"/>
    </row>
    <row r="2699" spans="1:8" x14ac:dyDescent="0.35">
      <c r="A2699" s="467">
        <v>41684</v>
      </c>
      <c r="B2699" s="468">
        <v>4.2749649679008961E-2</v>
      </c>
      <c r="C2699" s="468">
        <v>6.5340614944561448E-2</v>
      </c>
      <c r="D2699" s="469">
        <v>7.4620539788228468E-2</v>
      </c>
      <c r="G2699" s="470"/>
      <c r="H2699" s="471"/>
    </row>
    <row r="2700" spans="1:8" x14ac:dyDescent="0.35">
      <c r="A2700" s="467">
        <v>41687</v>
      </c>
      <c r="B2700" s="468">
        <v>4.2299645737727598E-2</v>
      </c>
      <c r="C2700" s="468">
        <v>6.520182291491583E-2</v>
      </c>
      <c r="D2700" s="469">
        <v>7.5555695531461353E-2</v>
      </c>
      <c r="G2700" s="470"/>
      <c r="H2700" s="471"/>
    </row>
    <row r="2701" spans="1:8" x14ac:dyDescent="0.35">
      <c r="A2701" s="467">
        <v>41688</v>
      </c>
      <c r="B2701" s="468">
        <v>4.2414083125965618E-2</v>
      </c>
      <c r="C2701" s="468">
        <v>6.5435550287076483E-2</v>
      </c>
      <c r="D2701" s="469">
        <v>7.5606692629381467E-2</v>
      </c>
      <c r="G2701" s="470"/>
      <c r="H2701" s="471"/>
    </row>
    <row r="2702" spans="1:8" x14ac:dyDescent="0.35">
      <c r="A2702" s="467">
        <v>41689</v>
      </c>
      <c r="B2702" s="468">
        <v>4.2982614488330295E-2</v>
      </c>
      <c r="C2702" s="468">
        <v>6.5985609076862461E-2</v>
      </c>
      <c r="D2702" s="469">
        <v>7.6212058620535483E-2</v>
      </c>
      <c r="G2702" s="470"/>
      <c r="H2702" s="471"/>
    </row>
    <row r="2703" spans="1:8" x14ac:dyDescent="0.35">
      <c r="A2703" s="467">
        <v>41690</v>
      </c>
      <c r="B2703" s="468">
        <v>4.3287684704213847E-2</v>
      </c>
      <c r="C2703" s="468">
        <v>6.6831223141734952E-2</v>
      </c>
      <c r="D2703" s="469">
        <v>7.7589886801814556E-2</v>
      </c>
      <c r="G2703" s="470"/>
      <c r="H2703" s="471"/>
    </row>
    <row r="2704" spans="1:8" x14ac:dyDescent="0.35">
      <c r="A2704" s="467">
        <v>41691</v>
      </c>
      <c r="B2704" s="468">
        <v>4.4041978139607529E-2</v>
      </c>
      <c r="C2704" s="468">
        <v>6.6257843471415612E-2</v>
      </c>
      <c r="D2704" s="469">
        <v>7.6143929508868613E-2</v>
      </c>
      <c r="G2704" s="470"/>
      <c r="H2704" s="471"/>
    </row>
    <row r="2705" spans="1:8" x14ac:dyDescent="0.35">
      <c r="A2705" s="467">
        <v>41694</v>
      </c>
      <c r="B2705" s="468">
        <v>4.3285803051106964E-2</v>
      </c>
      <c r="C2705" s="468">
        <v>6.6452630781556277E-2</v>
      </c>
      <c r="D2705" s="469">
        <v>7.7090729289216897E-2</v>
      </c>
      <c r="G2705" s="470"/>
      <c r="H2705" s="471"/>
    </row>
    <row r="2706" spans="1:8" x14ac:dyDescent="0.35">
      <c r="A2706" s="467">
        <v>41695</v>
      </c>
      <c r="B2706" s="468">
        <v>4.2735885046078614E-2</v>
      </c>
      <c r="C2706" s="468">
        <v>6.640222667120943E-2</v>
      </c>
      <c r="D2706" s="469">
        <v>7.6997720483001464E-2</v>
      </c>
      <c r="G2706" s="470"/>
      <c r="H2706" s="471"/>
    </row>
    <row r="2707" spans="1:8" x14ac:dyDescent="0.35">
      <c r="A2707" s="467">
        <v>41696</v>
      </c>
      <c r="B2707" s="468">
        <v>4.2881606371565795E-2</v>
      </c>
      <c r="C2707" s="468">
        <v>6.6414459404572801E-2</v>
      </c>
      <c r="D2707" s="469">
        <v>7.7057157778165353E-2</v>
      </c>
      <c r="G2707" s="470"/>
      <c r="H2707" s="471"/>
    </row>
    <row r="2708" spans="1:8" x14ac:dyDescent="0.35">
      <c r="A2708" s="467">
        <v>41697</v>
      </c>
      <c r="B2708" s="468">
        <v>4.2824080524428876E-2</v>
      </c>
      <c r="C2708" s="468">
        <v>6.6444814277987208E-2</v>
      </c>
      <c r="D2708" s="469">
        <v>7.652967160604196E-2</v>
      </c>
      <c r="G2708" s="470"/>
      <c r="H2708" s="471"/>
    </row>
    <row r="2709" spans="1:8" x14ac:dyDescent="0.35">
      <c r="A2709" s="467">
        <v>41698</v>
      </c>
      <c r="B2709" s="468">
        <v>4.2544529997540659E-2</v>
      </c>
      <c r="C2709" s="468">
        <v>6.6195449662190597E-2</v>
      </c>
      <c r="D2709" s="469">
        <v>7.6179910414694074E-2</v>
      </c>
      <c r="G2709" s="470"/>
      <c r="H2709" s="471"/>
    </row>
    <row r="2710" spans="1:8" x14ac:dyDescent="0.35">
      <c r="A2710" s="467">
        <v>41701</v>
      </c>
      <c r="B2710" s="468">
        <v>4.2274921128161447E-2</v>
      </c>
      <c r="C2710" s="468">
        <v>6.6134273925410714E-2</v>
      </c>
      <c r="D2710" s="469">
        <v>7.7139382361285591E-2</v>
      </c>
      <c r="G2710" s="470"/>
      <c r="H2710" s="471"/>
    </row>
    <row r="2711" spans="1:8" x14ac:dyDescent="0.35">
      <c r="A2711" s="467">
        <v>41702</v>
      </c>
      <c r="B2711" s="468">
        <v>4.1821818897065599E-2</v>
      </c>
      <c r="C2711" s="468">
        <v>6.5876858128840254E-2</v>
      </c>
      <c r="D2711" s="469">
        <v>7.693421017647184E-2</v>
      </c>
      <c r="G2711" s="470"/>
      <c r="H2711" s="471"/>
    </row>
    <row r="2712" spans="1:8" x14ac:dyDescent="0.35">
      <c r="A2712" s="467">
        <v>41703</v>
      </c>
      <c r="B2712" s="468">
        <v>4.1785874348179153E-2</v>
      </c>
      <c r="C2712" s="468">
        <v>6.5742855782546572E-2</v>
      </c>
      <c r="D2712" s="469">
        <v>7.6977782143626383E-2</v>
      </c>
      <c r="G2712" s="470"/>
      <c r="H2712" s="471"/>
    </row>
    <row r="2713" spans="1:8" x14ac:dyDescent="0.35">
      <c r="A2713" s="467">
        <v>41704</v>
      </c>
      <c r="B2713" s="468">
        <v>4.1476866273838509E-2</v>
      </c>
      <c r="C2713" s="468">
        <v>6.509724793476579E-2</v>
      </c>
      <c r="D2713" s="469">
        <v>7.6248453825165763E-2</v>
      </c>
      <c r="G2713" s="470"/>
      <c r="H2713" s="471"/>
    </row>
    <row r="2714" spans="1:8" x14ac:dyDescent="0.35">
      <c r="A2714" s="467">
        <v>41705</v>
      </c>
      <c r="B2714" s="468">
        <v>4.1704143586991593E-2</v>
      </c>
      <c r="C2714" s="468">
        <v>6.5267153629103403E-2</v>
      </c>
      <c r="D2714" s="469">
        <v>7.607388691065986E-2</v>
      </c>
      <c r="G2714" s="470"/>
      <c r="H2714" s="471"/>
    </row>
    <row r="2715" spans="1:8" x14ac:dyDescent="0.35">
      <c r="A2715" s="467">
        <v>41708</v>
      </c>
      <c r="B2715" s="468">
        <v>4.1604740942629004E-2</v>
      </c>
      <c r="C2715" s="468">
        <v>6.5429323982681753E-2</v>
      </c>
      <c r="D2715" s="469">
        <v>7.585218229844104E-2</v>
      </c>
      <c r="G2715" s="470"/>
      <c r="H2715" s="471"/>
    </row>
    <row r="2716" spans="1:8" x14ac:dyDescent="0.35">
      <c r="A2716" s="467">
        <v>41709</v>
      </c>
      <c r="B2716" s="468">
        <v>4.129519457001618E-2</v>
      </c>
      <c r="C2716" s="468">
        <v>6.5273677881314773E-2</v>
      </c>
      <c r="D2716" s="469">
        <v>7.6451491627186785E-2</v>
      </c>
      <c r="G2716" s="470"/>
      <c r="H2716" s="471"/>
    </row>
    <row r="2717" spans="1:8" x14ac:dyDescent="0.35">
      <c r="A2717" s="467">
        <v>41710</v>
      </c>
      <c r="B2717" s="468">
        <v>4.1167229323569199E-2</v>
      </c>
      <c r="C2717" s="468">
        <v>6.5167503286241768E-2</v>
      </c>
      <c r="D2717" s="469">
        <v>7.6553168254951176E-2</v>
      </c>
      <c r="G2717" s="470"/>
      <c r="H2717" s="471"/>
    </row>
    <row r="2718" spans="1:8" x14ac:dyDescent="0.35">
      <c r="A2718" s="467">
        <v>41711</v>
      </c>
      <c r="B2718" s="468">
        <v>4.101318107430485E-2</v>
      </c>
      <c r="C2718" s="468">
        <v>6.5028681216781292E-2</v>
      </c>
      <c r="D2718" s="469">
        <v>7.6427599973736715E-2</v>
      </c>
      <c r="G2718" s="470"/>
      <c r="H2718" s="471"/>
    </row>
    <row r="2719" spans="1:8" x14ac:dyDescent="0.35">
      <c r="A2719" s="467">
        <v>41712</v>
      </c>
      <c r="B2719" s="468">
        <v>4.1174842790786315E-2</v>
      </c>
      <c r="C2719" s="468">
        <v>6.5049833434121185E-2</v>
      </c>
      <c r="D2719" s="469">
        <v>7.6455513908717965E-2</v>
      </c>
      <c r="G2719" s="470"/>
      <c r="H2719" s="471"/>
    </row>
    <row r="2720" spans="1:8" x14ac:dyDescent="0.35">
      <c r="A2720" s="467">
        <v>41715</v>
      </c>
      <c r="B2720" s="468">
        <v>4.1571976331645555E-2</v>
      </c>
      <c r="C2720" s="468">
        <v>6.47252394544231E-2</v>
      </c>
      <c r="D2720" s="469">
        <v>7.5213790331521535E-2</v>
      </c>
      <c r="G2720" s="470"/>
      <c r="H2720" s="471"/>
    </row>
    <row r="2721" spans="1:8" x14ac:dyDescent="0.35">
      <c r="A2721" s="467">
        <v>41716</v>
      </c>
      <c r="B2721" s="468">
        <v>4.1911234001333009E-2</v>
      </c>
      <c r="C2721" s="468">
        <v>6.5112676121063418E-2</v>
      </c>
      <c r="D2721" s="469">
        <v>7.6328307807500995E-2</v>
      </c>
      <c r="G2721" s="470"/>
      <c r="H2721" s="471"/>
    </row>
    <row r="2722" spans="1:8" x14ac:dyDescent="0.35">
      <c r="A2722" s="467">
        <v>41717</v>
      </c>
      <c r="B2722" s="468">
        <v>4.163011484951018E-2</v>
      </c>
      <c r="C2722" s="468">
        <v>6.3861237850286301E-2</v>
      </c>
      <c r="D2722" s="469">
        <v>7.4179740017515927E-2</v>
      </c>
      <c r="G2722" s="470"/>
      <c r="H2722" s="471"/>
    </row>
    <row r="2723" spans="1:8" x14ac:dyDescent="0.35">
      <c r="A2723" s="467">
        <v>41718</v>
      </c>
      <c r="B2723" s="468">
        <v>4.1020720138897238E-2</v>
      </c>
      <c r="C2723" s="468">
        <v>6.1742929675671077E-2</v>
      </c>
      <c r="D2723" s="469">
        <v>7.1429045314496342E-2</v>
      </c>
      <c r="G2723" s="470"/>
      <c r="H2723" s="471"/>
    </row>
    <row r="2724" spans="1:8" x14ac:dyDescent="0.35">
      <c r="A2724" s="467">
        <v>41719</v>
      </c>
      <c r="B2724" s="468">
        <v>4.0954488181856874E-2</v>
      </c>
      <c r="C2724" s="468">
        <v>6.1577770452590608E-2</v>
      </c>
      <c r="D2724" s="469">
        <v>7.1472344039260616E-2</v>
      </c>
      <c r="G2724" s="470"/>
      <c r="H2724" s="471"/>
    </row>
    <row r="2725" spans="1:8" x14ac:dyDescent="0.35">
      <c r="A2725" s="467">
        <v>41723</v>
      </c>
      <c r="B2725" s="468">
        <v>4.12911295945384E-2</v>
      </c>
      <c r="C2725" s="468">
        <v>6.148015547581287E-2</v>
      </c>
      <c r="D2725" s="469">
        <v>7.0482487638077851E-2</v>
      </c>
      <c r="G2725" s="470"/>
      <c r="H2725" s="471"/>
    </row>
    <row r="2726" spans="1:8" x14ac:dyDescent="0.35">
      <c r="A2726" s="467">
        <v>41724</v>
      </c>
      <c r="B2726" s="468">
        <v>4.0823419569185226E-2</v>
      </c>
      <c r="C2726" s="468">
        <v>5.9760141924999566E-2</v>
      </c>
      <c r="D2726" s="469">
        <v>6.8830837315220217E-2</v>
      </c>
      <c r="G2726" s="470"/>
      <c r="H2726" s="471"/>
    </row>
    <row r="2727" spans="1:8" x14ac:dyDescent="0.35">
      <c r="A2727" s="467">
        <v>41725</v>
      </c>
      <c r="B2727" s="468">
        <v>4.0970434120114474E-2</v>
      </c>
      <c r="C2727" s="468">
        <v>5.9179137586876873E-2</v>
      </c>
      <c r="D2727" s="469">
        <v>6.8616574731875435E-2</v>
      </c>
      <c r="G2727" s="470"/>
      <c r="H2727" s="471"/>
    </row>
    <row r="2728" spans="1:8" x14ac:dyDescent="0.35">
      <c r="A2728" s="467">
        <v>41726</v>
      </c>
      <c r="B2728" s="468">
        <v>4.1224674785138138E-2</v>
      </c>
      <c r="C2728" s="468">
        <v>5.9325263402016715E-2</v>
      </c>
      <c r="D2728" s="469">
        <v>6.8391009283963466E-2</v>
      </c>
      <c r="G2728" s="470"/>
      <c r="H2728" s="471"/>
    </row>
    <row r="2729" spans="1:8" x14ac:dyDescent="0.35">
      <c r="A2729" s="467">
        <v>41729</v>
      </c>
      <c r="B2729" s="468">
        <v>4.143164631165952E-2</v>
      </c>
      <c r="C2729" s="468">
        <v>5.9304955904361689E-2</v>
      </c>
      <c r="D2729" s="469">
        <v>6.7733110084298387E-2</v>
      </c>
      <c r="G2729" s="470"/>
      <c r="H2729" s="471"/>
    </row>
    <row r="2730" spans="1:8" x14ac:dyDescent="0.35">
      <c r="A2730" s="467">
        <v>41730</v>
      </c>
      <c r="B2730" s="468">
        <v>4.156785301267174E-2</v>
      </c>
      <c r="C2730" s="468">
        <v>5.88321440173043E-2</v>
      </c>
      <c r="D2730" s="469">
        <v>6.8500391579254138E-2</v>
      </c>
      <c r="G2730" s="470"/>
      <c r="H2730" s="471"/>
    </row>
    <row r="2731" spans="1:8" x14ac:dyDescent="0.35">
      <c r="A2731" s="467">
        <v>41731</v>
      </c>
      <c r="B2731" s="468">
        <v>4.160247380857518E-2</v>
      </c>
      <c r="C2731" s="468">
        <v>5.9078644520209833E-2</v>
      </c>
      <c r="D2731" s="469">
        <v>6.8304152322037126E-2</v>
      </c>
      <c r="G2731" s="470"/>
      <c r="H2731" s="471"/>
    </row>
    <row r="2732" spans="1:8" x14ac:dyDescent="0.35">
      <c r="A2732" s="467">
        <v>41732</v>
      </c>
      <c r="B2732" s="468">
        <v>4.151083506932407E-2</v>
      </c>
      <c r="C2732" s="468">
        <v>5.8984703425283058E-2</v>
      </c>
      <c r="D2732" s="469">
        <v>6.8450489429728867E-2</v>
      </c>
      <c r="G2732" s="470"/>
      <c r="H2732" s="471"/>
    </row>
    <row r="2733" spans="1:8" x14ac:dyDescent="0.35">
      <c r="A2733" s="467">
        <v>41733</v>
      </c>
      <c r="B2733" s="468">
        <v>4.1703116994446621E-2</v>
      </c>
      <c r="C2733" s="468">
        <v>5.8648781511198456E-2</v>
      </c>
      <c r="D2733" s="469">
        <v>6.6726059687973294E-2</v>
      </c>
      <c r="G2733" s="470"/>
      <c r="H2733" s="471"/>
    </row>
    <row r="2734" spans="1:8" x14ac:dyDescent="0.35">
      <c r="A2734" s="467">
        <v>41736</v>
      </c>
      <c r="B2734" s="468">
        <v>4.1740670104589483E-2</v>
      </c>
      <c r="C2734" s="468">
        <v>5.8183991988693951E-2</v>
      </c>
      <c r="D2734" s="469">
        <v>6.6885440028972232E-2</v>
      </c>
      <c r="G2734" s="470"/>
      <c r="H2734" s="471"/>
    </row>
    <row r="2735" spans="1:8" x14ac:dyDescent="0.35">
      <c r="A2735" s="467">
        <v>41737</v>
      </c>
      <c r="B2735" s="468">
        <v>4.1372607315418142E-2</v>
      </c>
      <c r="C2735" s="468">
        <v>5.7049906945893625E-2</v>
      </c>
      <c r="D2735" s="469">
        <v>6.5151705900869494E-2</v>
      </c>
      <c r="G2735" s="470"/>
      <c r="H2735" s="471"/>
    </row>
    <row r="2736" spans="1:8" x14ac:dyDescent="0.35">
      <c r="A2736" s="467">
        <v>41738</v>
      </c>
      <c r="B2736" s="468">
        <v>4.1581269146282462E-2</v>
      </c>
      <c r="C2736" s="468">
        <v>5.704927965497042E-2</v>
      </c>
      <c r="D2736" s="469">
        <v>6.4948617104938267E-2</v>
      </c>
      <c r="G2736" s="470"/>
      <c r="H2736" s="471"/>
    </row>
    <row r="2737" spans="1:8" x14ac:dyDescent="0.35">
      <c r="A2737" s="467">
        <v>41739</v>
      </c>
      <c r="B2737" s="468">
        <v>4.1778808740388307E-2</v>
      </c>
      <c r="C2737" s="468">
        <v>5.7215410546467282E-2</v>
      </c>
      <c r="D2737" s="469">
        <v>6.4997359850108349E-2</v>
      </c>
      <c r="G2737" s="470"/>
      <c r="H2737" s="471"/>
    </row>
    <row r="2738" spans="1:8" x14ac:dyDescent="0.35">
      <c r="A2738" s="467">
        <v>41740</v>
      </c>
      <c r="B2738" s="468">
        <v>4.1741591222564711E-2</v>
      </c>
      <c r="C2738" s="468">
        <v>5.7175797109559001E-2</v>
      </c>
      <c r="D2738" s="469">
        <v>6.4397526360820079E-2</v>
      </c>
      <c r="G2738" s="470"/>
      <c r="H2738" s="471"/>
    </row>
    <row r="2739" spans="1:8" x14ac:dyDescent="0.35">
      <c r="A2739" s="467">
        <v>41743</v>
      </c>
      <c r="B2739" s="468">
        <v>4.1632872288739131E-2</v>
      </c>
      <c r="C2739" s="468">
        <v>5.7129515724216207E-2</v>
      </c>
      <c r="D2739" s="469">
        <v>6.4684353563351671E-2</v>
      </c>
      <c r="G2739" s="470"/>
      <c r="H2739" s="471"/>
    </row>
    <row r="2740" spans="1:8" x14ac:dyDescent="0.35">
      <c r="A2740" s="467">
        <v>41744</v>
      </c>
      <c r="B2740" s="468">
        <v>4.1817231523534337E-2</v>
      </c>
      <c r="C2740" s="468">
        <v>5.7365790137054562E-2</v>
      </c>
      <c r="D2740" s="469">
        <v>6.6266954953414947E-2</v>
      </c>
      <c r="G2740" s="470"/>
      <c r="H2740" s="471"/>
    </row>
    <row r="2741" spans="1:8" x14ac:dyDescent="0.35">
      <c r="A2741" s="467">
        <v>41745</v>
      </c>
      <c r="B2741" s="468">
        <v>4.1296380763589102E-2</v>
      </c>
      <c r="C2741" s="468">
        <v>5.7566774470460214E-2</v>
      </c>
      <c r="D2741" s="469">
        <v>6.4693061027481846E-2</v>
      </c>
      <c r="G2741" s="470"/>
      <c r="H2741" s="471"/>
    </row>
    <row r="2742" spans="1:8" x14ac:dyDescent="0.35">
      <c r="A2742" s="467">
        <v>41750</v>
      </c>
      <c r="B2742" s="468">
        <v>4.203362316410697E-2</v>
      </c>
      <c r="C2742" s="468">
        <v>5.7358821839537333E-2</v>
      </c>
      <c r="D2742" s="469">
        <v>6.4997310447860723E-2</v>
      </c>
      <c r="G2742" s="470"/>
      <c r="H2742" s="471"/>
    </row>
    <row r="2743" spans="1:8" x14ac:dyDescent="0.35">
      <c r="A2743" s="467">
        <v>41751</v>
      </c>
      <c r="B2743" s="468">
        <v>4.2314954964707274E-2</v>
      </c>
      <c r="C2743" s="468">
        <v>5.7636785259430612E-2</v>
      </c>
      <c r="D2743" s="469">
        <v>6.6156078038781985E-2</v>
      </c>
      <c r="G2743" s="470"/>
      <c r="H2743" s="471"/>
    </row>
    <row r="2744" spans="1:8" x14ac:dyDescent="0.35">
      <c r="A2744" s="467">
        <v>41752</v>
      </c>
      <c r="B2744" s="468">
        <v>4.2675294934982011E-2</v>
      </c>
      <c r="C2744" s="468">
        <v>5.8312719269050906E-2</v>
      </c>
      <c r="D2744" s="469">
        <v>6.5044731882212714E-2</v>
      </c>
      <c r="G2744" s="470"/>
      <c r="H2744" s="471"/>
    </row>
    <row r="2745" spans="1:8" x14ac:dyDescent="0.35">
      <c r="A2745" s="467">
        <v>41753</v>
      </c>
      <c r="B2745" s="468">
        <v>4.322228947033957E-2</v>
      </c>
      <c r="C2745" s="468">
        <v>5.9057812507897323E-2</v>
      </c>
      <c r="D2745" s="469">
        <v>6.5609830956861126E-2</v>
      </c>
      <c r="G2745" s="470"/>
      <c r="H2745" s="471"/>
    </row>
    <row r="2746" spans="1:8" x14ac:dyDescent="0.35">
      <c r="A2746" s="467">
        <v>41754</v>
      </c>
      <c r="B2746" s="468">
        <v>4.3120517297331462E-2</v>
      </c>
      <c r="C2746" s="468">
        <v>5.8866543341205002E-2</v>
      </c>
      <c r="D2746" s="469">
        <v>6.5622830650124975E-2</v>
      </c>
      <c r="G2746" s="470"/>
      <c r="H2746" s="471"/>
    </row>
    <row r="2747" spans="1:8" x14ac:dyDescent="0.35">
      <c r="A2747" s="467">
        <v>41757</v>
      </c>
      <c r="B2747" s="468">
        <v>4.3769799497192841E-2</v>
      </c>
      <c r="C2747" s="468">
        <v>6.0660618323495674E-2</v>
      </c>
      <c r="D2747" s="469">
        <v>6.6315882788516634E-2</v>
      </c>
      <c r="G2747" s="470"/>
      <c r="H2747" s="471"/>
    </row>
    <row r="2748" spans="1:8" x14ac:dyDescent="0.35">
      <c r="A2748" s="467">
        <v>41758</v>
      </c>
      <c r="B2748" s="468">
        <v>4.4330094570384393E-2</v>
      </c>
      <c r="C2748" s="468">
        <v>6.0416784526881484E-2</v>
      </c>
      <c r="D2748" s="469">
        <v>6.620751453881546E-2</v>
      </c>
      <c r="G2748" s="470"/>
      <c r="H2748" s="471"/>
    </row>
    <row r="2749" spans="1:8" x14ac:dyDescent="0.35">
      <c r="A2749" s="467">
        <v>41759</v>
      </c>
      <c r="B2749" s="468">
        <v>4.3542179935257774E-2</v>
      </c>
      <c r="C2749" s="468">
        <v>6.0288145767391832E-2</v>
      </c>
      <c r="D2749" s="469">
        <v>6.7693987959750013E-2</v>
      </c>
      <c r="G2749" s="470"/>
      <c r="H2749" s="471"/>
    </row>
    <row r="2750" spans="1:8" x14ac:dyDescent="0.35">
      <c r="A2750" s="467">
        <v>41761</v>
      </c>
      <c r="B2750" s="468">
        <v>4.3906652859235784E-2</v>
      </c>
      <c r="C2750" s="468">
        <v>6.0483114563996576E-2</v>
      </c>
      <c r="D2750" s="469">
        <v>6.7833223398388487E-2</v>
      </c>
      <c r="G2750" s="470"/>
      <c r="H2750" s="471"/>
    </row>
    <row r="2751" spans="1:8" x14ac:dyDescent="0.35">
      <c r="A2751" s="467">
        <v>41764</v>
      </c>
      <c r="B2751" s="468">
        <v>4.4257188365431244E-2</v>
      </c>
      <c r="C2751" s="468">
        <v>6.0457728946545108E-2</v>
      </c>
      <c r="D2751" s="469">
        <v>6.7569797994910585E-2</v>
      </c>
      <c r="G2751" s="470"/>
      <c r="H2751" s="471"/>
    </row>
    <row r="2752" spans="1:8" x14ac:dyDescent="0.35">
      <c r="A2752" s="467">
        <v>41765</v>
      </c>
      <c r="B2752" s="468">
        <v>4.4134884890067339E-2</v>
      </c>
      <c r="C2752" s="468">
        <v>6.0812341329521624E-2</v>
      </c>
      <c r="D2752" s="469">
        <v>6.7488876455182201E-2</v>
      </c>
      <c r="G2752" s="470"/>
      <c r="H2752" s="471"/>
    </row>
    <row r="2753" spans="1:8" x14ac:dyDescent="0.35">
      <c r="A2753" s="467">
        <v>41766</v>
      </c>
      <c r="B2753" s="468">
        <v>4.4040269854068059E-2</v>
      </c>
      <c r="C2753" s="468">
        <v>6.0437880356187801E-2</v>
      </c>
      <c r="D2753" s="469">
        <v>6.6726308498717968E-2</v>
      </c>
      <c r="G2753" s="470"/>
      <c r="H2753" s="471"/>
    </row>
    <row r="2754" spans="1:8" x14ac:dyDescent="0.35">
      <c r="A2754" s="467">
        <v>41767</v>
      </c>
      <c r="B2754" s="468">
        <v>4.4377442365361564E-2</v>
      </c>
      <c r="C2754" s="468">
        <v>5.9803526981773603E-2</v>
      </c>
      <c r="D2754" s="469">
        <v>6.5966242648865414E-2</v>
      </c>
      <c r="G2754" s="470"/>
      <c r="H2754" s="471"/>
    </row>
    <row r="2755" spans="1:8" x14ac:dyDescent="0.35">
      <c r="A2755" s="467">
        <v>41768</v>
      </c>
      <c r="B2755" s="468">
        <v>4.4749953728544734E-2</v>
      </c>
      <c r="C2755" s="468">
        <v>6.0017989851929299E-2</v>
      </c>
      <c r="D2755" s="469">
        <v>6.5472861747688738E-2</v>
      </c>
      <c r="G2755" s="470"/>
      <c r="H2755" s="471"/>
    </row>
    <row r="2756" spans="1:8" x14ac:dyDescent="0.35">
      <c r="A2756" s="467">
        <v>41771</v>
      </c>
      <c r="B2756" s="468">
        <v>4.5061988884818494E-2</v>
      </c>
      <c r="C2756" s="468">
        <v>6.0155437981890936E-2</v>
      </c>
      <c r="D2756" s="469">
        <v>6.5517666048029888E-2</v>
      </c>
      <c r="G2756" s="470"/>
      <c r="H2756" s="471"/>
    </row>
    <row r="2757" spans="1:8" x14ac:dyDescent="0.35">
      <c r="A2757" s="467">
        <v>41772</v>
      </c>
      <c r="B2757" s="468">
        <v>4.4865787812134128E-2</v>
      </c>
      <c r="C2757" s="468">
        <v>6.0589610570352725E-2</v>
      </c>
      <c r="D2757" s="469">
        <v>6.6691413181029224E-2</v>
      </c>
      <c r="G2757" s="470"/>
      <c r="H2757" s="471"/>
    </row>
    <row r="2758" spans="1:8" x14ac:dyDescent="0.35">
      <c r="A2758" s="467">
        <v>41773</v>
      </c>
      <c r="B2758" s="468">
        <v>4.3723064813466328E-2</v>
      </c>
      <c r="C2758" s="468">
        <v>6.0877645956333382E-2</v>
      </c>
      <c r="D2758" s="469">
        <v>6.7056674378267234E-2</v>
      </c>
      <c r="G2758" s="470"/>
      <c r="H2758" s="471"/>
    </row>
    <row r="2759" spans="1:8" x14ac:dyDescent="0.35">
      <c r="A2759" s="467">
        <v>41774</v>
      </c>
      <c r="B2759" s="468">
        <v>4.4603657332727753E-2</v>
      </c>
      <c r="C2759" s="468">
        <v>6.1516470287004577E-2</v>
      </c>
      <c r="D2759" s="469">
        <v>6.6655138562768501E-2</v>
      </c>
      <c r="G2759" s="470"/>
      <c r="H2759" s="471"/>
    </row>
    <row r="2760" spans="1:8" x14ac:dyDescent="0.35">
      <c r="A2760" s="467">
        <v>41775</v>
      </c>
      <c r="B2760" s="468">
        <v>4.5082651040954769E-2</v>
      </c>
      <c r="C2760" s="468">
        <v>6.0961225886186909E-2</v>
      </c>
      <c r="D2760" s="469">
        <v>6.5063539070769449E-2</v>
      </c>
      <c r="G2760" s="470"/>
      <c r="H2760" s="471"/>
    </row>
    <row r="2761" spans="1:8" x14ac:dyDescent="0.35">
      <c r="A2761" s="467">
        <v>41778</v>
      </c>
      <c r="B2761" s="468">
        <v>4.5496710159472098E-2</v>
      </c>
      <c r="C2761" s="468">
        <v>6.1425257593615612E-2</v>
      </c>
      <c r="D2761" s="469">
        <v>6.57518353215929E-2</v>
      </c>
      <c r="G2761" s="470"/>
      <c r="H2761" s="471"/>
    </row>
    <row r="2762" spans="1:8" x14ac:dyDescent="0.35">
      <c r="A2762" s="467">
        <v>41779</v>
      </c>
      <c r="B2762" s="468">
        <v>4.4703214607799024E-2</v>
      </c>
      <c r="C2762" s="468">
        <v>6.0802701745360066E-2</v>
      </c>
      <c r="D2762" s="469">
        <v>6.6863837790886116E-2</v>
      </c>
      <c r="G2762" s="470"/>
      <c r="H2762" s="471"/>
    </row>
    <row r="2763" spans="1:8" x14ac:dyDescent="0.35">
      <c r="A2763" s="467">
        <v>41780</v>
      </c>
      <c r="B2763" s="468">
        <v>4.5322394952266976E-2</v>
      </c>
      <c r="C2763" s="468">
        <v>6.0814079819124123E-2</v>
      </c>
      <c r="D2763" s="469">
        <v>6.6308081556619713E-2</v>
      </c>
      <c r="G2763" s="470"/>
      <c r="H2763" s="471"/>
    </row>
    <row r="2764" spans="1:8" x14ac:dyDescent="0.35">
      <c r="A2764" s="467">
        <v>41781</v>
      </c>
      <c r="B2764" s="468">
        <v>4.4899217206808562E-2</v>
      </c>
      <c r="C2764" s="468">
        <v>6.0244143487205415E-2</v>
      </c>
      <c r="D2764" s="469">
        <v>6.431348288203953E-2</v>
      </c>
      <c r="G2764" s="470"/>
      <c r="H2764" s="471"/>
    </row>
    <row r="2765" spans="1:8" x14ac:dyDescent="0.35">
      <c r="A2765" s="467">
        <v>41782</v>
      </c>
      <c r="B2765" s="468">
        <v>4.5077161647705255E-2</v>
      </c>
      <c r="C2765" s="468">
        <v>6.0161782081482595E-2</v>
      </c>
      <c r="D2765" s="469">
        <v>6.600233888405338E-2</v>
      </c>
      <c r="G2765" s="470"/>
      <c r="H2765" s="471"/>
    </row>
    <row r="2766" spans="1:8" x14ac:dyDescent="0.35">
      <c r="A2766" s="467">
        <v>41785</v>
      </c>
      <c r="B2766" s="468">
        <v>4.5827011949810093E-2</v>
      </c>
      <c r="C2766" s="468">
        <v>6.0371940429776227E-2</v>
      </c>
      <c r="D2766" s="469">
        <v>6.4666572352964469E-2</v>
      </c>
      <c r="G2766" s="470"/>
      <c r="H2766" s="471"/>
    </row>
    <row r="2767" spans="1:8" x14ac:dyDescent="0.35">
      <c r="A2767" s="467">
        <v>41786</v>
      </c>
      <c r="B2767" s="468">
        <v>4.6783365620837181E-2</v>
      </c>
      <c r="C2767" s="468">
        <v>6.0725778765050142E-2</v>
      </c>
      <c r="D2767" s="469">
        <v>6.4264279733635243E-2</v>
      </c>
      <c r="G2767" s="470"/>
      <c r="H2767" s="471"/>
    </row>
    <row r="2768" spans="1:8" x14ac:dyDescent="0.35">
      <c r="A2768" s="467">
        <v>41787</v>
      </c>
      <c r="B2768" s="468">
        <v>4.5601743637533998E-2</v>
      </c>
      <c r="C2768" s="468">
        <v>6.0266214054121248E-2</v>
      </c>
      <c r="D2768" s="469">
        <v>6.6558844621087854E-2</v>
      </c>
      <c r="G2768" s="470"/>
      <c r="H2768" s="471"/>
    </row>
    <row r="2769" spans="1:8" x14ac:dyDescent="0.35">
      <c r="A2769" s="467">
        <v>41788</v>
      </c>
      <c r="B2769" s="468">
        <v>4.5916998853959612E-2</v>
      </c>
      <c r="C2769" s="468">
        <v>6.0665908371544841E-2</v>
      </c>
      <c r="D2769" s="469">
        <v>6.5169088107835504E-2</v>
      </c>
      <c r="G2769" s="470"/>
      <c r="H2769" s="471"/>
    </row>
    <row r="2770" spans="1:8" x14ac:dyDescent="0.35">
      <c r="A2770" s="467">
        <v>41789</v>
      </c>
      <c r="B2770" s="468">
        <v>4.5276929013394085E-2</v>
      </c>
      <c r="C2770" s="468">
        <v>6.0544525594061538E-2</v>
      </c>
      <c r="D2770" s="469">
        <v>6.6311655414399651E-2</v>
      </c>
      <c r="G2770" s="470"/>
      <c r="H2770" s="471"/>
    </row>
    <row r="2771" spans="1:8" x14ac:dyDescent="0.35">
      <c r="A2771" s="467">
        <v>41793</v>
      </c>
      <c r="B2771" s="468">
        <v>4.688994345121178E-2</v>
      </c>
      <c r="C2771" s="468">
        <v>6.0413607983790918E-2</v>
      </c>
      <c r="D2771" s="469">
        <v>6.7031342295520657E-2</v>
      </c>
      <c r="G2771" s="470"/>
      <c r="H2771" s="471"/>
    </row>
    <row r="2772" spans="1:8" x14ac:dyDescent="0.35">
      <c r="A2772" s="467">
        <v>41794</v>
      </c>
      <c r="B2772" s="468">
        <v>4.6271402679434193E-2</v>
      </c>
      <c r="C2772" s="468">
        <v>6.0768899651670871E-2</v>
      </c>
      <c r="D2772" s="469">
        <v>6.7295119802845527E-2</v>
      </c>
      <c r="G2772" s="470"/>
      <c r="H2772" s="471"/>
    </row>
    <row r="2773" spans="1:8" x14ac:dyDescent="0.35">
      <c r="A2773" s="467">
        <v>41795</v>
      </c>
      <c r="B2773" s="468">
        <v>4.5931235855405594E-2</v>
      </c>
      <c r="C2773" s="468">
        <v>6.0396852747845786E-2</v>
      </c>
      <c r="D2773" s="469">
        <v>6.6967586922919375E-2</v>
      </c>
      <c r="G2773" s="470"/>
      <c r="H2773" s="471"/>
    </row>
    <row r="2774" spans="1:8" x14ac:dyDescent="0.35">
      <c r="A2774" s="467">
        <v>41796</v>
      </c>
      <c r="B2774" s="468">
        <v>4.5358651458502264E-2</v>
      </c>
      <c r="C2774" s="468">
        <v>6.0030631737189033E-2</v>
      </c>
      <c r="D2774" s="469">
        <v>6.6688360859653351E-2</v>
      </c>
      <c r="G2774" s="470"/>
      <c r="H2774" s="471"/>
    </row>
    <row r="2775" spans="1:8" x14ac:dyDescent="0.35">
      <c r="A2775" s="467">
        <v>41799</v>
      </c>
      <c r="B2775" s="468">
        <v>4.6385462736294736E-2</v>
      </c>
      <c r="C2775" s="468">
        <v>6.0172316886379473E-2</v>
      </c>
      <c r="D2775" s="469">
        <v>6.6295293630310503E-2</v>
      </c>
      <c r="G2775" s="470"/>
      <c r="H2775" s="471"/>
    </row>
    <row r="2776" spans="1:8" x14ac:dyDescent="0.35">
      <c r="A2776" s="467">
        <v>41800</v>
      </c>
      <c r="B2776" s="468">
        <v>4.5692732766525523E-2</v>
      </c>
      <c r="C2776" s="468">
        <v>6.0305270020222235E-2</v>
      </c>
      <c r="D2776" s="469">
        <v>6.687081225849667E-2</v>
      </c>
      <c r="G2776" s="470"/>
      <c r="H2776" s="471"/>
    </row>
    <row r="2777" spans="1:8" x14ac:dyDescent="0.35">
      <c r="A2777" s="467">
        <v>41801</v>
      </c>
      <c r="B2777" s="468">
        <v>4.6224813630330708E-2</v>
      </c>
      <c r="C2777" s="468">
        <v>6.0096354465409174E-2</v>
      </c>
      <c r="D2777" s="469">
        <v>6.6897497176822807E-2</v>
      </c>
      <c r="G2777" s="470"/>
      <c r="H2777" s="471"/>
    </row>
    <row r="2778" spans="1:8" x14ac:dyDescent="0.35">
      <c r="A2778" s="467">
        <v>41802</v>
      </c>
      <c r="B2778" s="468">
        <v>4.6291017683197433E-2</v>
      </c>
      <c r="C2778" s="468">
        <v>6.0352779311214411E-2</v>
      </c>
      <c r="D2778" s="469">
        <v>6.5130256337066816E-2</v>
      </c>
      <c r="G2778" s="470"/>
      <c r="H2778" s="471"/>
    </row>
    <row r="2779" spans="1:8" x14ac:dyDescent="0.35">
      <c r="A2779" s="467">
        <v>41803</v>
      </c>
      <c r="B2779" s="468">
        <v>4.6515906296232368E-2</v>
      </c>
      <c r="C2779" s="468">
        <v>6.0338710909677129E-2</v>
      </c>
      <c r="D2779" s="469">
        <v>6.6483626778076843E-2</v>
      </c>
      <c r="G2779" s="470"/>
      <c r="H2779" s="471"/>
    </row>
    <row r="2780" spans="1:8" x14ac:dyDescent="0.35">
      <c r="A2780" s="467">
        <v>41806</v>
      </c>
      <c r="B2780" s="468">
        <v>4.7214030615190472E-2</v>
      </c>
      <c r="C2780" s="468">
        <v>6.0911485672558996E-2</v>
      </c>
      <c r="D2780" s="469">
        <v>6.7116821414934913E-2</v>
      </c>
      <c r="G2780" s="470"/>
      <c r="H2780" s="471"/>
    </row>
    <row r="2781" spans="1:8" x14ac:dyDescent="0.35">
      <c r="A2781" s="467">
        <v>41807</v>
      </c>
      <c r="B2781" s="468">
        <v>4.8185743942365855E-2</v>
      </c>
      <c r="C2781" s="468">
        <v>6.2653666817411802E-2</v>
      </c>
      <c r="D2781" s="469">
        <v>6.8306324121654161E-2</v>
      </c>
      <c r="G2781" s="470"/>
      <c r="H2781" s="471"/>
    </row>
    <row r="2782" spans="1:8" x14ac:dyDescent="0.35">
      <c r="A2782" s="467">
        <v>41808</v>
      </c>
      <c r="B2782" s="468">
        <v>4.7696661278513686E-2</v>
      </c>
      <c r="C2782" s="468">
        <v>6.2806864937525075E-2</v>
      </c>
      <c r="D2782" s="469">
        <v>6.9115841360836816E-2</v>
      </c>
      <c r="G2782" s="470"/>
      <c r="H2782" s="471"/>
    </row>
    <row r="2783" spans="1:8" x14ac:dyDescent="0.35">
      <c r="A2783" s="467">
        <v>41809</v>
      </c>
      <c r="B2783" s="468">
        <v>4.795461481633545E-2</v>
      </c>
      <c r="C2783" s="468">
        <v>6.236613447796624E-2</v>
      </c>
      <c r="D2783" s="469">
        <v>6.8673563543593774E-2</v>
      </c>
      <c r="G2783" s="470"/>
      <c r="H2783" s="471"/>
    </row>
    <row r="2784" spans="1:8" x14ac:dyDescent="0.35">
      <c r="A2784" s="467">
        <v>41810</v>
      </c>
      <c r="B2784" s="468">
        <v>4.8312050104682758E-2</v>
      </c>
      <c r="C2784" s="468">
        <v>6.2433644590358384E-2</v>
      </c>
      <c r="D2784" s="469">
        <v>6.7623972941605492E-2</v>
      </c>
      <c r="G2784" s="470"/>
      <c r="H2784" s="471"/>
    </row>
    <row r="2785" spans="1:8" x14ac:dyDescent="0.35">
      <c r="A2785" s="467">
        <v>41814</v>
      </c>
      <c r="B2785" s="468">
        <v>4.7878728533491177E-2</v>
      </c>
      <c r="C2785" s="468">
        <v>6.2158341784148252E-2</v>
      </c>
      <c r="D2785" s="469">
        <v>6.8132006031927483E-2</v>
      </c>
      <c r="G2785" s="470"/>
      <c r="H2785" s="471"/>
    </row>
    <row r="2786" spans="1:8" x14ac:dyDescent="0.35">
      <c r="A2786" s="467">
        <v>41815</v>
      </c>
      <c r="B2786" s="468">
        <v>4.8252647828553652E-2</v>
      </c>
      <c r="C2786" s="468">
        <v>6.256596988519858E-2</v>
      </c>
      <c r="D2786" s="469">
        <v>6.8163239279699361E-2</v>
      </c>
      <c r="G2786" s="470"/>
      <c r="H2786" s="471"/>
    </row>
    <row r="2787" spans="1:8" x14ac:dyDescent="0.35">
      <c r="A2787" s="467">
        <v>41816</v>
      </c>
      <c r="B2787" s="468">
        <v>4.7496498917403818E-2</v>
      </c>
      <c r="C2787" s="468">
        <v>6.261777059471707E-2</v>
      </c>
      <c r="D2787" s="469">
        <v>6.7943830496932422E-2</v>
      </c>
      <c r="G2787" s="470"/>
      <c r="H2787" s="471"/>
    </row>
    <row r="2788" spans="1:8" x14ac:dyDescent="0.35">
      <c r="A2788" s="467">
        <v>41817</v>
      </c>
      <c r="B2788" s="468">
        <v>4.6981019733273843E-2</v>
      </c>
      <c r="C2788" s="468">
        <v>6.2446143005570942E-2</v>
      </c>
      <c r="D2788" s="469">
        <v>6.9032593424899424E-2</v>
      </c>
      <c r="G2788" s="470"/>
      <c r="H2788" s="471"/>
    </row>
    <row r="2789" spans="1:8" x14ac:dyDescent="0.35">
      <c r="A2789" s="467">
        <v>41821</v>
      </c>
      <c r="B2789" s="468">
        <v>4.7231221494188791E-2</v>
      </c>
      <c r="C2789" s="468">
        <v>6.2598026743658997E-2</v>
      </c>
      <c r="D2789" s="469">
        <v>6.8680635172551296E-2</v>
      </c>
      <c r="G2789" s="470"/>
      <c r="H2789" s="471"/>
    </row>
    <row r="2790" spans="1:8" x14ac:dyDescent="0.35">
      <c r="A2790" s="467">
        <v>41822</v>
      </c>
      <c r="B2790" s="468">
        <v>4.7615248749945938E-2</v>
      </c>
      <c r="C2790" s="468">
        <v>6.2861055963804535E-2</v>
      </c>
      <c r="D2790" s="469">
        <v>6.8854392966452238E-2</v>
      </c>
      <c r="G2790" s="470"/>
      <c r="H2790" s="471"/>
    </row>
    <row r="2791" spans="1:8" x14ac:dyDescent="0.35">
      <c r="A2791" s="467">
        <v>41823</v>
      </c>
      <c r="B2791" s="468">
        <v>4.8756137633112262E-2</v>
      </c>
      <c r="C2791" s="468">
        <v>6.3631561236768608E-2</v>
      </c>
      <c r="D2791" s="469">
        <v>6.8551309241626335E-2</v>
      </c>
      <c r="G2791" s="470"/>
      <c r="H2791" s="471"/>
    </row>
    <row r="2792" spans="1:8" x14ac:dyDescent="0.35">
      <c r="A2792" s="467">
        <v>41824</v>
      </c>
      <c r="B2792" s="468">
        <v>4.7612459331791701E-2</v>
      </c>
      <c r="C2792" s="468">
        <v>6.2869140335867879E-2</v>
      </c>
      <c r="D2792" s="469">
        <v>6.8027217823614095E-2</v>
      </c>
      <c r="G2792" s="470"/>
      <c r="H2792" s="471"/>
    </row>
    <row r="2793" spans="1:8" x14ac:dyDescent="0.35">
      <c r="A2793" s="467">
        <v>41827</v>
      </c>
      <c r="B2793" s="468">
        <v>4.7175476322135701E-2</v>
      </c>
      <c r="C2793" s="468">
        <v>6.2585931560106056E-2</v>
      </c>
      <c r="D2793" s="469">
        <v>6.8112891226389083E-2</v>
      </c>
      <c r="G2793" s="470"/>
      <c r="H2793" s="471"/>
    </row>
    <row r="2794" spans="1:8" x14ac:dyDescent="0.35">
      <c r="A2794" s="467">
        <v>41828</v>
      </c>
      <c r="B2794" s="468">
        <v>4.7573307079608496E-2</v>
      </c>
      <c r="C2794" s="468">
        <v>6.2470706489858419E-2</v>
      </c>
      <c r="D2794" s="469">
        <v>6.7270487367572018E-2</v>
      </c>
      <c r="G2794" s="470"/>
      <c r="H2794" s="471"/>
    </row>
    <row r="2795" spans="1:8" x14ac:dyDescent="0.35">
      <c r="A2795" s="467">
        <v>41829</v>
      </c>
      <c r="B2795" s="468">
        <v>4.7472251375260344E-2</v>
      </c>
      <c r="C2795" s="468">
        <v>6.2927995209115073E-2</v>
      </c>
      <c r="D2795" s="469">
        <v>6.8989595212005206E-2</v>
      </c>
      <c r="G2795" s="470"/>
      <c r="H2795" s="471"/>
    </row>
    <row r="2796" spans="1:8" x14ac:dyDescent="0.35">
      <c r="A2796" s="467">
        <v>41830</v>
      </c>
      <c r="B2796" s="468">
        <v>4.7436247624743855E-2</v>
      </c>
      <c r="C2796" s="468">
        <v>6.2841516336648029E-2</v>
      </c>
      <c r="D2796" s="469">
        <v>6.9003187698525315E-2</v>
      </c>
      <c r="G2796" s="470"/>
      <c r="H2796" s="471"/>
    </row>
    <row r="2797" spans="1:8" x14ac:dyDescent="0.35">
      <c r="A2797" s="467">
        <v>41831</v>
      </c>
      <c r="B2797" s="468">
        <v>4.7394715399115661E-2</v>
      </c>
      <c r="C2797" s="468">
        <v>6.2729829242670343E-2</v>
      </c>
      <c r="D2797" s="469">
        <v>6.9078303991580547E-2</v>
      </c>
      <c r="G2797" s="470"/>
      <c r="H2797" s="471"/>
    </row>
    <row r="2798" spans="1:8" x14ac:dyDescent="0.35">
      <c r="A2798" s="467">
        <v>41834</v>
      </c>
      <c r="B2798" s="468">
        <v>4.728497733061765E-2</v>
      </c>
      <c r="C2798" s="468">
        <v>6.2393708218456023E-2</v>
      </c>
      <c r="D2798" s="469">
        <v>6.8998579053930698E-2</v>
      </c>
      <c r="G2798" s="470"/>
      <c r="H2798" s="471"/>
    </row>
    <row r="2799" spans="1:8" x14ac:dyDescent="0.35">
      <c r="A2799" s="467">
        <v>41835</v>
      </c>
      <c r="B2799" s="468">
        <v>4.7867725548331297E-2</v>
      </c>
      <c r="C2799" s="468">
        <v>6.2665176700797964E-2</v>
      </c>
      <c r="D2799" s="469">
        <v>6.9058995968298786E-2</v>
      </c>
      <c r="G2799" s="470"/>
      <c r="H2799" s="471"/>
    </row>
    <row r="2800" spans="1:8" x14ac:dyDescent="0.35">
      <c r="A2800" s="467">
        <v>41836</v>
      </c>
      <c r="B2800" s="468">
        <v>4.7548151470772293E-2</v>
      </c>
      <c r="C2800" s="468">
        <v>6.2584608404415709E-2</v>
      </c>
      <c r="D2800" s="469">
        <v>6.9372439017859167E-2</v>
      </c>
      <c r="G2800" s="470"/>
      <c r="H2800" s="471"/>
    </row>
    <row r="2801" spans="1:8" x14ac:dyDescent="0.35">
      <c r="A2801" s="467">
        <v>41837</v>
      </c>
      <c r="B2801" s="468">
        <v>4.7178874229160561E-2</v>
      </c>
      <c r="C2801" s="468">
        <v>6.2094969298930325E-2</v>
      </c>
      <c r="D2801" s="469">
        <v>6.9298881800454959E-2</v>
      </c>
      <c r="G2801" s="470"/>
      <c r="H2801" s="471"/>
    </row>
    <row r="2802" spans="1:8" x14ac:dyDescent="0.35">
      <c r="A2802" s="467">
        <v>41838</v>
      </c>
      <c r="B2802" s="468">
        <v>4.7275681169715034E-2</v>
      </c>
      <c r="C2802" s="468">
        <v>6.2515295436212481E-2</v>
      </c>
      <c r="D2802" s="469">
        <v>6.9502098849446803E-2</v>
      </c>
      <c r="G2802" s="470"/>
      <c r="H2802" s="471"/>
    </row>
    <row r="2803" spans="1:8" x14ac:dyDescent="0.35">
      <c r="A2803" s="467">
        <v>41841</v>
      </c>
      <c r="B2803" s="468">
        <v>4.7350186971458097E-2</v>
      </c>
      <c r="C2803" s="468">
        <v>6.2817147983294408E-2</v>
      </c>
      <c r="D2803" s="469">
        <v>6.8996831916352086E-2</v>
      </c>
      <c r="G2803" s="470"/>
      <c r="H2803" s="471"/>
    </row>
    <row r="2804" spans="1:8" x14ac:dyDescent="0.35">
      <c r="A2804" s="467">
        <v>41842</v>
      </c>
      <c r="B2804" s="468">
        <v>4.7047777475498043E-2</v>
      </c>
      <c r="C2804" s="468">
        <v>6.1819990531382318E-2</v>
      </c>
      <c r="D2804" s="469">
        <v>6.884753803970578E-2</v>
      </c>
      <c r="G2804" s="470"/>
      <c r="H2804" s="471"/>
    </row>
    <row r="2805" spans="1:8" x14ac:dyDescent="0.35">
      <c r="A2805" s="467">
        <v>41843</v>
      </c>
      <c r="B2805" s="468">
        <v>4.7123211671050713E-2</v>
      </c>
      <c r="C2805" s="468">
        <v>6.1883804872317816E-2</v>
      </c>
      <c r="D2805" s="469">
        <v>6.834712011532873E-2</v>
      </c>
      <c r="G2805" s="470"/>
      <c r="H2805" s="471"/>
    </row>
    <row r="2806" spans="1:8" x14ac:dyDescent="0.35">
      <c r="A2806" s="467">
        <v>41844</v>
      </c>
      <c r="B2806" s="468">
        <v>4.7041721680034954E-2</v>
      </c>
      <c r="C2806" s="468">
        <v>6.148348394755887E-2</v>
      </c>
      <c r="D2806" s="469">
        <v>6.8127879778477451E-2</v>
      </c>
      <c r="G2806" s="470"/>
      <c r="H2806" s="471"/>
    </row>
    <row r="2807" spans="1:8" x14ac:dyDescent="0.35">
      <c r="A2807" s="467">
        <v>41845</v>
      </c>
      <c r="B2807" s="468">
        <v>4.7037295472410312E-2</v>
      </c>
      <c r="C2807" s="468">
        <v>6.1526152712546134E-2</v>
      </c>
      <c r="D2807" s="469">
        <v>6.8501314541378422E-2</v>
      </c>
      <c r="G2807" s="470"/>
      <c r="H2807" s="471"/>
    </row>
    <row r="2808" spans="1:8" x14ac:dyDescent="0.35">
      <c r="A2808" s="467">
        <v>41848</v>
      </c>
      <c r="B2808" s="468">
        <v>4.669076492016333E-2</v>
      </c>
      <c r="C2808" s="468">
        <v>6.0975625996675387E-2</v>
      </c>
      <c r="D2808" s="469">
        <v>6.8376176286501833E-2</v>
      </c>
      <c r="G2808" s="470"/>
      <c r="H2808" s="471"/>
    </row>
    <row r="2809" spans="1:8" x14ac:dyDescent="0.35">
      <c r="A2809" s="467">
        <v>41849</v>
      </c>
      <c r="B2809" s="468">
        <v>4.717221434621921E-2</v>
      </c>
      <c r="C2809" s="468">
        <v>6.1180947769291949E-2</v>
      </c>
      <c r="D2809" s="469">
        <v>6.7783431982318287E-2</v>
      </c>
      <c r="G2809" s="470"/>
      <c r="H2809" s="471"/>
    </row>
    <row r="2810" spans="1:8" x14ac:dyDescent="0.35">
      <c r="A2810" s="467">
        <v>41850</v>
      </c>
      <c r="B2810" s="468">
        <v>4.7389055944267788E-2</v>
      </c>
      <c r="C2810" s="468">
        <v>6.2006686957685409E-2</v>
      </c>
      <c r="D2810" s="469">
        <v>6.9476449392351203E-2</v>
      </c>
    </row>
    <row r="2811" spans="1:8" x14ac:dyDescent="0.35">
      <c r="A2811" s="467">
        <v>41851</v>
      </c>
      <c r="B2811" s="468">
        <v>4.768622904912112E-2</v>
      </c>
      <c r="C2811" s="468">
        <v>6.2582016094342663E-2</v>
      </c>
      <c r="D2811" s="469">
        <v>6.9748909246041269E-2</v>
      </c>
    </row>
    <row r="2812" spans="1:8" x14ac:dyDescent="0.35">
      <c r="A2812" s="467">
        <v>41852</v>
      </c>
      <c r="B2812" s="468">
        <v>4.8113908393515814E-2</v>
      </c>
      <c r="C2812" s="468">
        <v>6.1880477257606259E-2</v>
      </c>
      <c r="D2812" s="469">
        <v>6.9904514473194235E-2</v>
      </c>
    </row>
    <row r="2813" spans="1:8" x14ac:dyDescent="0.35">
      <c r="A2813" s="467">
        <v>41855</v>
      </c>
      <c r="B2813" s="468">
        <v>4.8132476330665641E-2</v>
      </c>
      <c r="C2813" s="468">
        <v>6.2278427855236185E-2</v>
      </c>
      <c r="D2813" s="469">
        <v>6.9426184009337533E-2</v>
      </c>
    </row>
    <row r="2814" spans="1:8" x14ac:dyDescent="0.35">
      <c r="A2814" s="467">
        <v>41856</v>
      </c>
      <c r="B2814" s="468">
        <v>4.7523047129215845E-2</v>
      </c>
      <c r="C2814" s="468">
        <v>6.2480032591262447E-2</v>
      </c>
      <c r="D2814" s="469">
        <v>6.9758520914463107E-2</v>
      </c>
    </row>
    <row r="2815" spans="1:8" x14ac:dyDescent="0.35">
      <c r="A2815" s="467">
        <v>41857</v>
      </c>
      <c r="B2815" s="468">
        <v>4.7514561177966819E-2</v>
      </c>
      <c r="C2815" s="468">
        <v>6.2130309360850067E-2</v>
      </c>
      <c r="D2815" s="469">
        <v>6.9674626629999681E-2</v>
      </c>
    </row>
    <row r="2816" spans="1:8" x14ac:dyDescent="0.35">
      <c r="A2816" s="467">
        <v>41859</v>
      </c>
      <c r="B2816" s="468">
        <v>4.8164261285123855E-2</v>
      </c>
      <c r="C2816" s="468">
        <v>6.2404803861674685E-2</v>
      </c>
      <c r="D2816" s="469">
        <v>6.9967506731338336E-2</v>
      </c>
    </row>
    <row r="2817" spans="1:5" x14ac:dyDescent="0.35">
      <c r="A2817" s="467">
        <v>41862</v>
      </c>
      <c r="B2817" s="468">
        <v>4.7841513314127448E-2</v>
      </c>
      <c r="C2817" s="468">
        <v>6.2316020335480671E-2</v>
      </c>
      <c r="D2817" s="469">
        <v>7.0162068833214963E-2</v>
      </c>
    </row>
    <row r="2818" spans="1:5" x14ac:dyDescent="0.35">
      <c r="A2818" s="467">
        <v>41863</v>
      </c>
      <c r="B2818" s="468">
        <v>4.8006089408428876E-2</v>
      </c>
      <c r="C2818" s="468">
        <v>6.2221002724771379E-2</v>
      </c>
      <c r="D2818" s="469">
        <v>6.9829639974491098E-2</v>
      </c>
    </row>
    <row r="2819" spans="1:5" x14ac:dyDescent="0.35">
      <c r="A2819" s="467">
        <v>41864</v>
      </c>
      <c r="B2819" s="468">
        <v>4.7662918628750273E-2</v>
      </c>
      <c r="C2819" s="468">
        <v>6.2040679555041223E-2</v>
      </c>
      <c r="D2819" s="469">
        <v>7.0436470611690893E-2</v>
      </c>
    </row>
    <row r="2820" spans="1:5" x14ac:dyDescent="0.35">
      <c r="A2820" s="467">
        <v>41865</v>
      </c>
      <c r="B2820" s="468">
        <v>4.8304785732274702E-2</v>
      </c>
      <c r="C2820" s="468">
        <v>6.2073162176136121E-2</v>
      </c>
      <c r="D2820" s="469">
        <v>6.9627363426211897E-2</v>
      </c>
    </row>
    <row r="2821" spans="1:5" x14ac:dyDescent="0.35">
      <c r="A2821" s="467">
        <v>41866</v>
      </c>
      <c r="B2821" s="468">
        <v>4.7272992863033991E-2</v>
      </c>
      <c r="C2821" s="468">
        <v>6.1139520677310433E-2</v>
      </c>
      <c r="D2821" s="469">
        <v>6.9652072909205831E-2</v>
      </c>
    </row>
    <row r="2822" spans="1:5" hidden="1" x14ac:dyDescent="0.35">
      <c r="A2822" s="467">
        <v>41870</v>
      </c>
      <c r="B2822" s="468">
        <v>4.7443314612220622E-2</v>
      </c>
      <c r="C2822" s="468">
        <v>6.1196360612064682E-2</v>
      </c>
      <c r="D2822" s="469">
        <v>6.9791039017154333E-2</v>
      </c>
    </row>
    <row r="2823" spans="1:5" x14ac:dyDescent="0.35">
      <c r="A2823" s="467">
        <v>41871</v>
      </c>
      <c r="B2823" s="468">
        <v>4.7505545353113243E-2</v>
      </c>
      <c r="C2823" s="468">
        <v>6.1112059509343286E-2</v>
      </c>
      <c r="D2823" s="469">
        <v>6.9596814923706285E-2</v>
      </c>
      <c r="E2823" s="41"/>
    </row>
    <row r="2824" spans="1:5" x14ac:dyDescent="0.35">
      <c r="A2824" s="467">
        <v>41872</v>
      </c>
      <c r="B2824" s="468">
        <v>4.8153663972579697E-2</v>
      </c>
      <c r="C2824" s="468">
        <v>6.1225431905359118E-2</v>
      </c>
      <c r="D2824" s="469">
        <v>6.971234078396682E-2</v>
      </c>
      <c r="E2824" s="475"/>
    </row>
    <row r="2825" spans="1:5" x14ac:dyDescent="0.35">
      <c r="A2825" s="467">
        <v>41873</v>
      </c>
      <c r="B2825" s="468">
        <v>4.8113597061475E-2</v>
      </c>
      <c r="C2825" s="468">
        <v>6.1337878628783482E-2</v>
      </c>
      <c r="D2825" s="469">
        <v>6.9622119763207202E-2</v>
      </c>
    </row>
    <row r="2826" spans="1:5" x14ac:dyDescent="0.35">
      <c r="A2826" s="467">
        <v>41876</v>
      </c>
      <c r="B2826" s="468">
        <v>4.7979530315818364E-2</v>
      </c>
      <c r="C2826" s="468">
        <v>6.1322501635388216E-2</v>
      </c>
      <c r="D2826" s="469">
        <v>6.965128959728295E-2</v>
      </c>
    </row>
    <row r="2827" spans="1:5" x14ac:dyDescent="0.35">
      <c r="A2827" s="467">
        <v>41877</v>
      </c>
      <c r="B2827" s="468">
        <v>4.8267282974056913E-2</v>
      </c>
      <c r="C2827" s="468">
        <v>6.0829077170574841E-2</v>
      </c>
      <c r="D2827" s="469">
        <v>6.9324894956546812E-2</v>
      </c>
    </row>
    <row r="2828" spans="1:5" x14ac:dyDescent="0.35">
      <c r="A2828" s="467">
        <v>41878</v>
      </c>
      <c r="B2828" s="468">
        <v>4.8516185468766349E-2</v>
      </c>
      <c r="C2828" s="468">
        <v>6.0596474753954022E-2</v>
      </c>
      <c r="D2828" s="469">
        <v>6.8841078024535651E-2</v>
      </c>
    </row>
    <row r="2829" spans="1:5" x14ac:dyDescent="0.35">
      <c r="A2829" s="467">
        <v>41879</v>
      </c>
      <c r="B2829" s="468">
        <v>4.8070821514433426E-2</v>
      </c>
      <c r="C2829" s="468">
        <v>6.0306702305765958E-2</v>
      </c>
      <c r="D2829" s="469">
        <v>6.8165543494701719E-2</v>
      </c>
    </row>
    <row r="2830" spans="1:5" x14ac:dyDescent="0.35">
      <c r="A2830" s="467">
        <v>41880</v>
      </c>
      <c r="B2830" s="468">
        <v>4.8110672724225534E-2</v>
      </c>
      <c r="C2830" s="468">
        <v>5.9916738001436265E-2</v>
      </c>
      <c r="D2830" s="469">
        <v>6.7298240492097872E-2</v>
      </c>
    </row>
    <row r="2831" spans="1:5" x14ac:dyDescent="0.35">
      <c r="A2831" s="467">
        <v>41883</v>
      </c>
      <c r="B2831" s="468">
        <v>4.8040932613867771E-2</v>
      </c>
      <c r="C2831" s="468">
        <v>5.9490103205876999E-2</v>
      </c>
      <c r="D2831" s="469">
        <v>6.7195188608625278E-2</v>
      </c>
    </row>
    <row r="2832" spans="1:5" x14ac:dyDescent="0.35">
      <c r="A2832" s="467">
        <v>41884</v>
      </c>
      <c r="B2832" s="468">
        <v>4.8392946776969925E-2</v>
      </c>
      <c r="C2832" s="468">
        <v>6.0035315672115397E-2</v>
      </c>
      <c r="D2832" s="469">
        <v>6.8246205379897118E-2</v>
      </c>
    </row>
    <row r="2833" spans="1:4" x14ac:dyDescent="0.35">
      <c r="A2833" s="467">
        <v>41885</v>
      </c>
      <c r="B2833" s="468">
        <v>4.8078266720781082E-2</v>
      </c>
      <c r="C2833" s="468">
        <v>5.9982938593490465E-2</v>
      </c>
      <c r="D2833" s="469">
        <v>6.8273182824179601E-2</v>
      </c>
    </row>
    <row r="2834" spans="1:4" x14ac:dyDescent="0.35">
      <c r="A2834" s="467">
        <v>41886</v>
      </c>
      <c r="B2834" s="468">
        <v>4.8729756136107971E-2</v>
      </c>
      <c r="C2834" s="468">
        <v>5.9816006759143781E-2</v>
      </c>
      <c r="D2834" s="469">
        <v>6.8097235138645518E-2</v>
      </c>
    </row>
    <row r="2835" spans="1:4" x14ac:dyDescent="0.35">
      <c r="A2835" s="467">
        <v>41887</v>
      </c>
      <c r="B2835" s="468">
        <v>4.8592943346109641E-2</v>
      </c>
      <c r="C2835" s="468">
        <v>5.9684679201947421E-2</v>
      </c>
      <c r="D2835" s="469">
        <v>6.7793966160334174E-2</v>
      </c>
    </row>
    <row r="2836" spans="1:4" x14ac:dyDescent="0.35">
      <c r="A2836" s="467">
        <v>41890</v>
      </c>
      <c r="B2836" s="468">
        <v>4.8241744718428903E-2</v>
      </c>
      <c r="C2836" s="468">
        <v>5.9728150145529568E-2</v>
      </c>
      <c r="D2836" s="469">
        <v>6.7299789972785184E-2</v>
      </c>
    </row>
    <row r="2837" spans="1:4" x14ac:dyDescent="0.35">
      <c r="A2837" s="467">
        <v>41891</v>
      </c>
      <c r="B2837" s="468">
        <v>4.8948105230747219E-2</v>
      </c>
      <c r="C2837" s="468">
        <v>6.0364543512728241E-2</v>
      </c>
      <c r="D2837" s="469">
        <v>6.8647547532868503E-2</v>
      </c>
    </row>
    <row r="2838" spans="1:4" x14ac:dyDescent="0.35">
      <c r="A2838" s="467">
        <v>41892</v>
      </c>
      <c r="B2838" s="468">
        <v>4.9009660114514464E-2</v>
      </c>
      <c r="C2838" s="468">
        <v>6.0521185384782683E-2</v>
      </c>
      <c r="D2838" s="469">
        <v>6.9248521480549829E-2</v>
      </c>
    </row>
    <row r="2839" spans="1:4" x14ac:dyDescent="0.35">
      <c r="A2839" s="467">
        <v>41893</v>
      </c>
      <c r="B2839" s="468">
        <v>4.890973912986829E-2</v>
      </c>
      <c r="C2839" s="468">
        <v>6.0513938606556295E-2</v>
      </c>
      <c r="D2839" s="469">
        <v>6.9130354502326963E-2</v>
      </c>
    </row>
    <row r="2840" spans="1:4" x14ac:dyDescent="0.35">
      <c r="A2840" s="467">
        <v>41894</v>
      </c>
      <c r="B2840" s="468">
        <v>4.8690783803797766E-2</v>
      </c>
      <c r="C2840" s="468">
        <v>6.0883444569733047E-2</v>
      </c>
      <c r="D2840" s="469">
        <v>6.9564630847709363E-2</v>
      </c>
    </row>
    <row r="2841" spans="1:4" x14ac:dyDescent="0.35">
      <c r="A2841" s="467">
        <v>41897</v>
      </c>
      <c r="B2841" s="468">
        <v>4.8107546716604777E-2</v>
      </c>
      <c r="C2841" s="468">
        <v>6.0844141358843196E-2</v>
      </c>
      <c r="D2841" s="469">
        <v>6.9715679615893533E-2</v>
      </c>
    </row>
    <row r="2842" spans="1:4" x14ac:dyDescent="0.35">
      <c r="A2842" s="467">
        <v>41898</v>
      </c>
      <c r="B2842" s="468">
        <v>4.8176489496122521E-2</v>
      </c>
      <c r="C2842" s="468">
        <v>6.0646400269361411E-2</v>
      </c>
      <c r="D2842" s="469">
        <v>6.8968199065827962E-2</v>
      </c>
    </row>
    <row r="2843" spans="1:4" x14ac:dyDescent="0.35">
      <c r="A2843" s="467">
        <v>41899</v>
      </c>
      <c r="B2843" s="468">
        <v>4.7976760373543037E-2</v>
      </c>
      <c r="C2843" s="468">
        <v>6.0166728248379542E-2</v>
      </c>
      <c r="D2843" s="469">
        <v>6.9061917349557023E-2</v>
      </c>
    </row>
    <row r="2844" spans="1:4" x14ac:dyDescent="0.35">
      <c r="A2844" s="467">
        <v>41900</v>
      </c>
      <c r="B2844" s="468">
        <v>4.815626199322387E-2</v>
      </c>
      <c r="C2844" s="468">
        <v>6.0281903943917303E-2</v>
      </c>
      <c r="D2844" s="469">
        <v>6.8987983753505455E-2</v>
      </c>
    </row>
    <row r="2845" spans="1:4" x14ac:dyDescent="0.35">
      <c r="A2845" s="467">
        <v>41901</v>
      </c>
      <c r="B2845" s="468">
        <v>4.8049480997637284E-2</v>
      </c>
      <c r="C2845" s="468">
        <v>6.0149920636092702E-2</v>
      </c>
      <c r="D2845" s="469">
        <v>6.8453824942872332E-2</v>
      </c>
    </row>
    <row r="2846" spans="1:4" x14ac:dyDescent="0.35">
      <c r="A2846" s="467">
        <v>41904</v>
      </c>
      <c r="B2846" s="468">
        <v>4.8993223454725232E-2</v>
      </c>
      <c r="C2846" s="468">
        <v>6.0280875762507513E-2</v>
      </c>
      <c r="D2846" s="469">
        <v>6.9169929843979183E-2</v>
      </c>
    </row>
    <row r="2847" spans="1:4" x14ac:dyDescent="0.35">
      <c r="A2847" s="467">
        <v>41905</v>
      </c>
      <c r="B2847" s="468">
        <v>4.8782917332140574E-2</v>
      </c>
      <c r="C2847" s="468">
        <v>6.0446760629480734E-2</v>
      </c>
      <c r="D2847" s="469">
        <v>6.9812359637533072E-2</v>
      </c>
    </row>
    <row r="2848" spans="1:4" x14ac:dyDescent="0.35">
      <c r="A2848" s="467">
        <v>41906</v>
      </c>
      <c r="B2848" s="468">
        <v>4.7935679392336006E-2</v>
      </c>
      <c r="C2848" s="468">
        <v>6.0666332133815448E-2</v>
      </c>
      <c r="D2848" s="469">
        <v>6.9969340372757038E-2</v>
      </c>
    </row>
    <row r="2849" spans="1:4" x14ac:dyDescent="0.35">
      <c r="A2849" s="467">
        <v>41907</v>
      </c>
      <c r="B2849" s="468">
        <v>4.8673782661352361E-2</v>
      </c>
      <c r="C2849" s="468">
        <v>6.0814114409096343E-2</v>
      </c>
      <c r="D2849" s="469">
        <v>7.0172157319994488E-2</v>
      </c>
    </row>
    <row r="2850" spans="1:4" x14ac:dyDescent="0.35">
      <c r="A2850" s="467">
        <v>41908</v>
      </c>
      <c r="B2850" s="468">
        <v>4.8780237294721696E-2</v>
      </c>
      <c r="C2850" s="468">
        <v>6.1064692815359978E-2</v>
      </c>
      <c r="D2850" s="469">
        <v>6.9964712210692115E-2</v>
      </c>
    </row>
    <row r="2851" spans="1:4" x14ac:dyDescent="0.35">
      <c r="A2851" s="467">
        <v>41911</v>
      </c>
      <c r="B2851" s="468">
        <v>4.9526699252028239E-2</v>
      </c>
      <c r="C2851" s="468">
        <v>6.1853348997638946E-2</v>
      </c>
      <c r="D2851" s="469">
        <v>7.2325047289788724E-2</v>
      </c>
    </row>
    <row r="2852" spans="1:4" x14ac:dyDescent="0.35">
      <c r="A2852" s="467">
        <v>41912</v>
      </c>
      <c r="B2852" s="468">
        <v>4.8735040993789447E-2</v>
      </c>
      <c r="C2852" s="468">
        <v>6.210570888510758E-2</v>
      </c>
      <c r="D2852" s="469">
        <v>7.2084225615989261E-2</v>
      </c>
    </row>
    <row r="2853" spans="1:4" x14ac:dyDescent="0.35">
      <c r="A2853" s="467">
        <v>41913</v>
      </c>
      <c r="B2853" s="468">
        <v>4.8887359027648625E-2</v>
      </c>
      <c r="C2853" s="468">
        <v>6.1542551123338951E-2</v>
      </c>
      <c r="D2853" s="469">
        <v>7.1315792118317178E-2</v>
      </c>
    </row>
    <row r="2854" spans="1:4" x14ac:dyDescent="0.35">
      <c r="A2854" s="467">
        <v>41914</v>
      </c>
      <c r="B2854" s="468">
        <v>4.8876933285757929E-2</v>
      </c>
      <c r="C2854" s="468">
        <v>6.160187900267311E-2</v>
      </c>
      <c r="D2854" s="469">
        <v>7.0911541341847739E-2</v>
      </c>
    </row>
    <row r="2855" spans="1:4" x14ac:dyDescent="0.35">
      <c r="A2855" s="467">
        <v>41915</v>
      </c>
      <c r="B2855" s="468">
        <v>4.8892931672973594E-2</v>
      </c>
      <c r="C2855" s="468">
        <v>6.1609720622755937E-2</v>
      </c>
      <c r="D2855" s="469">
        <v>7.0684494867879089E-2</v>
      </c>
    </row>
    <row r="2856" spans="1:4" x14ac:dyDescent="0.35">
      <c r="A2856" s="467">
        <v>41918</v>
      </c>
      <c r="B2856" s="468">
        <v>4.8898918298646343E-2</v>
      </c>
      <c r="C2856" s="468">
        <v>6.1349961939223041E-2</v>
      </c>
      <c r="D2856" s="469">
        <v>7.0450667661980715E-2</v>
      </c>
    </row>
    <row r="2857" spans="1:4" x14ac:dyDescent="0.35">
      <c r="A2857" s="467">
        <v>41919</v>
      </c>
      <c r="B2857" s="468">
        <v>4.8884083310791304E-2</v>
      </c>
      <c r="C2857" s="468">
        <v>6.1303319586835769E-2</v>
      </c>
      <c r="D2857" s="469">
        <v>7.0240029578389374E-2</v>
      </c>
    </row>
    <row r="2858" spans="1:4" x14ac:dyDescent="0.35">
      <c r="A2858" s="467">
        <v>41920</v>
      </c>
      <c r="B2858" s="468">
        <v>4.8969842619430715E-2</v>
      </c>
      <c r="C2858" s="468">
        <v>6.1343789671800764E-2</v>
      </c>
      <c r="D2858" s="469">
        <v>7.0774398058774501E-2</v>
      </c>
    </row>
    <row r="2859" spans="1:4" x14ac:dyDescent="0.35">
      <c r="A2859" s="467">
        <v>41921</v>
      </c>
      <c r="B2859" s="468">
        <v>4.8784047542102638E-2</v>
      </c>
      <c r="C2859" s="468">
        <v>6.1019769610106911E-2</v>
      </c>
      <c r="D2859" s="469">
        <v>7.0250197297927919E-2</v>
      </c>
    </row>
    <row r="2860" spans="1:4" x14ac:dyDescent="0.35">
      <c r="A2860" s="467">
        <v>41922</v>
      </c>
      <c r="B2860" s="468">
        <v>4.8690593368501345E-2</v>
      </c>
      <c r="C2860" s="468">
        <v>6.145551303633523E-2</v>
      </c>
      <c r="D2860" s="469">
        <v>7.104678369619255E-2</v>
      </c>
    </row>
    <row r="2861" spans="1:4" x14ac:dyDescent="0.35">
      <c r="A2861" s="467">
        <v>41926</v>
      </c>
      <c r="B2861" s="468">
        <v>4.9270516830165478E-2</v>
      </c>
      <c r="C2861" s="468">
        <v>6.0887389580065898E-2</v>
      </c>
      <c r="D2861" s="469">
        <v>7.0783375166202811E-2</v>
      </c>
    </row>
    <row r="2862" spans="1:4" x14ac:dyDescent="0.35">
      <c r="A2862" s="467">
        <v>41927</v>
      </c>
      <c r="B2862" s="468">
        <v>4.876079361838781E-2</v>
      </c>
      <c r="C2862" s="468">
        <v>6.0441727222386499E-2</v>
      </c>
      <c r="D2862" s="469">
        <v>7.015067514925355E-2</v>
      </c>
    </row>
    <row r="2863" spans="1:4" x14ac:dyDescent="0.35">
      <c r="A2863" s="467">
        <v>41928</v>
      </c>
      <c r="B2863" s="468">
        <v>4.8832322108649073E-2</v>
      </c>
      <c r="C2863" s="468">
        <v>6.0873166642387178E-2</v>
      </c>
      <c r="D2863" s="469">
        <v>7.0655402527084465E-2</v>
      </c>
    </row>
    <row r="2864" spans="1:4" x14ac:dyDescent="0.35">
      <c r="A2864" s="467">
        <v>41929</v>
      </c>
      <c r="B2864" s="468">
        <v>4.8668143410068199E-2</v>
      </c>
      <c r="C2864" s="468">
        <v>6.0359547455484108E-2</v>
      </c>
      <c r="D2864" s="469">
        <v>6.9798728249764741E-2</v>
      </c>
    </row>
    <row r="2865" spans="1:4" x14ac:dyDescent="0.35">
      <c r="A2865" s="467">
        <v>41932</v>
      </c>
      <c r="B2865" s="468">
        <v>4.88016445040933E-2</v>
      </c>
      <c r="C2865" s="468">
        <v>6.0301134684634938E-2</v>
      </c>
      <c r="D2865" s="469">
        <v>6.985096169720495E-2</v>
      </c>
    </row>
    <row r="2866" spans="1:4" x14ac:dyDescent="0.35">
      <c r="A2866" s="467">
        <v>41933</v>
      </c>
      <c r="B2866" s="468">
        <v>4.8676294043472179E-2</v>
      </c>
      <c r="C2866" s="468">
        <v>6.0091095639126957E-2</v>
      </c>
      <c r="D2866" s="469">
        <v>6.9648953598203889E-2</v>
      </c>
    </row>
    <row r="2867" spans="1:4" x14ac:dyDescent="0.35">
      <c r="A2867" s="467">
        <v>41934</v>
      </c>
      <c r="B2867" s="468">
        <v>4.8483232210215998E-2</v>
      </c>
      <c r="C2867" s="468">
        <v>6.0147614155999118E-2</v>
      </c>
      <c r="D2867" s="469">
        <v>6.97643119631699E-2</v>
      </c>
    </row>
    <row r="2868" spans="1:4" x14ac:dyDescent="0.35">
      <c r="A2868" s="467">
        <v>41935</v>
      </c>
      <c r="B2868" s="468">
        <v>4.8509379681323406E-2</v>
      </c>
      <c r="C2868" s="468">
        <v>6.0120910138154571E-2</v>
      </c>
      <c r="D2868" s="469">
        <v>7.0016929277439521E-2</v>
      </c>
    </row>
    <row r="2869" spans="1:4" ht="15" thickBot="1" x14ac:dyDescent="0.4">
      <c r="A2869" s="476">
        <v>41936</v>
      </c>
      <c r="B2869" s="477">
        <v>4.901172414343602E-2</v>
      </c>
      <c r="C2869" s="481">
        <v>6.0073450455866428E-2</v>
      </c>
      <c r="D2869" s="478">
        <v>7.0107468316740196E-2</v>
      </c>
    </row>
    <row r="2870" spans="1:4" x14ac:dyDescent="0.35">
      <c r="A2870" s="479" t="s">
        <v>694</v>
      </c>
    </row>
    <row r="2871" spans="1:4" x14ac:dyDescent="0.35">
      <c r="A2871" s="480" t="s">
        <v>695</v>
      </c>
    </row>
    <row r="2873" spans="1:4" x14ac:dyDescent="0.35">
      <c r="A2873" t="s">
        <v>654</v>
      </c>
      <c r="B2873" t="s">
        <v>696</v>
      </c>
    </row>
  </sheetData>
  <mergeCells count="1">
    <mergeCell ref="A4:D4"/>
  </mergeCells>
  <pageMargins left="0.7" right="0.7" top="0.75" bottom="0.75" header="0.3" footer="0.3"/>
  <pageSetup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B30"/>
  <sheetViews>
    <sheetView workbookViewId="0">
      <selection activeCell="H18" sqref="H18"/>
    </sheetView>
  </sheetViews>
  <sheetFormatPr baseColWidth="10" defaultRowHeight="14.5" x14ac:dyDescent="0.35"/>
  <sheetData>
    <row r="1" spans="1:1" x14ac:dyDescent="0.35">
      <c r="A1" s="443"/>
    </row>
    <row r="2" spans="1:1" x14ac:dyDescent="0.35">
      <c r="A2" s="443"/>
    </row>
    <row r="3" spans="1:1" x14ac:dyDescent="0.35">
      <c r="A3" s="443"/>
    </row>
    <row r="30" spans="1:2" x14ac:dyDescent="0.35">
      <c r="A30" t="s">
        <v>654</v>
      </c>
      <c r="B30" s="326" t="s">
        <v>653</v>
      </c>
    </row>
  </sheetData>
  <hyperlinks>
    <hyperlink ref="B30" r:id="rId1"/>
  </hyperlinks>
  <pageMargins left="0.7" right="0.7" top="0.75" bottom="0.75" header="0.3" footer="0.3"/>
  <pageSetup paperSize="9"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4:H105"/>
  <sheetViews>
    <sheetView workbookViewId="0">
      <pane xSplit="1" ySplit="4" topLeftCell="B98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1" max="1" width="38" bestFit="1" customWidth="1"/>
  </cols>
  <sheetData>
    <row r="4" spans="1:8" ht="67.5" x14ac:dyDescent="0.35">
      <c r="A4" s="290" t="s">
        <v>260</v>
      </c>
      <c r="B4" s="291" t="s">
        <v>261</v>
      </c>
      <c r="C4" s="292" t="s">
        <v>262</v>
      </c>
      <c r="D4" s="291" t="s">
        <v>263</v>
      </c>
      <c r="E4" s="291" t="s">
        <v>264</v>
      </c>
      <c r="F4" s="291" t="s">
        <v>265</v>
      </c>
      <c r="G4" s="291" t="s">
        <v>266</v>
      </c>
      <c r="H4" s="291" t="s">
        <v>267</v>
      </c>
    </row>
    <row r="5" spans="1:8" x14ac:dyDescent="0.35">
      <c r="A5" s="279" t="s">
        <v>268</v>
      </c>
      <c r="B5" s="280">
        <v>65</v>
      </c>
      <c r="C5" s="281">
        <v>1.03</v>
      </c>
      <c r="D5" s="282">
        <v>0.52569999999999995</v>
      </c>
      <c r="E5" s="282">
        <v>6.0400000000000002E-2</v>
      </c>
      <c r="F5" s="281">
        <v>0.69</v>
      </c>
      <c r="G5" s="282">
        <v>5.91E-2</v>
      </c>
      <c r="H5" s="281">
        <v>0.73</v>
      </c>
    </row>
    <row r="6" spans="1:8" x14ac:dyDescent="0.35">
      <c r="A6" s="279" t="s">
        <v>269</v>
      </c>
      <c r="B6" s="280">
        <v>95</v>
      </c>
      <c r="C6" s="281">
        <v>1.01</v>
      </c>
      <c r="D6" s="282">
        <v>0.18990000000000001</v>
      </c>
      <c r="E6" s="282">
        <v>0.15029999999999999</v>
      </c>
      <c r="F6" s="281">
        <v>0.87</v>
      </c>
      <c r="G6" s="282">
        <v>6.2399999999999997E-2</v>
      </c>
      <c r="H6" s="281">
        <v>0.92</v>
      </c>
    </row>
    <row r="7" spans="1:8" x14ac:dyDescent="0.35">
      <c r="A7" s="279" t="s">
        <v>270</v>
      </c>
      <c r="B7" s="280">
        <v>25</v>
      </c>
      <c r="C7" s="281">
        <v>0.94</v>
      </c>
      <c r="D7" s="282">
        <v>1.0948</v>
      </c>
      <c r="E7" s="282">
        <v>0.13789999999999999</v>
      </c>
      <c r="F7" s="281">
        <v>0.48</v>
      </c>
      <c r="G7" s="282">
        <v>6.9199999999999998E-2</v>
      </c>
      <c r="H7" s="281">
        <v>0.52</v>
      </c>
    </row>
    <row r="8" spans="1:8" x14ac:dyDescent="0.35">
      <c r="A8" s="279" t="s">
        <v>271</v>
      </c>
      <c r="B8" s="280">
        <v>70</v>
      </c>
      <c r="C8" s="281">
        <v>1.1499999999999999</v>
      </c>
      <c r="D8" s="282">
        <v>0.21329999999999999</v>
      </c>
      <c r="E8" s="282">
        <v>0.10290000000000001</v>
      </c>
      <c r="F8" s="281">
        <v>0.96</v>
      </c>
      <c r="G8" s="282">
        <v>2.9899999999999999E-2</v>
      </c>
      <c r="H8" s="281">
        <v>0.99</v>
      </c>
    </row>
    <row r="9" spans="1:8" x14ac:dyDescent="0.35">
      <c r="A9" s="279" t="s">
        <v>272</v>
      </c>
      <c r="B9" s="280">
        <v>26</v>
      </c>
      <c r="C9" s="281">
        <v>1.28</v>
      </c>
      <c r="D9" s="282">
        <v>0.97560000000000002</v>
      </c>
      <c r="E9" s="282">
        <v>4.7100000000000003E-2</v>
      </c>
      <c r="F9" s="281">
        <v>0.66</v>
      </c>
      <c r="G9" s="282">
        <v>8.48E-2</v>
      </c>
      <c r="H9" s="281">
        <v>0.72</v>
      </c>
    </row>
    <row r="10" spans="1:8" x14ac:dyDescent="0.35">
      <c r="A10" s="279" t="s">
        <v>273</v>
      </c>
      <c r="B10" s="280">
        <v>75</v>
      </c>
      <c r="C10" s="281">
        <v>1.46</v>
      </c>
      <c r="D10" s="282">
        <v>0.32</v>
      </c>
      <c r="E10" s="282">
        <v>9.4299999999999995E-2</v>
      </c>
      <c r="F10" s="281">
        <v>1.1299999999999999</v>
      </c>
      <c r="G10" s="282">
        <v>8.0399999999999999E-2</v>
      </c>
      <c r="H10" s="281">
        <v>1.23</v>
      </c>
    </row>
    <row r="11" spans="1:8" x14ac:dyDescent="0.35">
      <c r="A11" s="279" t="s">
        <v>274</v>
      </c>
      <c r="B11" s="280">
        <v>7</v>
      </c>
      <c r="C11" s="281">
        <v>0.72</v>
      </c>
      <c r="D11" s="282">
        <v>0.84189999999999998</v>
      </c>
      <c r="E11" s="282">
        <v>0.22170000000000001</v>
      </c>
      <c r="F11" s="281">
        <v>0.43</v>
      </c>
      <c r="G11" s="282">
        <v>0.1094</v>
      </c>
      <c r="H11" s="281">
        <v>0.49</v>
      </c>
    </row>
    <row r="12" spans="1:8" x14ac:dyDescent="0.35">
      <c r="A12" s="279" t="s">
        <v>275</v>
      </c>
      <c r="B12" s="280">
        <v>721</v>
      </c>
      <c r="C12" s="281">
        <v>0.57999999999999996</v>
      </c>
      <c r="D12" s="282">
        <v>0.72</v>
      </c>
      <c r="E12" s="282">
        <v>0.18</v>
      </c>
      <c r="F12" s="281">
        <v>0.37</v>
      </c>
      <c r="G12" s="282">
        <v>0.13800000000000001</v>
      </c>
      <c r="H12" s="281">
        <v>0.43</v>
      </c>
    </row>
    <row r="13" spans="1:8" x14ac:dyDescent="0.35">
      <c r="A13" s="279" t="s">
        <v>276</v>
      </c>
      <c r="B13" s="280">
        <v>47</v>
      </c>
      <c r="C13" s="281">
        <v>1.42</v>
      </c>
      <c r="D13" s="282">
        <v>0.22159999999999999</v>
      </c>
      <c r="E13" s="282">
        <v>3.95E-2</v>
      </c>
      <c r="F13" s="281">
        <v>1.17</v>
      </c>
      <c r="G13" s="282">
        <v>5.0599999999999999E-2</v>
      </c>
      <c r="H13" s="281">
        <v>1.24</v>
      </c>
    </row>
    <row r="14" spans="1:8" x14ac:dyDescent="0.35">
      <c r="A14" s="279" t="s">
        <v>277</v>
      </c>
      <c r="B14" s="280">
        <v>19</v>
      </c>
      <c r="C14" s="281">
        <v>1.1399999999999999</v>
      </c>
      <c r="D14" s="282">
        <v>0.27560000000000001</v>
      </c>
      <c r="E14" s="282">
        <v>0.1072</v>
      </c>
      <c r="F14" s="281">
        <v>0.91</v>
      </c>
      <c r="G14" s="282">
        <v>1.38E-2</v>
      </c>
      <c r="H14" s="281">
        <v>0.93</v>
      </c>
    </row>
    <row r="15" spans="1:8" x14ac:dyDescent="0.35">
      <c r="A15" s="279" t="s">
        <v>278</v>
      </c>
      <c r="B15" s="280">
        <v>349</v>
      </c>
      <c r="C15" s="281">
        <v>1.1200000000000001</v>
      </c>
      <c r="D15" s="282">
        <v>9.1499999999999998E-2</v>
      </c>
      <c r="E15" s="282">
        <v>1.1299999999999999E-2</v>
      </c>
      <c r="F15" s="281">
        <v>1.02</v>
      </c>
      <c r="G15" s="282">
        <v>4.3900000000000002E-2</v>
      </c>
      <c r="H15" s="281">
        <v>1.07</v>
      </c>
    </row>
    <row r="16" spans="1:8" x14ac:dyDescent="0.35">
      <c r="A16" s="279" t="s">
        <v>279</v>
      </c>
      <c r="B16" s="280">
        <v>30</v>
      </c>
      <c r="C16" s="281">
        <v>1.53</v>
      </c>
      <c r="D16" s="282">
        <v>0.4849</v>
      </c>
      <c r="E16" s="282">
        <v>0.1321</v>
      </c>
      <c r="F16" s="281">
        <v>1.08</v>
      </c>
      <c r="G16" s="282">
        <v>2.3099999999999999E-2</v>
      </c>
      <c r="H16" s="281">
        <v>1.1000000000000001</v>
      </c>
    </row>
    <row r="17" spans="1:8" x14ac:dyDescent="0.35">
      <c r="A17" s="279" t="s">
        <v>280</v>
      </c>
      <c r="B17" s="280">
        <v>49</v>
      </c>
      <c r="C17" s="281">
        <v>1.1100000000000001</v>
      </c>
      <c r="D17" s="282">
        <v>4.0056000000000003</v>
      </c>
      <c r="E17" s="282">
        <v>0.13439999999999999</v>
      </c>
      <c r="F17" s="281">
        <v>0.25</v>
      </c>
      <c r="G17" s="282">
        <v>0.24390000000000001</v>
      </c>
      <c r="H17" s="281">
        <v>0.33</v>
      </c>
    </row>
    <row r="18" spans="1:8" x14ac:dyDescent="0.35">
      <c r="A18" s="279" t="s">
        <v>281</v>
      </c>
      <c r="B18" s="280">
        <v>37</v>
      </c>
      <c r="C18" s="281">
        <v>1.27</v>
      </c>
      <c r="D18" s="282">
        <v>0.30049999999999999</v>
      </c>
      <c r="E18" s="282">
        <v>0.1633</v>
      </c>
      <c r="F18" s="281">
        <v>1.02</v>
      </c>
      <c r="G18" s="282">
        <v>5.04E-2</v>
      </c>
      <c r="H18" s="281">
        <v>1.07</v>
      </c>
    </row>
    <row r="19" spans="1:8" x14ac:dyDescent="0.35">
      <c r="A19" s="279" t="s">
        <v>282</v>
      </c>
      <c r="B19" s="280">
        <v>179</v>
      </c>
      <c r="C19" s="281">
        <v>0.9</v>
      </c>
      <c r="D19" s="282">
        <v>0.2923</v>
      </c>
      <c r="E19" s="282">
        <v>0.1341</v>
      </c>
      <c r="F19" s="281">
        <v>0.72</v>
      </c>
      <c r="G19" s="282">
        <v>4.3299999999999998E-2</v>
      </c>
      <c r="H19" s="281">
        <v>0.75</v>
      </c>
    </row>
    <row r="20" spans="1:8" x14ac:dyDescent="0.35">
      <c r="A20" s="279" t="s">
        <v>283</v>
      </c>
      <c r="B20" s="280">
        <v>16</v>
      </c>
      <c r="C20" s="281">
        <v>0.97</v>
      </c>
      <c r="D20" s="282">
        <v>0.49230000000000002</v>
      </c>
      <c r="E20" s="282">
        <v>0.15</v>
      </c>
      <c r="F20" s="281">
        <v>0.69</v>
      </c>
      <c r="G20" s="282">
        <v>2.58E-2</v>
      </c>
      <c r="H20" s="281">
        <v>0.71</v>
      </c>
    </row>
    <row r="21" spans="1:8" x14ac:dyDescent="0.35">
      <c r="A21" s="279" t="s">
        <v>284</v>
      </c>
      <c r="B21" s="280">
        <v>47</v>
      </c>
      <c r="C21" s="281">
        <v>1.01</v>
      </c>
      <c r="D21" s="282">
        <v>0.29670000000000002</v>
      </c>
      <c r="E21" s="282">
        <v>6.2700000000000006E-2</v>
      </c>
      <c r="F21" s="281">
        <v>0.79</v>
      </c>
      <c r="G21" s="282">
        <v>7.1900000000000006E-2</v>
      </c>
      <c r="H21" s="281">
        <v>0.85</v>
      </c>
    </row>
    <row r="22" spans="1:8" x14ac:dyDescent="0.35">
      <c r="A22" s="279" t="s">
        <v>285</v>
      </c>
      <c r="B22" s="280">
        <v>10</v>
      </c>
      <c r="C22" s="281">
        <v>1.42</v>
      </c>
      <c r="D22" s="282">
        <v>0.33389999999999997</v>
      </c>
      <c r="E22" s="282">
        <v>0.25030000000000002</v>
      </c>
      <c r="F22" s="281">
        <v>1.1299999999999999</v>
      </c>
      <c r="G22" s="282">
        <v>6.8199999999999997E-2</v>
      </c>
      <c r="H22" s="281">
        <v>1.22</v>
      </c>
    </row>
    <row r="23" spans="1:8" x14ac:dyDescent="0.35">
      <c r="A23" s="279" t="s">
        <v>286</v>
      </c>
      <c r="B23" s="280">
        <v>100</v>
      </c>
      <c r="C23" s="281">
        <v>1.01</v>
      </c>
      <c r="D23" s="282">
        <v>0.16300000000000001</v>
      </c>
      <c r="E23" s="282">
        <v>0.12740000000000001</v>
      </c>
      <c r="F23" s="281">
        <v>0.89</v>
      </c>
      <c r="G23" s="282">
        <v>6.25E-2</v>
      </c>
      <c r="H23" s="281">
        <v>0.95</v>
      </c>
    </row>
    <row r="24" spans="1:8" x14ac:dyDescent="0.35">
      <c r="A24" s="279" t="s">
        <v>287</v>
      </c>
      <c r="B24" s="280">
        <v>45</v>
      </c>
      <c r="C24" s="281">
        <v>1.28</v>
      </c>
      <c r="D24" s="282">
        <v>0.86629999999999996</v>
      </c>
      <c r="E24" s="282">
        <v>2.4400000000000002E-2</v>
      </c>
      <c r="F24" s="281">
        <v>0.69</v>
      </c>
      <c r="G24" s="282">
        <v>5.8599999999999999E-2</v>
      </c>
      <c r="H24" s="281">
        <v>0.73</v>
      </c>
    </row>
    <row r="25" spans="1:8" x14ac:dyDescent="0.35">
      <c r="A25" s="279" t="s">
        <v>288</v>
      </c>
      <c r="B25" s="280">
        <v>129</v>
      </c>
      <c r="C25" s="281">
        <v>0.92</v>
      </c>
      <c r="D25" s="282">
        <v>0.20480000000000001</v>
      </c>
      <c r="E25" s="282">
        <v>9.9400000000000002E-2</v>
      </c>
      <c r="F25" s="281">
        <v>0.78</v>
      </c>
      <c r="G25" s="282">
        <v>5.4800000000000001E-2</v>
      </c>
      <c r="H25" s="281">
        <v>0.82</v>
      </c>
    </row>
    <row r="26" spans="1:8" x14ac:dyDescent="0.35">
      <c r="A26" s="279" t="s">
        <v>289</v>
      </c>
      <c r="B26" s="280">
        <v>273</v>
      </c>
      <c r="C26" s="281">
        <v>1.07</v>
      </c>
      <c r="D26" s="282">
        <v>8.6800000000000002E-2</v>
      </c>
      <c r="E26" s="282">
        <v>6.1600000000000002E-2</v>
      </c>
      <c r="F26" s="281">
        <v>0.99</v>
      </c>
      <c r="G26" s="282">
        <v>5.5E-2</v>
      </c>
      <c r="H26" s="281">
        <v>1.04</v>
      </c>
    </row>
    <row r="27" spans="1:8" x14ac:dyDescent="0.35">
      <c r="A27" s="279" t="s">
        <v>290</v>
      </c>
      <c r="B27" s="280">
        <v>66</v>
      </c>
      <c r="C27" s="281">
        <v>1.1499999999999999</v>
      </c>
      <c r="D27" s="282">
        <v>8.8300000000000003E-2</v>
      </c>
      <c r="E27" s="282">
        <v>5.6599999999999998E-2</v>
      </c>
      <c r="F27" s="281">
        <v>1.06</v>
      </c>
      <c r="G27" s="282">
        <v>5.9200000000000003E-2</v>
      </c>
      <c r="H27" s="281">
        <v>1.1299999999999999</v>
      </c>
    </row>
    <row r="28" spans="1:8" x14ac:dyDescent="0.35">
      <c r="A28" s="279" t="s">
        <v>291</v>
      </c>
      <c r="B28" s="280">
        <v>18</v>
      </c>
      <c r="C28" s="281">
        <v>0.96</v>
      </c>
      <c r="D28" s="282">
        <v>0.30470000000000003</v>
      </c>
      <c r="E28" s="282">
        <v>9.8199999999999996E-2</v>
      </c>
      <c r="F28" s="281">
        <v>0.75</v>
      </c>
      <c r="G28" s="282">
        <v>1.89E-2</v>
      </c>
      <c r="H28" s="281">
        <v>0.77</v>
      </c>
    </row>
    <row r="29" spans="1:8" x14ac:dyDescent="0.35">
      <c r="A29" s="279" t="s">
        <v>292</v>
      </c>
      <c r="B29" s="280">
        <v>20</v>
      </c>
      <c r="C29" s="281">
        <v>0.77</v>
      </c>
      <c r="D29" s="282">
        <v>0.94469999999999998</v>
      </c>
      <c r="E29" s="282">
        <v>0.126</v>
      </c>
      <c r="F29" s="281">
        <v>0.42</v>
      </c>
      <c r="G29" s="282">
        <v>2.2700000000000001E-2</v>
      </c>
      <c r="H29" s="281">
        <v>0.43</v>
      </c>
    </row>
    <row r="30" spans="1:8" x14ac:dyDescent="0.35">
      <c r="A30" s="279" t="s">
        <v>293</v>
      </c>
      <c r="B30" s="280">
        <v>40</v>
      </c>
      <c r="C30" s="281">
        <v>1.24</v>
      </c>
      <c r="D30" s="282">
        <v>0.39029999999999998</v>
      </c>
      <c r="E30" s="282">
        <v>0.11840000000000001</v>
      </c>
      <c r="F30" s="281">
        <v>0.92</v>
      </c>
      <c r="G30" s="282">
        <v>0.1198</v>
      </c>
      <c r="H30" s="281">
        <v>1.04</v>
      </c>
    </row>
    <row r="31" spans="1:8" x14ac:dyDescent="0.35">
      <c r="A31" s="279" t="s">
        <v>294</v>
      </c>
      <c r="B31" s="280">
        <v>135</v>
      </c>
      <c r="C31" s="281">
        <v>1.1399999999999999</v>
      </c>
      <c r="D31" s="282">
        <v>0.13739999999999999</v>
      </c>
      <c r="E31" s="282">
        <v>7.4899999999999994E-2</v>
      </c>
      <c r="F31" s="281">
        <v>1.01</v>
      </c>
      <c r="G31" s="282">
        <v>5.3699999999999998E-2</v>
      </c>
      <c r="H31" s="281">
        <v>1.07</v>
      </c>
    </row>
    <row r="32" spans="1:8" x14ac:dyDescent="0.35">
      <c r="A32" s="279" t="s">
        <v>295</v>
      </c>
      <c r="B32" s="280">
        <v>191</v>
      </c>
      <c r="C32" s="281">
        <v>1.02</v>
      </c>
      <c r="D32" s="282">
        <v>0.16009999999999999</v>
      </c>
      <c r="E32" s="282">
        <v>7.5200000000000003E-2</v>
      </c>
      <c r="F32" s="281">
        <v>0.89</v>
      </c>
      <c r="G32" s="282">
        <v>0.1069</v>
      </c>
      <c r="H32" s="281">
        <v>1</v>
      </c>
    </row>
    <row r="33" spans="1:8" x14ac:dyDescent="0.35">
      <c r="A33" s="279" t="s">
        <v>296</v>
      </c>
      <c r="B33" s="280">
        <v>26</v>
      </c>
      <c r="C33" s="281">
        <v>1.37</v>
      </c>
      <c r="D33" s="282">
        <v>0.40300000000000002</v>
      </c>
      <c r="E33" s="282">
        <v>8.9700000000000002E-2</v>
      </c>
      <c r="F33" s="281">
        <v>1</v>
      </c>
      <c r="G33" s="282">
        <v>6.9699999999999998E-2</v>
      </c>
      <c r="H33" s="281">
        <v>1.08</v>
      </c>
    </row>
    <row r="34" spans="1:8" x14ac:dyDescent="0.35">
      <c r="A34" s="279" t="s">
        <v>297</v>
      </c>
      <c r="B34" s="280">
        <v>56</v>
      </c>
      <c r="C34" s="281">
        <v>1.2</v>
      </c>
      <c r="D34" s="282">
        <v>0.22720000000000001</v>
      </c>
      <c r="E34" s="282">
        <v>0.14860000000000001</v>
      </c>
      <c r="F34" s="281">
        <v>1.01</v>
      </c>
      <c r="G34" s="282">
        <v>0.11210000000000001</v>
      </c>
      <c r="H34" s="281">
        <v>1.1299999999999999</v>
      </c>
    </row>
    <row r="35" spans="1:8" x14ac:dyDescent="0.35">
      <c r="A35" s="279" t="s">
        <v>298</v>
      </c>
      <c r="B35" s="280">
        <v>85</v>
      </c>
      <c r="C35" s="281">
        <v>1.19</v>
      </c>
      <c r="D35" s="282">
        <v>0.25979999999999998</v>
      </c>
      <c r="E35" s="282">
        <v>4.8500000000000001E-2</v>
      </c>
      <c r="F35" s="281">
        <v>0.95</v>
      </c>
      <c r="G35" s="282">
        <v>4.0500000000000001E-2</v>
      </c>
      <c r="H35" s="281">
        <v>0.99</v>
      </c>
    </row>
    <row r="36" spans="1:8" x14ac:dyDescent="0.35">
      <c r="A36" s="279" t="s">
        <v>299</v>
      </c>
      <c r="B36" s="280">
        <v>108</v>
      </c>
      <c r="C36" s="281">
        <v>1.1299999999999999</v>
      </c>
      <c r="D36" s="282">
        <v>0.43590000000000001</v>
      </c>
      <c r="E36" s="282">
        <v>5.0200000000000002E-2</v>
      </c>
      <c r="F36" s="281">
        <v>0.8</v>
      </c>
      <c r="G36" s="282">
        <v>1.4200000000000001E-2</v>
      </c>
      <c r="H36" s="281">
        <v>0.81</v>
      </c>
    </row>
    <row r="37" spans="1:8" x14ac:dyDescent="0.35">
      <c r="A37" s="279" t="s">
        <v>300</v>
      </c>
      <c r="B37" s="280">
        <v>29</v>
      </c>
      <c r="C37" s="281">
        <v>0.79</v>
      </c>
      <c r="D37" s="282">
        <v>0.41120000000000001</v>
      </c>
      <c r="E37" s="282">
        <v>9.01E-2</v>
      </c>
      <c r="F37" s="281">
        <v>0.57999999999999996</v>
      </c>
      <c r="G37" s="282">
        <v>7.6300000000000007E-2</v>
      </c>
      <c r="H37" s="281">
        <v>0.63</v>
      </c>
    </row>
    <row r="38" spans="1:8" x14ac:dyDescent="0.35">
      <c r="A38" s="279" t="s">
        <v>301</v>
      </c>
      <c r="B38" s="280">
        <v>76</v>
      </c>
      <c r="C38" s="281">
        <v>0.99</v>
      </c>
      <c r="D38" s="282">
        <v>1.0212000000000001</v>
      </c>
      <c r="E38" s="282">
        <v>0.1837</v>
      </c>
      <c r="F38" s="281">
        <v>0.54</v>
      </c>
      <c r="G38" s="282">
        <v>7.22E-2</v>
      </c>
      <c r="H38" s="281">
        <v>0.57999999999999996</v>
      </c>
    </row>
    <row r="39" spans="1:8" x14ac:dyDescent="0.35">
      <c r="A39" s="279" t="s">
        <v>302</v>
      </c>
      <c r="B39" s="280">
        <v>17</v>
      </c>
      <c r="C39" s="281">
        <v>1.05</v>
      </c>
      <c r="D39" s="282">
        <v>3.3147000000000002</v>
      </c>
      <c r="E39" s="282">
        <v>9.7699999999999995E-2</v>
      </c>
      <c r="F39" s="281">
        <v>0.26</v>
      </c>
      <c r="G39" s="282">
        <v>7.85E-2</v>
      </c>
      <c r="H39" s="281">
        <v>0.28999999999999998</v>
      </c>
    </row>
    <row r="40" spans="1:8" x14ac:dyDescent="0.35">
      <c r="A40" s="279" t="s">
        <v>303</v>
      </c>
      <c r="B40" s="280">
        <v>97</v>
      </c>
      <c r="C40" s="281">
        <v>0.85</v>
      </c>
      <c r="D40" s="282">
        <v>0.2792</v>
      </c>
      <c r="E40" s="282">
        <v>0.14000000000000001</v>
      </c>
      <c r="F40" s="281">
        <v>0.69</v>
      </c>
      <c r="G40" s="282">
        <v>3.1E-2</v>
      </c>
      <c r="H40" s="281">
        <v>0.71</v>
      </c>
    </row>
    <row r="41" spans="1:8" x14ac:dyDescent="0.35">
      <c r="A41" s="279" t="s">
        <v>304</v>
      </c>
      <c r="B41" s="280">
        <v>18</v>
      </c>
      <c r="C41" s="281">
        <v>1.18</v>
      </c>
      <c r="D41" s="282">
        <v>0.16789999999999999</v>
      </c>
      <c r="E41" s="282">
        <v>0.1069</v>
      </c>
      <c r="F41" s="281">
        <v>1.02</v>
      </c>
      <c r="G41" s="282">
        <v>1.7100000000000001E-2</v>
      </c>
      <c r="H41" s="281">
        <v>1.04</v>
      </c>
    </row>
    <row r="42" spans="1:8" x14ac:dyDescent="0.35">
      <c r="A42" s="279" t="s">
        <v>305</v>
      </c>
      <c r="B42" s="280">
        <v>36</v>
      </c>
      <c r="C42" s="281">
        <v>1.24</v>
      </c>
      <c r="D42" s="282">
        <v>0.27660000000000001</v>
      </c>
      <c r="E42" s="282">
        <v>0.1003</v>
      </c>
      <c r="F42" s="281">
        <v>0.99</v>
      </c>
      <c r="G42" s="282">
        <v>3.8800000000000001E-2</v>
      </c>
      <c r="H42" s="281">
        <v>1.03</v>
      </c>
    </row>
    <row r="43" spans="1:8" x14ac:dyDescent="0.35">
      <c r="A43" s="279" t="s">
        <v>306</v>
      </c>
      <c r="B43" s="280">
        <v>193</v>
      </c>
      <c r="C43" s="281">
        <v>0.85</v>
      </c>
      <c r="D43" s="282">
        <v>0.1726</v>
      </c>
      <c r="E43" s="282">
        <v>5.8000000000000003E-2</v>
      </c>
      <c r="F43" s="281">
        <v>0.73</v>
      </c>
      <c r="G43" s="282">
        <v>5.1999999999999998E-2</v>
      </c>
      <c r="H43" s="281">
        <v>0.77</v>
      </c>
    </row>
    <row r="44" spans="1:8" x14ac:dyDescent="0.35">
      <c r="A44" s="279" t="s">
        <v>307</v>
      </c>
      <c r="B44" s="280">
        <v>47</v>
      </c>
      <c r="C44" s="281">
        <v>1.1299999999999999</v>
      </c>
      <c r="D44" s="282">
        <v>1.2090000000000001</v>
      </c>
      <c r="E44" s="282">
        <v>0.13489999999999999</v>
      </c>
      <c r="F44" s="281">
        <v>0.55000000000000004</v>
      </c>
      <c r="G44" s="282">
        <v>1.2200000000000001E-2</v>
      </c>
      <c r="H44" s="281">
        <v>0.56000000000000005</v>
      </c>
    </row>
    <row r="45" spans="1:8" x14ac:dyDescent="0.35">
      <c r="A45" s="279" t="s">
        <v>308</v>
      </c>
      <c r="B45" s="280">
        <v>58</v>
      </c>
      <c r="C45" s="281">
        <v>1</v>
      </c>
      <c r="D45" s="282">
        <v>0.19800000000000001</v>
      </c>
      <c r="E45" s="282">
        <v>8.7599999999999997E-2</v>
      </c>
      <c r="F45" s="281">
        <v>0.85</v>
      </c>
      <c r="G45" s="282">
        <v>4.2799999999999998E-2</v>
      </c>
      <c r="H45" s="281">
        <v>0.89</v>
      </c>
    </row>
    <row r="46" spans="1:8" x14ac:dyDescent="0.35">
      <c r="A46" s="279" t="s">
        <v>309</v>
      </c>
      <c r="B46" s="280">
        <v>126</v>
      </c>
      <c r="C46" s="281">
        <v>0.83</v>
      </c>
      <c r="D46" s="282">
        <v>0.27929999999999999</v>
      </c>
      <c r="E46" s="282">
        <v>0.13769999999999999</v>
      </c>
      <c r="F46" s="281">
        <v>0.67</v>
      </c>
      <c r="G46" s="282">
        <v>6.54E-2</v>
      </c>
      <c r="H46" s="281">
        <v>0.72</v>
      </c>
    </row>
    <row r="47" spans="1:8" x14ac:dyDescent="0.35">
      <c r="A47" s="279" t="s">
        <v>310</v>
      </c>
      <c r="B47" s="280">
        <v>125</v>
      </c>
      <c r="C47" s="281">
        <v>0.99</v>
      </c>
      <c r="D47" s="282">
        <v>0.1452</v>
      </c>
      <c r="E47" s="282">
        <v>6.0900000000000003E-2</v>
      </c>
      <c r="F47" s="281">
        <v>0.87</v>
      </c>
      <c r="G47" s="282">
        <v>4.8800000000000003E-2</v>
      </c>
      <c r="H47" s="281">
        <v>0.92</v>
      </c>
    </row>
    <row r="48" spans="1:8" x14ac:dyDescent="0.35">
      <c r="A48" s="279" t="s">
        <v>311</v>
      </c>
      <c r="B48" s="280">
        <v>46</v>
      </c>
      <c r="C48" s="281">
        <v>1.67</v>
      </c>
      <c r="D48" s="282">
        <v>0.56299999999999994</v>
      </c>
      <c r="E48" s="282">
        <v>0.19400000000000001</v>
      </c>
      <c r="F48" s="281">
        <v>1.1499999999999999</v>
      </c>
      <c r="G48" s="282">
        <v>5.5399999999999998E-2</v>
      </c>
      <c r="H48" s="281">
        <v>1.22</v>
      </c>
    </row>
    <row r="49" spans="1:8" x14ac:dyDescent="0.35">
      <c r="A49" s="279" t="s">
        <v>312</v>
      </c>
      <c r="B49" s="280">
        <v>32</v>
      </c>
      <c r="C49" s="281">
        <v>1.71</v>
      </c>
      <c r="D49" s="282">
        <v>0.56610000000000005</v>
      </c>
      <c r="E49" s="282">
        <v>6.6799999999999998E-2</v>
      </c>
      <c r="F49" s="281">
        <v>1.1200000000000001</v>
      </c>
      <c r="G49" s="282">
        <v>9.1499999999999998E-2</v>
      </c>
      <c r="H49" s="281">
        <v>1.23</v>
      </c>
    </row>
    <row r="50" spans="1:8" x14ac:dyDescent="0.35">
      <c r="A50" s="279" t="s">
        <v>313</v>
      </c>
      <c r="B50" s="280">
        <v>89</v>
      </c>
      <c r="C50" s="281">
        <v>1.27</v>
      </c>
      <c r="D50" s="282">
        <v>0.52329999999999999</v>
      </c>
      <c r="E50" s="282">
        <v>0.1048</v>
      </c>
      <c r="F50" s="281">
        <v>0.87</v>
      </c>
      <c r="G50" s="282">
        <v>3.8399999999999997E-2</v>
      </c>
      <c r="H50" s="281">
        <v>0.9</v>
      </c>
    </row>
    <row r="51" spans="1:8" x14ac:dyDescent="0.35">
      <c r="A51" s="279" t="s">
        <v>314</v>
      </c>
      <c r="B51" s="280">
        <v>139</v>
      </c>
      <c r="C51" s="281">
        <v>1</v>
      </c>
      <c r="D51" s="282">
        <v>0.1933</v>
      </c>
      <c r="E51" s="282">
        <v>9.5100000000000004E-2</v>
      </c>
      <c r="F51" s="281">
        <v>0.86</v>
      </c>
      <c r="G51" s="282">
        <v>3.5200000000000002E-2</v>
      </c>
      <c r="H51" s="281">
        <v>0.89</v>
      </c>
    </row>
    <row r="52" spans="1:8" x14ac:dyDescent="0.35">
      <c r="A52" s="279" t="s">
        <v>315</v>
      </c>
      <c r="B52" s="280">
        <v>71</v>
      </c>
      <c r="C52" s="281">
        <v>0.84</v>
      </c>
      <c r="D52" s="282">
        <v>0.10630000000000001</v>
      </c>
      <c r="E52" s="282">
        <v>0.17050000000000001</v>
      </c>
      <c r="F52" s="281">
        <v>0.77</v>
      </c>
      <c r="G52" s="282">
        <v>3.8399999999999997E-2</v>
      </c>
      <c r="H52" s="281">
        <v>0.81</v>
      </c>
    </row>
    <row r="53" spans="1:8" x14ac:dyDescent="0.35">
      <c r="A53" s="279" t="s">
        <v>316</v>
      </c>
      <c r="B53" s="280">
        <v>26</v>
      </c>
      <c r="C53" s="281">
        <v>0.92</v>
      </c>
      <c r="D53" s="282">
        <v>0.46139999999999998</v>
      </c>
      <c r="E53" s="282">
        <v>0.19189999999999999</v>
      </c>
      <c r="F53" s="281">
        <v>0.67</v>
      </c>
      <c r="G53" s="282">
        <v>5.04E-2</v>
      </c>
      <c r="H53" s="281">
        <v>0.71</v>
      </c>
    </row>
    <row r="54" spans="1:8" x14ac:dyDescent="0.35">
      <c r="A54" s="279" t="s">
        <v>317</v>
      </c>
      <c r="B54" s="280">
        <v>27</v>
      </c>
      <c r="C54" s="281">
        <v>1.21</v>
      </c>
      <c r="D54" s="282">
        <v>0.66669999999999996</v>
      </c>
      <c r="E54" s="282">
        <v>0.1782</v>
      </c>
      <c r="F54" s="281">
        <v>0.78</v>
      </c>
      <c r="G54" s="282">
        <v>0.1041</v>
      </c>
      <c r="H54" s="281">
        <v>0.87</v>
      </c>
    </row>
    <row r="55" spans="1:8" x14ac:dyDescent="0.35">
      <c r="A55" s="279" t="s">
        <v>318</v>
      </c>
      <c r="B55" s="280">
        <v>53</v>
      </c>
      <c r="C55" s="281">
        <v>0.76</v>
      </c>
      <c r="D55" s="282">
        <v>0.3498</v>
      </c>
      <c r="E55" s="282">
        <v>0.19420000000000001</v>
      </c>
      <c r="F55" s="281">
        <v>0.6</v>
      </c>
      <c r="G55" s="282">
        <v>5.4699999999999999E-2</v>
      </c>
      <c r="H55" s="281">
        <v>0.63</v>
      </c>
    </row>
    <row r="56" spans="1:8" x14ac:dyDescent="0.35">
      <c r="A56" s="279" t="s">
        <v>319</v>
      </c>
      <c r="B56" s="280">
        <v>330</v>
      </c>
      <c r="C56" s="281">
        <v>1.05</v>
      </c>
      <c r="D56" s="282">
        <v>4.1599999999999998E-2</v>
      </c>
      <c r="E56" s="282">
        <v>4.5900000000000003E-2</v>
      </c>
      <c r="F56" s="281">
        <v>1.01</v>
      </c>
      <c r="G56" s="282">
        <v>3.9800000000000002E-2</v>
      </c>
      <c r="H56" s="281">
        <v>1.05</v>
      </c>
    </row>
    <row r="57" spans="1:8" x14ac:dyDescent="0.35">
      <c r="A57" s="279" t="s">
        <v>320</v>
      </c>
      <c r="B57" s="280">
        <v>65</v>
      </c>
      <c r="C57" s="281">
        <v>0.82</v>
      </c>
      <c r="D57" s="282">
        <v>1.044</v>
      </c>
      <c r="E57" s="282">
        <v>6.6199999999999995E-2</v>
      </c>
      <c r="F57" s="281">
        <v>0.41</v>
      </c>
      <c r="G57" s="282">
        <v>0.1138</v>
      </c>
      <c r="H57" s="281">
        <v>0.47</v>
      </c>
    </row>
    <row r="58" spans="1:8" x14ac:dyDescent="0.35">
      <c r="A58" s="279" t="s">
        <v>321</v>
      </c>
      <c r="B58" s="280">
        <v>141</v>
      </c>
      <c r="C58" s="281">
        <v>1.04</v>
      </c>
      <c r="D58" s="282">
        <v>0.17499999999999999</v>
      </c>
      <c r="E58" s="282">
        <v>0.13020000000000001</v>
      </c>
      <c r="F58" s="281">
        <v>0.91</v>
      </c>
      <c r="G58" s="282">
        <v>5.8999999999999997E-2</v>
      </c>
      <c r="H58" s="281">
        <v>0.96</v>
      </c>
    </row>
    <row r="59" spans="1:8" x14ac:dyDescent="0.35">
      <c r="A59" s="279" t="s">
        <v>322</v>
      </c>
      <c r="B59" s="280">
        <v>134</v>
      </c>
      <c r="C59" s="281">
        <v>1.26</v>
      </c>
      <c r="D59" s="282">
        <v>0.48209999999999997</v>
      </c>
      <c r="E59" s="282">
        <v>1.9E-2</v>
      </c>
      <c r="F59" s="281">
        <v>0.86</v>
      </c>
      <c r="G59" s="282">
        <v>5.3699999999999998E-2</v>
      </c>
      <c r="H59" s="281">
        <v>0.9</v>
      </c>
    </row>
    <row r="60" spans="1:8" x14ac:dyDescent="0.35">
      <c r="A60" s="279" t="s">
        <v>323</v>
      </c>
      <c r="B60" s="280">
        <v>30</v>
      </c>
      <c r="C60" s="281">
        <v>1.1399999999999999</v>
      </c>
      <c r="D60" s="282">
        <v>0.55079999999999996</v>
      </c>
      <c r="E60" s="282">
        <v>0.12809999999999999</v>
      </c>
      <c r="F60" s="281">
        <v>0.77</v>
      </c>
      <c r="G60" s="282">
        <v>5.45E-2</v>
      </c>
      <c r="H60" s="281">
        <v>0.82</v>
      </c>
    </row>
    <row r="61" spans="1:8" x14ac:dyDescent="0.35">
      <c r="A61" s="279" t="s">
        <v>324</v>
      </c>
      <c r="B61" s="280">
        <v>8</v>
      </c>
      <c r="C61" s="281">
        <v>1</v>
      </c>
      <c r="D61" s="282">
        <v>8.5400000000000004E-2</v>
      </c>
      <c r="E61" s="282">
        <v>0.20549999999999999</v>
      </c>
      <c r="F61" s="281">
        <v>0.94</v>
      </c>
      <c r="G61" s="282">
        <v>3.09E-2</v>
      </c>
      <c r="H61" s="281">
        <v>0.97</v>
      </c>
    </row>
    <row r="62" spans="1:8" x14ac:dyDescent="0.35">
      <c r="A62" s="279" t="s">
        <v>325</v>
      </c>
      <c r="B62" s="280">
        <v>411</v>
      </c>
      <c r="C62" s="281">
        <v>1.24</v>
      </c>
      <c r="D62" s="282">
        <v>1.5615000000000001</v>
      </c>
      <c r="E62" s="282">
        <v>6.2899999999999998E-2</v>
      </c>
      <c r="F62" s="281">
        <v>0.5</v>
      </c>
      <c r="G62" s="282">
        <v>1.7600000000000001E-2</v>
      </c>
      <c r="H62" s="281">
        <v>0.51</v>
      </c>
    </row>
    <row r="63" spans="1:8" x14ac:dyDescent="0.35">
      <c r="A63" s="279" t="s">
        <v>326</v>
      </c>
      <c r="B63" s="280">
        <v>80</v>
      </c>
      <c r="C63" s="281">
        <v>0.82</v>
      </c>
      <c r="D63" s="282">
        <v>0.51929999999999998</v>
      </c>
      <c r="E63" s="282">
        <v>4.1799999999999997E-2</v>
      </c>
      <c r="F63" s="281">
        <v>0.55000000000000004</v>
      </c>
      <c r="G63" s="282">
        <v>1.12E-2</v>
      </c>
      <c r="H63" s="281">
        <v>0.55000000000000004</v>
      </c>
    </row>
    <row r="64" spans="1:8" x14ac:dyDescent="0.35">
      <c r="A64" s="279" t="s">
        <v>327</v>
      </c>
      <c r="B64" s="280">
        <v>163</v>
      </c>
      <c r="C64" s="281">
        <v>1.3</v>
      </c>
      <c r="D64" s="282">
        <v>0.2029</v>
      </c>
      <c r="E64" s="282">
        <v>0.10730000000000001</v>
      </c>
      <c r="F64" s="281">
        <v>1.1000000000000001</v>
      </c>
      <c r="G64" s="282">
        <v>5.6899999999999999E-2</v>
      </c>
      <c r="H64" s="281">
        <v>1.17</v>
      </c>
    </row>
    <row r="65" spans="1:8" x14ac:dyDescent="0.35">
      <c r="A65" s="279" t="s">
        <v>328</v>
      </c>
      <c r="B65" s="280">
        <v>24</v>
      </c>
      <c r="C65" s="281">
        <v>0.99</v>
      </c>
      <c r="D65" s="282">
        <v>0.4919</v>
      </c>
      <c r="E65" s="282">
        <v>0.21279999999999999</v>
      </c>
      <c r="F65" s="281">
        <v>0.71</v>
      </c>
      <c r="G65" s="282">
        <v>3.3099999999999997E-2</v>
      </c>
      <c r="H65" s="281">
        <v>0.73</v>
      </c>
    </row>
    <row r="66" spans="1:8" x14ac:dyDescent="0.35">
      <c r="A66" s="279" t="s">
        <v>329</v>
      </c>
      <c r="B66" s="280">
        <v>21</v>
      </c>
      <c r="C66" s="281">
        <v>1.34</v>
      </c>
      <c r="D66" s="282">
        <v>0.51990000000000003</v>
      </c>
      <c r="E66" s="282">
        <v>8.2000000000000003E-2</v>
      </c>
      <c r="F66" s="281">
        <v>0.9</v>
      </c>
      <c r="G66" s="282">
        <v>3.1199999999999999E-2</v>
      </c>
      <c r="H66" s="281">
        <v>0.93</v>
      </c>
    </row>
    <row r="67" spans="1:8" x14ac:dyDescent="0.35">
      <c r="A67" s="279" t="s">
        <v>330</v>
      </c>
      <c r="B67" s="280">
        <v>138</v>
      </c>
      <c r="C67" s="281">
        <v>1.1000000000000001</v>
      </c>
      <c r="D67" s="282">
        <v>0.13869999999999999</v>
      </c>
      <c r="E67" s="282">
        <v>4.2999999999999997E-2</v>
      </c>
      <c r="F67" s="281">
        <v>0.97</v>
      </c>
      <c r="G67" s="282">
        <v>5.1499999999999997E-2</v>
      </c>
      <c r="H67" s="281">
        <v>1.03</v>
      </c>
    </row>
    <row r="68" spans="1:8" x14ac:dyDescent="0.35">
      <c r="A68" s="279" t="s">
        <v>331</v>
      </c>
      <c r="B68" s="280">
        <v>106</v>
      </c>
      <c r="C68" s="281">
        <v>0.68</v>
      </c>
      <c r="D68" s="282">
        <v>0.85109999999999997</v>
      </c>
      <c r="E68" s="282">
        <v>0.1603</v>
      </c>
      <c r="F68" s="281">
        <v>0.4</v>
      </c>
      <c r="G68" s="282">
        <v>2.0500000000000001E-2</v>
      </c>
      <c r="H68" s="281">
        <v>0.4</v>
      </c>
    </row>
    <row r="69" spans="1:8" x14ac:dyDescent="0.35">
      <c r="A69" s="279" t="s">
        <v>332</v>
      </c>
      <c r="B69" s="280">
        <v>166</v>
      </c>
      <c r="C69" s="281">
        <v>1.33</v>
      </c>
      <c r="D69" s="282">
        <v>0.37019999999999997</v>
      </c>
      <c r="E69" s="282">
        <v>8.2000000000000007E-3</v>
      </c>
      <c r="F69" s="281">
        <v>0.98</v>
      </c>
      <c r="G69" s="282">
        <v>0.1057</v>
      </c>
      <c r="H69" s="281">
        <v>1.0900000000000001</v>
      </c>
    </row>
    <row r="70" spans="1:8" x14ac:dyDescent="0.35">
      <c r="A70" s="279" t="s">
        <v>333</v>
      </c>
      <c r="B70" s="280">
        <v>52</v>
      </c>
      <c r="C70" s="281">
        <v>1.08</v>
      </c>
      <c r="D70" s="282">
        <v>0.36820000000000003</v>
      </c>
      <c r="E70" s="282">
        <v>0.13919999999999999</v>
      </c>
      <c r="F70" s="281">
        <v>0.82</v>
      </c>
      <c r="G70" s="282">
        <v>6.0600000000000001E-2</v>
      </c>
      <c r="H70" s="281">
        <v>0.87</v>
      </c>
    </row>
    <row r="71" spans="1:8" x14ac:dyDescent="0.35">
      <c r="A71" s="279" t="s">
        <v>334</v>
      </c>
      <c r="B71" s="280">
        <v>46</v>
      </c>
      <c r="C71" s="281">
        <v>0.78</v>
      </c>
      <c r="D71" s="282">
        <v>5.6978999999999997</v>
      </c>
      <c r="E71" s="282">
        <v>2.4799999999999999E-2</v>
      </c>
      <c r="F71" s="281">
        <v>0.12</v>
      </c>
      <c r="G71" s="282">
        <v>2.4E-2</v>
      </c>
      <c r="H71" s="281">
        <v>0.12</v>
      </c>
    </row>
    <row r="72" spans="1:8" x14ac:dyDescent="0.35">
      <c r="A72" s="279" t="s">
        <v>335</v>
      </c>
      <c r="B72" s="280">
        <v>10</v>
      </c>
      <c r="C72" s="281">
        <v>1.08</v>
      </c>
      <c r="D72" s="282">
        <v>0.2369</v>
      </c>
      <c r="E72" s="282">
        <v>0.2051</v>
      </c>
      <c r="F72" s="281">
        <v>0.91</v>
      </c>
      <c r="G72" s="282">
        <v>1.61E-2</v>
      </c>
      <c r="H72" s="281">
        <v>0.92</v>
      </c>
    </row>
    <row r="73" spans="1:8" x14ac:dyDescent="0.35">
      <c r="A73" s="279" t="s">
        <v>336</v>
      </c>
      <c r="B73" s="280">
        <v>22</v>
      </c>
      <c r="C73" s="281">
        <v>0.99</v>
      </c>
      <c r="D73" s="282">
        <v>0.249</v>
      </c>
      <c r="E73" s="282">
        <v>0.03</v>
      </c>
      <c r="F73" s="281">
        <v>0.8</v>
      </c>
      <c r="G73" s="282">
        <v>6.2700000000000006E-2</v>
      </c>
      <c r="H73" s="281">
        <v>0.85</v>
      </c>
    </row>
    <row r="74" spans="1:8" x14ac:dyDescent="0.35">
      <c r="A74" s="279" t="s">
        <v>337</v>
      </c>
      <c r="B74" s="280">
        <v>11</v>
      </c>
      <c r="C74" s="281">
        <v>0.72</v>
      </c>
      <c r="D74" s="282">
        <v>0.17299999999999999</v>
      </c>
      <c r="E74" s="282">
        <v>8.72E-2</v>
      </c>
      <c r="F74" s="281">
        <v>0.62</v>
      </c>
      <c r="G74" s="282">
        <v>6.8999999999999999E-3</v>
      </c>
      <c r="H74" s="281">
        <v>0.62</v>
      </c>
    </row>
    <row r="75" spans="1:8" x14ac:dyDescent="0.35">
      <c r="A75" s="279" t="s">
        <v>338</v>
      </c>
      <c r="B75" s="280">
        <v>47</v>
      </c>
      <c r="C75" s="281">
        <v>1.4</v>
      </c>
      <c r="D75" s="282">
        <v>0.59570000000000001</v>
      </c>
      <c r="E75" s="282">
        <v>8.5599999999999996E-2</v>
      </c>
      <c r="F75" s="281">
        <v>0.91</v>
      </c>
      <c r="G75" s="282">
        <v>3.2500000000000001E-2</v>
      </c>
      <c r="H75" s="281">
        <v>0.94</v>
      </c>
    </row>
    <row r="76" spans="1:8" x14ac:dyDescent="0.35">
      <c r="A76" s="279" t="s">
        <v>339</v>
      </c>
      <c r="B76" s="280">
        <v>70</v>
      </c>
      <c r="C76" s="281">
        <v>1.3</v>
      </c>
      <c r="D76" s="282">
        <v>0.25130000000000002</v>
      </c>
      <c r="E76" s="282">
        <v>8.8099999999999998E-2</v>
      </c>
      <c r="F76" s="281">
        <v>1.06</v>
      </c>
      <c r="G76" s="282">
        <v>4.2200000000000001E-2</v>
      </c>
      <c r="H76" s="281">
        <v>1.1100000000000001</v>
      </c>
    </row>
    <row r="77" spans="1:8" x14ac:dyDescent="0.35">
      <c r="A77" s="279" t="s">
        <v>340</v>
      </c>
      <c r="B77" s="280">
        <v>3</v>
      </c>
      <c r="C77" s="281">
        <v>0.56000000000000005</v>
      </c>
      <c r="D77" s="282">
        <v>0.38500000000000001</v>
      </c>
      <c r="E77" s="282">
        <v>0.13339999999999999</v>
      </c>
      <c r="F77" s="281">
        <v>0.42</v>
      </c>
      <c r="G77" s="282">
        <v>0.1046</v>
      </c>
      <c r="H77" s="281">
        <v>0.47</v>
      </c>
    </row>
    <row r="78" spans="1:8" x14ac:dyDescent="0.35">
      <c r="A78" s="279" t="s">
        <v>341</v>
      </c>
      <c r="B78" s="280">
        <v>84</v>
      </c>
      <c r="C78" s="281">
        <v>0.86</v>
      </c>
      <c r="D78" s="282">
        <v>0.2757</v>
      </c>
      <c r="E78" s="282">
        <v>0.1517</v>
      </c>
      <c r="F78" s="281">
        <v>0.69</v>
      </c>
      <c r="G78" s="282">
        <v>2.5600000000000001E-2</v>
      </c>
      <c r="H78" s="281">
        <v>0.71</v>
      </c>
    </row>
    <row r="79" spans="1:8" x14ac:dyDescent="0.35">
      <c r="A79" s="279" t="s">
        <v>342</v>
      </c>
      <c r="B79" s="280">
        <v>30</v>
      </c>
      <c r="C79" s="281">
        <v>1.1499999999999999</v>
      </c>
      <c r="D79" s="282">
        <v>0.57509999999999994</v>
      </c>
      <c r="E79" s="282">
        <v>0.1923</v>
      </c>
      <c r="F79" s="281">
        <v>0.79</v>
      </c>
      <c r="G79" s="282">
        <v>2.2499999999999999E-2</v>
      </c>
      <c r="H79" s="281">
        <v>0.8</v>
      </c>
    </row>
    <row r="80" spans="1:8" x14ac:dyDescent="0.35">
      <c r="A80" s="279" t="s">
        <v>343</v>
      </c>
      <c r="B80" s="280">
        <v>7</v>
      </c>
      <c r="C80" s="281">
        <v>1.07</v>
      </c>
      <c r="D80" s="282">
        <v>0.2218</v>
      </c>
      <c r="E80" s="282">
        <v>0.21970000000000001</v>
      </c>
      <c r="F80" s="281">
        <v>0.91</v>
      </c>
      <c r="G80" s="282">
        <v>2.8899999999999999E-2</v>
      </c>
      <c r="H80" s="281">
        <v>0.94</v>
      </c>
    </row>
    <row r="81" spans="1:8" x14ac:dyDescent="0.35">
      <c r="A81" s="279" t="s">
        <v>344</v>
      </c>
      <c r="B81" s="280">
        <v>87</v>
      </c>
      <c r="C81" s="281">
        <v>1</v>
      </c>
      <c r="D81" s="282">
        <v>0.43819999999999998</v>
      </c>
      <c r="E81" s="282">
        <v>0.1618</v>
      </c>
      <c r="F81" s="281">
        <v>0.73</v>
      </c>
      <c r="G81" s="282">
        <v>1.8599999999999998E-2</v>
      </c>
      <c r="H81" s="281">
        <v>0.74</v>
      </c>
    </row>
    <row r="82" spans="1:8" x14ac:dyDescent="0.35">
      <c r="A82" s="279" t="s">
        <v>345</v>
      </c>
      <c r="B82" s="280">
        <v>21</v>
      </c>
      <c r="C82" s="281">
        <v>0.98</v>
      </c>
      <c r="D82" s="282">
        <v>0.35620000000000002</v>
      </c>
      <c r="E82" s="282">
        <v>0.25030000000000002</v>
      </c>
      <c r="F82" s="281">
        <v>0.77</v>
      </c>
      <c r="G82" s="282">
        <v>3.1899999999999998E-2</v>
      </c>
      <c r="H82" s="281">
        <v>0.8</v>
      </c>
    </row>
    <row r="83" spans="1:8" x14ac:dyDescent="0.35">
      <c r="A83" s="279" t="s">
        <v>346</v>
      </c>
      <c r="B83" s="280">
        <v>21</v>
      </c>
      <c r="C83" s="281">
        <v>0.81</v>
      </c>
      <c r="D83" s="282">
        <v>0.56859999999999999</v>
      </c>
      <c r="E83" s="282">
        <v>0.2283</v>
      </c>
      <c r="F83" s="281">
        <v>0.56999999999999995</v>
      </c>
      <c r="G83" s="282">
        <v>1.72E-2</v>
      </c>
      <c r="H83" s="281">
        <v>0.57999999999999996</v>
      </c>
    </row>
    <row r="84" spans="1:8" x14ac:dyDescent="0.35">
      <c r="A84" s="279" t="s">
        <v>347</v>
      </c>
      <c r="B84" s="280">
        <v>47</v>
      </c>
      <c r="C84" s="281">
        <v>1.03</v>
      </c>
      <c r="D84" s="282">
        <v>5.0599999999999999E-2</v>
      </c>
      <c r="E84" s="282">
        <v>9.8000000000000004E-2</v>
      </c>
      <c r="F84" s="281">
        <v>0.99</v>
      </c>
      <c r="G84" s="282">
        <v>3.0300000000000001E-2</v>
      </c>
      <c r="H84" s="281">
        <v>1.02</v>
      </c>
    </row>
    <row r="85" spans="1:8" x14ac:dyDescent="0.35">
      <c r="A85" s="279" t="s">
        <v>348</v>
      </c>
      <c r="B85" s="280">
        <v>137</v>
      </c>
      <c r="C85" s="281">
        <v>0.99</v>
      </c>
      <c r="D85" s="282">
        <v>0.378</v>
      </c>
      <c r="E85" s="282">
        <v>0.189</v>
      </c>
      <c r="F85" s="281">
        <v>0.75</v>
      </c>
      <c r="G85" s="282">
        <v>3.2000000000000001E-2</v>
      </c>
      <c r="H85" s="281">
        <v>0.78</v>
      </c>
    </row>
    <row r="86" spans="1:8" x14ac:dyDescent="0.35">
      <c r="A86" s="279" t="s">
        <v>349</v>
      </c>
      <c r="B86" s="280">
        <v>4</v>
      </c>
      <c r="C86" s="281">
        <v>1.27</v>
      </c>
      <c r="D86" s="282">
        <v>1.0978000000000001</v>
      </c>
      <c r="E86" s="282">
        <v>0.15210000000000001</v>
      </c>
      <c r="F86" s="281">
        <v>0.66</v>
      </c>
      <c r="G86" s="282">
        <v>0.17499999999999999</v>
      </c>
      <c r="H86" s="281">
        <v>0.8</v>
      </c>
    </row>
    <row r="87" spans="1:8" x14ac:dyDescent="0.35">
      <c r="A87" s="279" t="s">
        <v>350</v>
      </c>
      <c r="B87" s="280">
        <v>104</v>
      </c>
      <c r="C87" s="281">
        <v>1.19</v>
      </c>
      <c r="D87" s="282">
        <v>0.13020000000000001</v>
      </c>
      <c r="E87" s="282">
        <v>7.2999999999999995E-2</v>
      </c>
      <c r="F87" s="281">
        <v>1.06</v>
      </c>
      <c r="G87" s="282">
        <v>6.3399999999999998E-2</v>
      </c>
      <c r="H87" s="281">
        <v>1.1399999999999999</v>
      </c>
    </row>
    <row r="88" spans="1:8" x14ac:dyDescent="0.35">
      <c r="A88" s="279" t="s">
        <v>351</v>
      </c>
      <c r="B88" s="280">
        <v>51</v>
      </c>
      <c r="C88" s="281">
        <v>1.25</v>
      </c>
      <c r="D88" s="282">
        <v>0.16969999999999999</v>
      </c>
      <c r="E88" s="282">
        <v>5.1299999999999998E-2</v>
      </c>
      <c r="F88" s="281">
        <v>1.08</v>
      </c>
      <c r="G88" s="282">
        <v>0.10970000000000001</v>
      </c>
      <c r="H88" s="281">
        <v>1.21</v>
      </c>
    </row>
    <row r="89" spans="1:8" x14ac:dyDescent="0.35">
      <c r="A89" s="279" t="s">
        <v>352</v>
      </c>
      <c r="B89" s="280">
        <v>14</v>
      </c>
      <c r="C89" s="281">
        <v>1.5</v>
      </c>
      <c r="D89" s="282">
        <v>0.65349999999999997</v>
      </c>
      <c r="E89" s="282">
        <v>4.99E-2</v>
      </c>
      <c r="F89" s="281">
        <v>0.92</v>
      </c>
      <c r="G89" s="282">
        <v>2.2800000000000001E-2</v>
      </c>
      <c r="H89" s="281">
        <v>0.94</v>
      </c>
    </row>
    <row r="90" spans="1:8" x14ac:dyDescent="0.35">
      <c r="A90" s="279" t="s">
        <v>353</v>
      </c>
      <c r="B90" s="280">
        <v>14</v>
      </c>
      <c r="C90" s="281">
        <v>0.83</v>
      </c>
      <c r="D90" s="282">
        <v>7.8899999999999998E-2</v>
      </c>
      <c r="E90" s="282">
        <v>0.19819999999999999</v>
      </c>
      <c r="F90" s="281">
        <v>0.78</v>
      </c>
      <c r="G90" s="282">
        <v>3.5299999999999998E-2</v>
      </c>
      <c r="H90" s="281">
        <v>0.81</v>
      </c>
    </row>
    <row r="91" spans="1:8" x14ac:dyDescent="0.35">
      <c r="A91" s="279" t="s">
        <v>354</v>
      </c>
      <c r="B91" s="280">
        <v>37</v>
      </c>
      <c r="C91" s="281">
        <v>1.19</v>
      </c>
      <c r="D91" s="282">
        <v>0.45910000000000001</v>
      </c>
      <c r="E91" s="282">
        <v>0.14130000000000001</v>
      </c>
      <c r="F91" s="281">
        <v>0.85</v>
      </c>
      <c r="G91" s="282">
        <v>6.3100000000000003E-2</v>
      </c>
      <c r="H91" s="281">
        <v>0.91</v>
      </c>
    </row>
    <row r="92" spans="1:8" x14ac:dyDescent="0.35">
      <c r="A92" s="279" t="s">
        <v>355</v>
      </c>
      <c r="B92" s="280">
        <v>28</v>
      </c>
      <c r="C92" s="281">
        <v>0.68</v>
      </c>
      <c r="D92" s="282">
        <v>1.0513999999999999</v>
      </c>
      <c r="E92" s="282">
        <v>0.1154</v>
      </c>
      <c r="F92" s="281">
        <v>0.35</v>
      </c>
      <c r="G92" s="282">
        <v>5.1499999999999997E-2</v>
      </c>
      <c r="H92" s="281">
        <v>0.37</v>
      </c>
    </row>
    <row r="93" spans="1:8" x14ac:dyDescent="0.35">
      <c r="A93" s="279" t="s">
        <v>356</v>
      </c>
      <c r="B93" s="280">
        <v>131</v>
      </c>
      <c r="C93" s="281">
        <v>1.1399999999999999</v>
      </c>
      <c r="D93" s="282">
        <v>0.1077</v>
      </c>
      <c r="E93" s="282">
        <v>6.9000000000000006E-2</v>
      </c>
      <c r="F93" s="281">
        <v>1.04</v>
      </c>
      <c r="G93" s="282">
        <v>6.3600000000000004E-2</v>
      </c>
      <c r="H93" s="281">
        <v>1.1100000000000001</v>
      </c>
    </row>
    <row r="94" spans="1:8" x14ac:dyDescent="0.35">
      <c r="A94" s="279" t="s">
        <v>357</v>
      </c>
      <c r="B94" s="280">
        <v>82</v>
      </c>
      <c r="C94" s="281">
        <v>0.94</v>
      </c>
      <c r="D94" s="282">
        <v>0.71230000000000004</v>
      </c>
      <c r="E94" s="282">
        <v>8.4000000000000005E-2</v>
      </c>
      <c r="F94" s="281">
        <v>0.56999999999999995</v>
      </c>
      <c r="G94" s="282">
        <v>9.6299999999999997E-2</v>
      </c>
      <c r="H94" s="281">
        <v>0.63</v>
      </c>
    </row>
    <row r="95" spans="1:8" x14ac:dyDescent="0.35">
      <c r="A95" s="279" t="s">
        <v>358</v>
      </c>
      <c r="B95" s="280">
        <v>223</v>
      </c>
      <c r="C95" s="281">
        <v>0.53</v>
      </c>
      <c r="D95" s="282" t="s">
        <v>45</v>
      </c>
      <c r="E95" s="282">
        <v>0.1893</v>
      </c>
      <c r="F95" s="281">
        <v>0.01</v>
      </c>
      <c r="G95" s="282">
        <v>1.8800000000000001E-2</v>
      </c>
      <c r="H95" s="281" t="s">
        <v>45</v>
      </c>
    </row>
    <row r="96" spans="1:8" x14ac:dyDescent="0.35">
      <c r="A96" s="279" t="s">
        <v>359</v>
      </c>
      <c r="B96" s="280">
        <v>12</v>
      </c>
      <c r="C96" s="281">
        <v>0.94</v>
      </c>
      <c r="D96" s="282">
        <v>0.20830000000000001</v>
      </c>
      <c r="E96" s="282">
        <v>0.14230000000000001</v>
      </c>
      <c r="F96" s="281">
        <v>0.8</v>
      </c>
      <c r="G96" s="282">
        <v>3.7999999999999999E-2</v>
      </c>
      <c r="H96" s="281">
        <v>0.83</v>
      </c>
    </row>
    <row r="97" spans="1:8" x14ac:dyDescent="0.35">
      <c r="A97" s="279" t="s">
        <v>360</v>
      </c>
      <c r="B97" s="280">
        <v>22</v>
      </c>
      <c r="C97" s="281">
        <v>1.01</v>
      </c>
      <c r="D97" s="282">
        <v>0.20749999999999999</v>
      </c>
      <c r="E97" s="282">
        <v>0.21210000000000001</v>
      </c>
      <c r="F97" s="281">
        <v>0.86</v>
      </c>
      <c r="G97" s="282">
        <v>5.6000000000000001E-2</v>
      </c>
      <c r="H97" s="281">
        <v>0.92</v>
      </c>
    </row>
    <row r="98" spans="1:8" x14ac:dyDescent="0.35">
      <c r="A98" s="279" t="s">
        <v>361</v>
      </c>
      <c r="B98" s="280">
        <v>28</v>
      </c>
      <c r="C98" s="281">
        <v>1.17</v>
      </c>
      <c r="D98" s="282">
        <v>0.78480000000000005</v>
      </c>
      <c r="E98" s="282">
        <v>0.27929999999999999</v>
      </c>
      <c r="F98" s="281">
        <v>0.75</v>
      </c>
      <c r="G98" s="282">
        <v>2.92E-2</v>
      </c>
      <c r="H98" s="281">
        <v>0.77</v>
      </c>
    </row>
    <row r="99" spans="1:8" x14ac:dyDescent="0.35">
      <c r="A99" s="279" t="s">
        <v>362</v>
      </c>
      <c r="B99" s="280">
        <v>20</v>
      </c>
      <c r="C99" s="281">
        <v>0.56000000000000005</v>
      </c>
      <c r="D99" s="282">
        <v>0.69350000000000001</v>
      </c>
      <c r="E99" s="282">
        <v>0.29930000000000001</v>
      </c>
      <c r="F99" s="281">
        <v>0.38</v>
      </c>
      <c r="G99" s="282">
        <v>9.7000000000000003E-3</v>
      </c>
      <c r="H99" s="281">
        <v>0.38</v>
      </c>
    </row>
    <row r="100" spans="1:8" x14ac:dyDescent="0.35">
      <c r="A100" s="279" t="s">
        <v>363</v>
      </c>
      <c r="B100" s="280">
        <v>20</v>
      </c>
      <c r="C100" s="281">
        <v>0.75</v>
      </c>
      <c r="D100" s="282">
        <v>0.57899999999999996</v>
      </c>
      <c r="E100" s="282">
        <v>0.1452</v>
      </c>
      <c r="F100" s="281">
        <v>0.5</v>
      </c>
      <c r="G100" s="282">
        <v>5.4999999999999997E-3</v>
      </c>
      <c r="H100" s="281">
        <v>0.5</v>
      </c>
    </row>
    <row r="101" spans="1:8" x14ac:dyDescent="0.35">
      <c r="A101" s="283" t="s">
        <v>364</v>
      </c>
      <c r="B101" s="284">
        <v>7766</v>
      </c>
      <c r="C101" s="285">
        <v>1.01</v>
      </c>
      <c r="D101" s="286">
        <v>0.74280000000000002</v>
      </c>
      <c r="E101" s="286">
        <v>0.1032</v>
      </c>
      <c r="F101" s="285">
        <v>0.6</v>
      </c>
      <c r="G101" s="286">
        <v>5.2400000000000002E-2</v>
      </c>
      <c r="H101" s="285">
        <v>0.64</v>
      </c>
    </row>
    <row r="103" spans="1:8" x14ac:dyDescent="0.35">
      <c r="B103" s="288"/>
      <c r="C103" s="288">
        <f t="shared" ref="C103:H103" si="0">AVERAGE(C5:C100)</f>
        <v>1.0588541666666667</v>
      </c>
      <c r="D103" s="289">
        <f t="shared" si="0"/>
        <v>0.54781578947368426</v>
      </c>
      <c r="E103" s="289">
        <f t="shared" si="0"/>
        <v>0.12053437500000001</v>
      </c>
      <c r="F103" s="289">
        <f t="shared" si="0"/>
        <v>0.77687499999999954</v>
      </c>
      <c r="G103" s="289">
        <f t="shared" si="0"/>
        <v>5.4102083333333356E-2</v>
      </c>
      <c r="H103" s="289">
        <f t="shared" si="0"/>
        <v>0.83010526315789412</v>
      </c>
    </row>
    <row r="105" spans="1:8" x14ac:dyDescent="0.35">
      <c r="A105" t="s">
        <v>654</v>
      </c>
      <c r="B105" s="326" t="s">
        <v>700</v>
      </c>
    </row>
  </sheetData>
  <hyperlinks>
    <hyperlink ref="B105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Z63"/>
  <sheetViews>
    <sheetView workbookViewId="0">
      <pane xSplit="2" ySplit="1" topLeftCell="C50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baseColWidth="10" defaultRowHeight="14.5" x14ac:dyDescent="0.35"/>
  <cols>
    <col min="3" max="4" width="11.1796875" bestFit="1" customWidth="1"/>
    <col min="5" max="5" width="11.6328125" customWidth="1"/>
    <col min="6" max="8" width="12.36328125" bestFit="1" customWidth="1"/>
    <col min="9" max="9" width="11.1796875" customWidth="1"/>
    <col min="10" max="10" width="12.36328125" bestFit="1" customWidth="1"/>
    <col min="11" max="11" width="11.1796875" customWidth="1"/>
    <col min="12" max="12" width="11.54296875" bestFit="1" customWidth="1"/>
    <col min="13" max="13" width="12.36328125" bestFit="1" customWidth="1"/>
    <col min="16" max="17" width="12.36328125" bestFit="1" customWidth="1"/>
    <col min="18" max="19" width="12.36328125" customWidth="1"/>
    <col min="20" max="21" width="11.54296875" customWidth="1"/>
    <col min="23" max="23" width="12.36328125" bestFit="1" customWidth="1"/>
    <col min="24" max="25" width="12.36328125" customWidth="1"/>
    <col min="26" max="26" width="12.90625" bestFit="1" customWidth="1"/>
    <col min="27" max="27" width="4.6328125" customWidth="1"/>
    <col min="31" max="31" width="12.36328125" bestFit="1" customWidth="1"/>
    <col min="32" max="32" width="14.7265625" bestFit="1" customWidth="1"/>
    <col min="33" max="33" width="12.36328125" bestFit="1" customWidth="1"/>
    <col min="34" max="34" width="4.6328125" customWidth="1"/>
    <col min="38" max="38" width="4.6328125" customWidth="1"/>
    <col min="39" max="42" width="13" customWidth="1"/>
    <col min="43" max="43" width="4.6328125" customWidth="1"/>
    <col min="49" max="49" width="12.36328125" bestFit="1" customWidth="1"/>
  </cols>
  <sheetData>
    <row r="1" spans="2:26" x14ac:dyDescent="0.35"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X1" s="10" t="e">
        <f>IRR(#REF!)</f>
        <v>#REF!</v>
      </c>
      <c r="Y1" s="10"/>
      <c r="Z1" s="10" t="e">
        <f>IRR(#REF!)</f>
        <v>#REF!</v>
      </c>
    </row>
    <row r="2" spans="2:26" x14ac:dyDescent="0.3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2:26" x14ac:dyDescent="0.35">
      <c r="B3" s="172"/>
      <c r="C3" s="172" t="s">
        <v>155</v>
      </c>
      <c r="D3" s="15">
        <v>-50</v>
      </c>
      <c r="E3" s="15">
        <v>0</v>
      </c>
      <c r="F3" s="15"/>
      <c r="G3" s="172"/>
      <c r="H3" s="172"/>
      <c r="I3" s="172"/>
      <c r="J3" s="172"/>
      <c r="K3" s="172"/>
      <c r="L3" s="172"/>
    </row>
    <row r="4" spans="2:26" x14ac:dyDescent="0.35">
      <c r="B4" s="172"/>
      <c r="C4" s="172" t="s">
        <v>522</v>
      </c>
      <c r="E4" s="15">
        <v>100</v>
      </c>
      <c r="F4" s="15"/>
      <c r="G4" s="172"/>
      <c r="H4" s="172"/>
      <c r="I4" s="172"/>
      <c r="J4" s="172"/>
      <c r="K4" s="172"/>
      <c r="L4" s="172"/>
    </row>
    <row r="5" spans="2:26" x14ac:dyDescent="0.35">
      <c r="B5" s="172"/>
      <c r="C5" s="172" t="s">
        <v>523</v>
      </c>
      <c r="E5" s="15">
        <v>-60</v>
      </c>
      <c r="F5" s="15"/>
      <c r="G5" s="172"/>
      <c r="H5" s="172"/>
      <c r="I5" s="172"/>
      <c r="J5" s="172"/>
      <c r="K5" s="172"/>
      <c r="L5" s="172"/>
    </row>
    <row r="6" spans="2:26" x14ac:dyDescent="0.35">
      <c r="B6" s="172"/>
      <c r="C6" s="172" t="s">
        <v>524</v>
      </c>
      <c r="E6" s="115">
        <f>SUM(E4:E5)</f>
        <v>40</v>
      </c>
      <c r="F6" s="115"/>
      <c r="G6" s="172"/>
      <c r="H6" s="172"/>
      <c r="I6" s="172"/>
      <c r="J6" s="172"/>
      <c r="K6" s="172"/>
      <c r="L6" s="172"/>
    </row>
    <row r="7" spans="2:26" x14ac:dyDescent="0.35">
      <c r="B7" s="172"/>
      <c r="C7" s="172" t="s">
        <v>525</v>
      </c>
      <c r="E7" s="15">
        <v>-15</v>
      </c>
      <c r="F7" s="15"/>
      <c r="G7" s="172"/>
      <c r="H7" s="172"/>
      <c r="I7" s="172"/>
      <c r="J7" s="172"/>
      <c r="K7" s="172"/>
      <c r="L7" s="172"/>
    </row>
    <row r="8" spans="2:26" x14ac:dyDescent="0.35">
      <c r="B8" s="172"/>
      <c r="C8" s="172" t="s">
        <v>526</v>
      </c>
      <c r="E8" s="115">
        <f>SUM(E6:E7)</f>
        <v>25</v>
      </c>
      <c r="F8" s="115"/>
      <c r="G8" s="172"/>
      <c r="H8" s="172"/>
      <c r="I8" s="172"/>
      <c r="J8" s="172"/>
      <c r="K8" s="172"/>
      <c r="L8" s="172"/>
    </row>
    <row r="9" spans="2:26" x14ac:dyDescent="0.35">
      <c r="B9" s="172"/>
      <c r="C9" s="172" t="s">
        <v>157</v>
      </c>
      <c r="E9" s="15">
        <f>-E8*33%</f>
        <v>-8.25</v>
      </c>
      <c r="F9" s="15"/>
      <c r="G9" s="172"/>
      <c r="H9" s="172"/>
      <c r="I9" s="172"/>
      <c r="J9" s="172"/>
      <c r="K9" s="172"/>
      <c r="L9" s="172"/>
    </row>
    <row r="10" spans="2:26" x14ac:dyDescent="0.35">
      <c r="B10" s="172"/>
      <c r="C10" s="172" t="s">
        <v>527</v>
      </c>
      <c r="E10" s="115">
        <f>SUM(E8:E9)</f>
        <v>16.75</v>
      </c>
      <c r="F10" s="115"/>
      <c r="G10" s="172"/>
      <c r="H10" s="172"/>
      <c r="I10" s="172"/>
      <c r="J10" s="172"/>
      <c r="K10" s="172"/>
      <c r="L10" s="172"/>
    </row>
    <row r="11" spans="2:26" x14ac:dyDescent="0.35">
      <c r="B11" s="172"/>
      <c r="C11" s="358" t="s">
        <v>528</v>
      </c>
      <c r="E11" s="15">
        <v>7</v>
      </c>
      <c r="F11" s="15"/>
      <c r="G11" s="172"/>
      <c r="H11" s="172"/>
      <c r="I11" s="172"/>
      <c r="J11" s="172"/>
      <c r="K11" s="172"/>
      <c r="L11" s="172"/>
    </row>
    <row r="12" spans="2:26" x14ac:dyDescent="0.35">
      <c r="C12" s="358" t="s">
        <v>529</v>
      </c>
      <c r="E12" s="49">
        <f>-E7</f>
        <v>15</v>
      </c>
      <c r="F12" s="49"/>
    </row>
    <row r="13" spans="2:26" x14ac:dyDescent="0.35">
      <c r="C13" s="172" t="s">
        <v>530</v>
      </c>
      <c r="E13" s="115">
        <f>SUM(E10:E12)</f>
        <v>38.75</v>
      </c>
      <c r="F13" s="115"/>
    </row>
    <row r="14" spans="2:26" x14ac:dyDescent="0.35">
      <c r="C14" s="358" t="s">
        <v>604</v>
      </c>
      <c r="E14">
        <v>10</v>
      </c>
    </row>
    <row r="15" spans="2:26" x14ac:dyDescent="0.35">
      <c r="C15" s="172" t="s">
        <v>531</v>
      </c>
      <c r="E15">
        <v>15</v>
      </c>
    </row>
    <row r="16" spans="2:26" x14ac:dyDescent="0.35">
      <c r="C16" s="172" t="s">
        <v>533</v>
      </c>
      <c r="D16" s="49">
        <f>SUM(D13:D15)+D3</f>
        <v>-50</v>
      </c>
      <c r="E16" s="49">
        <f>SUM(E13:E15)+E3</f>
        <v>63.75</v>
      </c>
      <c r="F16" s="49"/>
    </row>
    <row r="17" spans="2:6" x14ac:dyDescent="0.35">
      <c r="C17" t="s">
        <v>532</v>
      </c>
    </row>
    <row r="18" spans="2:6" x14ac:dyDescent="0.35">
      <c r="E18" s="105">
        <f>IRR(D16:E16)</f>
        <v>0.27499999999999991</v>
      </c>
      <c r="F18" s="105"/>
    </row>
    <row r="20" spans="2:6" x14ac:dyDescent="0.35">
      <c r="B20" t="s">
        <v>402</v>
      </c>
      <c r="C20" t="s">
        <v>396</v>
      </c>
    </row>
    <row r="22" spans="2:6" x14ac:dyDescent="0.35">
      <c r="B22" t="s">
        <v>394</v>
      </c>
      <c r="C22" t="s">
        <v>396</v>
      </c>
    </row>
    <row r="23" spans="2:6" x14ac:dyDescent="0.35">
      <c r="B23" t="s">
        <v>395</v>
      </c>
      <c r="C23" t="s">
        <v>397</v>
      </c>
    </row>
    <row r="24" spans="2:6" x14ac:dyDescent="0.35">
      <c r="B24" t="s">
        <v>398</v>
      </c>
      <c r="C24" t="s">
        <v>397</v>
      </c>
    </row>
    <row r="25" spans="2:6" x14ac:dyDescent="0.35">
      <c r="B25" t="s">
        <v>399</v>
      </c>
      <c r="C25" t="s">
        <v>396</v>
      </c>
      <c r="D25" t="s">
        <v>403</v>
      </c>
    </row>
    <row r="26" spans="2:6" x14ac:dyDescent="0.35">
      <c r="B26" s="324" t="s">
        <v>400</v>
      </c>
      <c r="C26" s="324" t="s">
        <v>401</v>
      </c>
    </row>
    <row r="27" spans="2:6" x14ac:dyDescent="0.35">
      <c r="B27" t="s">
        <v>404</v>
      </c>
      <c r="C27" t="s">
        <v>396</v>
      </c>
    </row>
    <row r="28" spans="2:6" x14ac:dyDescent="0.35">
      <c r="B28" t="s">
        <v>405</v>
      </c>
      <c r="C28" t="s">
        <v>396</v>
      </c>
      <c r="E28" t="s">
        <v>406</v>
      </c>
    </row>
    <row r="32" spans="2:6" x14ac:dyDescent="0.35">
      <c r="B32" t="s">
        <v>884</v>
      </c>
    </row>
    <row r="33" spans="2:2" x14ac:dyDescent="0.35">
      <c r="B33" t="s">
        <v>885</v>
      </c>
    </row>
    <row r="34" spans="2:2" x14ac:dyDescent="0.35">
      <c r="B34" t="s">
        <v>886</v>
      </c>
    </row>
    <row r="35" spans="2:2" x14ac:dyDescent="0.35">
      <c r="B35" t="s">
        <v>887</v>
      </c>
    </row>
    <row r="36" spans="2:2" x14ac:dyDescent="0.35">
      <c r="B36" t="s">
        <v>888</v>
      </c>
    </row>
    <row r="37" spans="2:2" x14ac:dyDescent="0.35">
      <c r="B37" t="s">
        <v>889</v>
      </c>
    </row>
    <row r="40" spans="2:2" ht="31" x14ac:dyDescent="0.35">
      <c r="B40" s="639" t="s">
        <v>898</v>
      </c>
    </row>
    <row r="41" spans="2:2" ht="46.5" x14ac:dyDescent="0.35">
      <c r="B41" s="639" t="s">
        <v>899</v>
      </c>
    </row>
    <row r="42" spans="2:2" ht="31" x14ac:dyDescent="0.35">
      <c r="B42" s="639" t="s">
        <v>900</v>
      </c>
    </row>
    <row r="43" spans="2:2" ht="31" x14ac:dyDescent="0.35">
      <c r="B43" s="639" t="s">
        <v>901</v>
      </c>
    </row>
    <row r="44" spans="2:2" ht="15.5" x14ac:dyDescent="0.35">
      <c r="B44" s="639" t="s">
        <v>902</v>
      </c>
    </row>
    <row r="45" spans="2:2" ht="15.5" x14ac:dyDescent="0.35">
      <c r="B45" s="639" t="s">
        <v>903</v>
      </c>
    </row>
    <row r="46" spans="2:2" ht="62" x14ac:dyDescent="0.35">
      <c r="B46" s="639" t="s">
        <v>904</v>
      </c>
    </row>
    <row r="48" spans="2:2" ht="15" x14ac:dyDescent="0.35">
      <c r="B48" s="640" t="s">
        <v>905</v>
      </c>
    </row>
    <row r="50" spans="2:2" ht="15.5" x14ac:dyDescent="0.35">
      <c r="B50" s="639"/>
    </row>
    <row r="63" spans="2:2" ht="15" x14ac:dyDescent="0.35">
      <c r="B63" s="640" t="s">
        <v>906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3:V45"/>
  <sheetViews>
    <sheetView workbookViewId="0">
      <pane xSplit="2" ySplit="6" topLeftCell="J7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5.5" x14ac:dyDescent="0.35"/>
  <cols>
    <col min="1" max="1" width="10.90625" style="451"/>
    <col min="2" max="2" width="22.453125" style="451" customWidth="1"/>
    <col min="3" max="3" width="15.1796875" style="451" customWidth="1"/>
    <col min="4" max="4" width="20.26953125" style="451" customWidth="1"/>
    <col min="5" max="22" width="12.81640625" style="451" customWidth="1"/>
    <col min="23" max="16384" width="10.90625" style="451"/>
  </cols>
  <sheetData>
    <row r="3" spans="2:22" x14ac:dyDescent="0.35">
      <c r="B3" s="459" t="s">
        <v>179</v>
      </c>
      <c r="L3" s="451">
        <v>1</v>
      </c>
      <c r="M3" s="451">
        <v>2</v>
      </c>
      <c r="N3" s="451">
        <v>3</v>
      </c>
      <c r="O3" s="451">
        <v>4</v>
      </c>
      <c r="P3" s="451">
        <v>5</v>
      </c>
      <c r="Q3" s="451">
        <v>6</v>
      </c>
      <c r="R3" s="451">
        <v>7</v>
      </c>
      <c r="S3" s="451">
        <v>8</v>
      </c>
      <c r="T3" s="451">
        <v>9</v>
      </c>
      <c r="V3" s="451">
        <v>10</v>
      </c>
    </row>
    <row r="4" spans="2:22" x14ac:dyDescent="0.35">
      <c r="B4" s="459" t="s">
        <v>780</v>
      </c>
      <c r="E4" s="451">
        <v>2</v>
      </c>
      <c r="F4" s="451">
        <v>122</v>
      </c>
      <c r="G4" s="451">
        <v>123</v>
      </c>
      <c r="H4" s="451">
        <v>244</v>
      </c>
      <c r="I4" s="451">
        <v>246</v>
      </c>
      <c r="J4" s="451">
        <v>245</v>
      </c>
      <c r="K4" s="451">
        <v>247</v>
      </c>
      <c r="L4" s="451">
        <v>246</v>
      </c>
      <c r="M4" s="451">
        <v>243</v>
      </c>
      <c r="N4" s="451">
        <v>245</v>
      </c>
      <c r="O4" s="451">
        <v>246</v>
      </c>
      <c r="P4" s="451">
        <v>243</v>
      </c>
      <c r="Q4" s="451">
        <v>246</v>
      </c>
      <c r="R4" s="451">
        <v>246</v>
      </c>
      <c r="S4" s="451">
        <v>245</v>
      </c>
      <c r="T4" s="451">
        <v>207</v>
      </c>
      <c r="U4" s="451">
        <v>246</v>
      </c>
      <c r="V4" s="451">
        <v>207</v>
      </c>
    </row>
    <row r="5" spans="2:22" x14ac:dyDescent="0.35">
      <c r="B5" s="459" t="s">
        <v>180</v>
      </c>
      <c r="C5" s="452"/>
      <c r="D5" s="452"/>
      <c r="E5" s="453">
        <v>36893</v>
      </c>
      <c r="F5" s="453">
        <v>37071</v>
      </c>
      <c r="G5" s="453">
        <v>37075</v>
      </c>
      <c r="H5" s="453">
        <v>37253</v>
      </c>
      <c r="I5" s="453">
        <v>37620</v>
      </c>
      <c r="J5" s="453">
        <v>37985</v>
      </c>
      <c r="K5" s="453">
        <v>38351</v>
      </c>
      <c r="L5" s="453">
        <v>38715</v>
      </c>
      <c r="M5" s="453">
        <v>39079</v>
      </c>
      <c r="N5" s="453">
        <v>39447</v>
      </c>
      <c r="O5" s="453">
        <v>39812</v>
      </c>
      <c r="P5" s="453">
        <v>40177</v>
      </c>
      <c r="Q5" s="453">
        <v>40542</v>
      </c>
      <c r="R5" s="453">
        <v>40905</v>
      </c>
      <c r="S5" s="453">
        <v>41271</v>
      </c>
      <c r="T5" s="453">
        <v>41578</v>
      </c>
      <c r="U5" s="453">
        <v>41638</v>
      </c>
      <c r="V5" s="453">
        <v>41942</v>
      </c>
    </row>
    <row r="6" spans="2:22" x14ac:dyDescent="0.35">
      <c r="B6" s="459" t="s">
        <v>71</v>
      </c>
      <c r="E6" s="454">
        <v>2000</v>
      </c>
      <c r="F6" s="454">
        <v>2001</v>
      </c>
      <c r="G6" s="454">
        <v>2001</v>
      </c>
      <c r="H6" s="454">
        <v>2001</v>
      </c>
      <c r="I6" s="454">
        <v>2002</v>
      </c>
      <c r="J6" s="454">
        <v>2003</v>
      </c>
      <c r="K6" s="454">
        <v>2004</v>
      </c>
      <c r="L6" s="454">
        <v>2005</v>
      </c>
      <c r="M6" s="454">
        <v>2006</v>
      </c>
      <c r="N6" s="454">
        <v>2007</v>
      </c>
      <c r="O6" s="454">
        <v>2008</v>
      </c>
      <c r="P6" s="454">
        <v>2009</v>
      </c>
      <c r="Q6" s="454">
        <v>2010</v>
      </c>
      <c r="R6" s="454">
        <v>2011</v>
      </c>
      <c r="S6" s="454">
        <v>2012</v>
      </c>
      <c r="T6" s="454">
        <v>2013</v>
      </c>
      <c r="U6" s="454">
        <v>2013</v>
      </c>
      <c r="V6" s="454">
        <v>2014</v>
      </c>
    </row>
    <row r="7" spans="2:22" x14ac:dyDescent="0.35">
      <c r="B7" s="482" t="s">
        <v>682</v>
      </c>
      <c r="C7" s="452"/>
      <c r="D7" s="452"/>
      <c r="E7" s="455">
        <v>712.55899999999997</v>
      </c>
      <c r="F7" s="455">
        <v>883.97</v>
      </c>
      <c r="G7" s="455" t="s">
        <v>688</v>
      </c>
      <c r="H7" s="455" t="s">
        <v>688</v>
      </c>
      <c r="I7" s="455">
        <v>0</v>
      </c>
      <c r="J7" s="455">
        <v>0</v>
      </c>
      <c r="K7" s="455">
        <v>0</v>
      </c>
      <c r="L7" s="455">
        <v>0</v>
      </c>
      <c r="M7" s="455">
        <v>0</v>
      </c>
      <c r="N7" s="455">
        <v>0</v>
      </c>
      <c r="O7" s="455">
        <v>0</v>
      </c>
      <c r="P7" s="455">
        <v>0</v>
      </c>
      <c r="Q7" s="455">
        <v>0</v>
      </c>
      <c r="R7" s="455">
        <v>0</v>
      </c>
      <c r="S7" s="455">
        <v>0</v>
      </c>
      <c r="T7" s="455">
        <v>0</v>
      </c>
      <c r="U7" s="455">
        <v>0</v>
      </c>
      <c r="V7" s="455">
        <v>0</v>
      </c>
    </row>
    <row r="8" spans="2:22" x14ac:dyDescent="0.35">
      <c r="B8" s="483" t="s">
        <v>781</v>
      </c>
      <c r="C8" s="456"/>
      <c r="D8" s="456"/>
      <c r="E8" s="455" t="s">
        <v>688</v>
      </c>
      <c r="F8" s="455" t="s">
        <v>688</v>
      </c>
      <c r="G8" s="455">
        <v>993.61800360790005</v>
      </c>
      <c r="H8" s="455">
        <v>1070.8678290042001</v>
      </c>
      <c r="I8" s="455">
        <v>1608.6613073256999</v>
      </c>
      <c r="J8" s="455">
        <v>2333.7037922549998</v>
      </c>
      <c r="K8" s="455">
        <v>4345.83</v>
      </c>
      <c r="L8" s="455">
        <v>9513.2507594098006</v>
      </c>
      <c r="M8" s="455">
        <v>11161.1401684386</v>
      </c>
      <c r="N8" s="455">
        <v>10694.181</v>
      </c>
      <c r="O8" s="455">
        <v>7560.6805934714002</v>
      </c>
      <c r="P8" s="455">
        <v>11602.14</v>
      </c>
      <c r="Q8" s="455">
        <v>15496.77</v>
      </c>
      <c r="R8" s="455">
        <v>12747.58</v>
      </c>
      <c r="S8" s="455">
        <v>14715.84</v>
      </c>
      <c r="T8" s="455">
        <v>14053.02</v>
      </c>
      <c r="U8" s="455" t="s">
        <v>689</v>
      </c>
      <c r="V8" s="455">
        <v>0</v>
      </c>
    </row>
    <row r="9" spans="2:22" x14ac:dyDescent="0.35">
      <c r="B9" s="483" t="s">
        <v>782</v>
      </c>
      <c r="C9" s="456"/>
      <c r="D9" s="456"/>
      <c r="E9" s="455">
        <v>0</v>
      </c>
      <c r="F9" s="455">
        <v>0</v>
      </c>
      <c r="G9" s="455">
        <v>0</v>
      </c>
      <c r="H9" s="455">
        <v>0</v>
      </c>
      <c r="I9" s="455">
        <v>0</v>
      </c>
      <c r="J9" s="455">
        <v>0</v>
      </c>
      <c r="K9" s="455">
        <v>0</v>
      </c>
      <c r="L9" s="455">
        <v>0</v>
      </c>
      <c r="M9" s="455">
        <v>0</v>
      </c>
      <c r="N9" s="455">
        <v>0</v>
      </c>
      <c r="O9" s="455">
        <v>0</v>
      </c>
      <c r="P9" s="455">
        <v>0</v>
      </c>
      <c r="Q9" s="455">
        <v>0</v>
      </c>
      <c r="R9" s="455">
        <v>0</v>
      </c>
      <c r="S9" s="455">
        <v>0</v>
      </c>
      <c r="T9" s="455">
        <v>1742.94</v>
      </c>
      <c r="U9" s="455">
        <v>1606.33</v>
      </c>
      <c r="V9" s="455">
        <v>1626.22</v>
      </c>
    </row>
    <row r="12" spans="2:22" x14ac:dyDescent="0.35">
      <c r="B12" s="459" t="s">
        <v>780</v>
      </c>
      <c r="E12" s="451">
        <v>2</v>
      </c>
      <c r="F12" s="451">
        <v>122</v>
      </c>
      <c r="G12" s="451">
        <v>123</v>
      </c>
      <c r="H12" s="451">
        <v>205</v>
      </c>
      <c r="I12" s="451">
        <v>207</v>
      </c>
      <c r="J12" s="451">
        <v>207</v>
      </c>
      <c r="K12" s="451">
        <v>206</v>
      </c>
      <c r="L12" s="451">
        <v>206</v>
      </c>
      <c r="M12" s="451">
        <v>205</v>
      </c>
      <c r="N12" s="451">
        <v>205</v>
      </c>
      <c r="O12" s="451">
        <v>208</v>
      </c>
      <c r="P12" s="451">
        <v>204</v>
      </c>
      <c r="Q12" s="451">
        <v>205</v>
      </c>
      <c r="R12" s="451">
        <v>207</v>
      </c>
      <c r="S12" s="451">
        <v>206</v>
      </c>
      <c r="T12" s="451">
        <v>207</v>
      </c>
      <c r="U12" s="451">
        <v>207</v>
      </c>
      <c r="V12" s="451">
        <v>207</v>
      </c>
    </row>
    <row r="13" spans="2:22" x14ac:dyDescent="0.35">
      <c r="B13" s="459" t="s">
        <v>180</v>
      </c>
      <c r="C13" s="452"/>
      <c r="D13" s="452"/>
      <c r="E13" s="453">
        <v>36893</v>
      </c>
      <c r="F13" s="453">
        <v>37071</v>
      </c>
      <c r="G13" s="453">
        <v>37075</v>
      </c>
      <c r="H13" s="453">
        <v>37195</v>
      </c>
      <c r="I13" s="453">
        <v>37560</v>
      </c>
      <c r="J13" s="453">
        <v>37925</v>
      </c>
      <c r="K13" s="453">
        <v>38289</v>
      </c>
      <c r="L13" s="453">
        <v>38656</v>
      </c>
      <c r="M13" s="453">
        <v>39021</v>
      </c>
      <c r="N13" s="453">
        <v>39386</v>
      </c>
      <c r="O13" s="453">
        <v>39752</v>
      </c>
      <c r="P13" s="453">
        <v>40116</v>
      </c>
      <c r="Q13" s="453">
        <v>40480</v>
      </c>
      <c r="R13" s="453">
        <v>40847</v>
      </c>
      <c r="S13" s="453">
        <v>41213</v>
      </c>
      <c r="T13" s="453">
        <v>41578</v>
      </c>
      <c r="U13" s="453">
        <v>41578</v>
      </c>
      <c r="V13" s="453">
        <v>41942</v>
      </c>
    </row>
    <row r="14" spans="2:22" x14ac:dyDescent="0.35">
      <c r="B14" s="459" t="s">
        <v>71</v>
      </c>
      <c r="E14" s="454">
        <v>2000</v>
      </c>
      <c r="F14" s="454">
        <v>2001</v>
      </c>
      <c r="G14" s="454">
        <v>2001</v>
      </c>
      <c r="H14" s="454">
        <v>2001</v>
      </c>
      <c r="I14" s="454">
        <v>2002</v>
      </c>
      <c r="J14" s="454">
        <v>2003</v>
      </c>
      <c r="K14" s="454">
        <v>2004</v>
      </c>
      <c r="L14" s="454">
        <v>2005</v>
      </c>
      <c r="M14" s="454">
        <v>2006</v>
      </c>
      <c r="N14" s="454">
        <v>2007</v>
      </c>
      <c r="O14" s="454">
        <v>2008</v>
      </c>
      <c r="P14" s="454">
        <v>2009</v>
      </c>
      <c r="Q14" s="454">
        <v>2010</v>
      </c>
      <c r="R14" s="454">
        <v>2011</v>
      </c>
      <c r="S14" s="454">
        <v>2012</v>
      </c>
      <c r="T14" s="454">
        <v>2013</v>
      </c>
      <c r="U14" s="454">
        <v>2013</v>
      </c>
      <c r="V14" s="454">
        <v>2014</v>
      </c>
    </row>
    <row r="15" spans="2:22" x14ac:dyDescent="0.35">
      <c r="B15" s="482" t="s">
        <v>682</v>
      </c>
      <c r="C15" s="452"/>
      <c r="D15" s="452"/>
      <c r="E15" s="455">
        <v>712.55899999999997</v>
      </c>
      <c r="F15" s="455">
        <v>883.97</v>
      </c>
      <c r="G15" s="455" t="s">
        <v>688</v>
      </c>
      <c r="H15" s="455" t="s">
        <v>688</v>
      </c>
      <c r="I15" s="455">
        <v>0</v>
      </c>
      <c r="J15" s="455">
        <v>0</v>
      </c>
      <c r="K15" s="455">
        <v>0</v>
      </c>
      <c r="L15" s="455">
        <v>0</v>
      </c>
      <c r="M15" s="455">
        <v>0</v>
      </c>
      <c r="N15" s="455">
        <v>0</v>
      </c>
      <c r="O15" s="455">
        <v>0</v>
      </c>
      <c r="P15" s="455">
        <v>0</v>
      </c>
      <c r="Q15" s="455">
        <v>0</v>
      </c>
      <c r="R15" s="455">
        <v>0</v>
      </c>
      <c r="S15" s="455">
        <v>0</v>
      </c>
      <c r="T15" s="455">
        <v>0</v>
      </c>
      <c r="U15" s="455">
        <v>0</v>
      </c>
      <c r="V15" s="455">
        <v>0</v>
      </c>
    </row>
    <row r="16" spans="2:22" x14ac:dyDescent="0.35">
      <c r="B16" s="483" t="s">
        <v>781</v>
      </c>
      <c r="C16" s="456"/>
      <c r="D16" s="456"/>
      <c r="E16" s="455" t="s">
        <v>688</v>
      </c>
      <c r="F16" s="455" t="s">
        <v>688</v>
      </c>
      <c r="G16" s="455">
        <v>993.61800360790005</v>
      </c>
      <c r="H16" s="455">
        <v>814.11517173250002</v>
      </c>
      <c r="I16" s="455">
        <v>1389.9441667963999</v>
      </c>
      <c r="J16" s="455">
        <v>2158.2128199811</v>
      </c>
      <c r="K16" s="455">
        <v>3742.6</v>
      </c>
      <c r="L16" s="455">
        <v>7195.1131785379002</v>
      </c>
      <c r="M16" s="455">
        <v>10284.994434251499</v>
      </c>
      <c r="N16" s="455">
        <v>10630.338201409601</v>
      </c>
      <c r="O16" s="455">
        <v>7226.0313778488999</v>
      </c>
      <c r="P16" s="455">
        <v>10687.03</v>
      </c>
      <c r="Q16" s="455">
        <v>15899.57</v>
      </c>
      <c r="R16" s="455">
        <v>13322.53</v>
      </c>
      <c r="S16" s="455">
        <v>14781.24</v>
      </c>
      <c r="T16" s="455">
        <v>14053.02</v>
      </c>
      <c r="U16" s="455">
        <v>14053.02</v>
      </c>
      <c r="V16" s="455">
        <v>0</v>
      </c>
    </row>
    <row r="17" spans="1:22" x14ac:dyDescent="0.35">
      <c r="B17" s="483" t="s">
        <v>782</v>
      </c>
      <c r="C17" s="456"/>
      <c r="D17" s="456"/>
      <c r="E17" s="455">
        <v>0</v>
      </c>
      <c r="F17" s="455">
        <v>0</v>
      </c>
      <c r="G17" s="455">
        <v>0</v>
      </c>
      <c r="H17" s="455">
        <v>0</v>
      </c>
      <c r="I17" s="455">
        <v>0</v>
      </c>
      <c r="J17" s="455">
        <v>0</v>
      </c>
      <c r="K17" s="455">
        <v>0</v>
      </c>
      <c r="L17" s="455">
        <v>0</v>
      </c>
      <c r="M17" s="455">
        <v>0</v>
      </c>
      <c r="N17" s="455">
        <v>0</v>
      </c>
      <c r="O17" s="455">
        <v>0</v>
      </c>
      <c r="P17" s="455">
        <v>0</v>
      </c>
      <c r="Q17" s="455">
        <v>0</v>
      </c>
      <c r="R17" s="455">
        <v>0</v>
      </c>
      <c r="S17" s="455">
        <v>0</v>
      </c>
      <c r="T17" s="455">
        <v>1742.94</v>
      </c>
      <c r="U17" s="455">
        <v>1742.94</v>
      </c>
      <c r="V17" s="455">
        <v>1626.22</v>
      </c>
    </row>
    <row r="19" spans="1:22" x14ac:dyDescent="0.35">
      <c r="B19" s="483" t="s">
        <v>783</v>
      </c>
      <c r="H19" s="457"/>
      <c r="I19" s="457">
        <f t="shared" ref="I19:T19" si="0">(I16/H16)-1</f>
        <v>0.70730655201829906</v>
      </c>
      <c r="J19" s="457">
        <f t="shared" si="0"/>
        <v>0.55273346335589646</v>
      </c>
      <c r="K19" s="457">
        <f t="shared" si="0"/>
        <v>0.73411999287112706</v>
      </c>
      <c r="L19" s="457">
        <f t="shared" si="0"/>
        <v>0.92249056231975102</v>
      </c>
      <c r="M19" s="457">
        <f t="shared" si="0"/>
        <v>0.42944164727391887</v>
      </c>
      <c r="N19" s="457">
        <f t="shared" si="0"/>
        <v>3.3577438409497118E-2</v>
      </c>
      <c r="O19" s="457">
        <f t="shared" si="0"/>
        <v>-0.32024445121692213</v>
      </c>
      <c r="P19" s="457">
        <f t="shared" si="0"/>
        <v>0.47896257865149172</v>
      </c>
      <c r="Q19" s="457">
        <f t="shared" si="0"/>
        <v>0.48774449028401712</v>
      </c>
      <c r="R19" s="457">
        <f t="shared" si="0"/>
        <v>-0.16208237078109655</v>
      </c>
      <c r="S19" s="457">
        <f t="shared" si="0"/>
        <v>0.10949196586534238</v>
      </c>
      <c r="T19" s="457">
        <f t="shared" si="0"/>
        <v>-4.9266502675012314E-2</v>
      </c>
      <c r="U19" s="457"/>
      <c r="V19" s="457">
        <f>(V17/U17)-1</f>
        <v>-6.696730811158158E-2</v>
      </c>
    </row>
    <row r="21" spans="1:22" x14ac:dyDescent="0.35">
      <c r="B21" s="483" t="s">
        <v>784</v>
      </c>
      <c r="L21" s="457">
        <f t="shared" ref="L21:T21" si="1">L19</f>
        <v>0.92249056231975102</v>
      </c>
      <c r="M21" s="457">
        <f t="shared" si="1"/>
        <v>0.42944164727391887</v>
      </c>
      <c r="N21" s="457">
        <f t="shared" si="1"/>
        <v>3.3577438409497118E-2</v>
      </c>
      <c r="O21" s="457">
        <f t="shared" si="1"/>
        <v>-0.32024445121692213</v>
      </c>
      <c r="P21" s="457">
        <f t="shared" si="1"/>
        <v>0.47896257865149172</v>
      </c>
      <c r="Q21" s="457">
        <f t="shared" si="1"/>
        <v>0.48774449028401712</v>
      </c>
      <c r="R21" s="457">
        <f t="shared" si="1"/>
        <v>-0.16208237078109655</v>
      </c>
      <c r="S21" s="457">
        <f t="shared" si="1"/>
        <v>0.10949196586534238</v>
      </c>
      <c r="T21" s="457">
        <f t="shared" si="1"/>
        <v>-4.9266502675012314E-2</v>
      </c>
      <c r="V21" s="457">
        <f>V19</f>
        <v>-6.696730811158158E-2</v>
      </c>
    </row>
    <row r="23" spans="1:22" x14ac:dyDescent="0.35">
      <c r="B23" s="483" t="s">
        <v>785</v>
      </c>
      <c r="L23" s="458">
        <f>((1+L21)*(1+K23))-1</f>
        <v>0.92249056231975102</v>
      </c>
      <c r="M23" s="458">
        <f t="shared" ref="M23:T23" si="2">((1+M21)*(1+L23))-1</f>
        <v>1.7480880762709075</v>
      </c>
      <c r="N23" s="458">
        <f t="shared" si="2"/>
        <v>1.8403618343957673</v>
      </c>
      <c r="O23" s="458">
        <f t="shared" si="2"/>
        <v>0.93075171748220442</v>
      </c>
      <c r="P23" s="458">
        <f t="shared" si="2"/>
        <v>1.8555095388232776</v>
      </c>
      <c r="Q23" s="458">
        <f t="shared" si="2"/>
        <v>3.2482685833377856</v>
      </c>
      <c r="R23" s="458">
        <f t="shared" si="2"/>
        <v>2.5596991396355468</v>
      </c>
      <c r="S23" s="458">
        <f t="shared" si="2"/>
        <v>2.9494575963234109</v>
      </c>
      <c r="T23" s="458">
        <f t="shared" si="2"/>
        <v>2.7548816330892958</v>
      </c>
      <c r="U23" s="458">
        <f>((1+U21)*(1+T23))-1</f>
        <v>2.7548816330892958</v>
      </c>
      <c r="V23" s="458">
        <f>((1+V21)*(1+U23))-1</f>
        <v>2.5034273178436863</v>
      </c>
    </row>
    <row r="26" spans="1:22" x14ac:dyDescent="0.35">
      <c r="A26" s="485" t="s">
        <v>179</v>
      </c>
      <c r="B26" s="486" t="s">
        <v>180</v>
      </c>
      <c r="C26" s="941" t="s">
        <v>685</v>
      </c>
      <c r="D26" s="941"/>
      <c r="E26" s="484"/>
    </row>
    <row r="27" spans="1:22" x14ac:dyDescent="0.35">
      <c r="A27" s="485"/>
      <c r="B27" s="486"/>
      <c r="C27" s="485" t="s">
        <v>179</v>
      </c>
      <c r="D27" s="485" t="s">
        <v>686</v>
      </c>
    </row>
    <row r="28" spans="1:22" x14ac:dyDescent="0.35">
      <c r="A28" s="460"/>
    </row>
    <row r="29" spans="1:22" x14ac:dyDescent="0.35">
      <c r="A29" s="460">
        <v>1</v>
      </c>
      <c r="B29" s="461">
        <f t="shared" ref="B29:B38" si="3">HLOOKUP($A29,$A$3:$V$23,11,0)</f>
        <v>38656</v>
      </c>
      <c r="C29" s="462">
        <f t="shared" ref="C29:C38" si="4">HLOOKUP($A29,$A$3:$V$23,17,0)</f>
        <v>0.92249056231975102</v>
      </c>
      <c r="D29" s="462">
        <f t="shared" ref="D29:D38" si="5">((1+D28)*(1+C29))-1</f>
        <v>0.92249056231975102</v>
      </c>
    </row>
    <row r="30" spans="1:22" x14ac:dyDescent="0.35">
      <c r="A30" s="460">
        <v>2</v>
      </c>
      <c r="B30" s="461">
        <f t="shared" si="3"/>
        <v>39021</v>
      </c>
      <c r="C30" s="462">
        <f t="shared" si="4"/>
        <v>0.42944164727391887</v>
      </c>
      <c r="D30" s="462">
        <f t="shared" si="5"/>
        <v>1.7480880762709075</v>
      </c>
    </row>
    <row r="31" spans="1:22" x14ac:dyDescent="0.35">
      <c r="A31" s="460">
        <v>3</v>
      </c>
      <c r="B31" s="461">
        <f t="shared" si="3"/>
        <v>39386</v>
      </c>
      <c r="C31" s="462">
        <f t="shared" si="4"/>
        <v>3.3577438409497118E-2</v>
      </c>
      <c r="D31" s="462">
        <f t="shared" si="5"/>
        <v>1.8403618343957673</v>
      </c>
    </row>
    <row r="32" spans="1:22" x14ac:dyDescent="0.35">
      <c r="A32" s="460">
        <v>4</v>
      </c>
      <c r="B32" s="461">
        <f t="shared" si="3"/>
        <v>39752</v>
      </c>
      <c r="C32" s="462">
        <f t="shared" si="4"/>
        <v>-0.32024445121692213</v>
      </c>
      <c r="D32" s="462">
        <f t="shared" si="5"/>
        <v>0.93075171748220442</v>
      </c>
    </row>
    <row r="33" spans="1:4" x14ac:dyDescent="0.35">
      <c r="A33" s="460">
        <v>5</v>
      </c>
      <c r="B33" s="461">
        <f t="shared" si="3"/>
        <v>40116</v>
      </c>
      <c r="C33" s="462">
        <f t="shared" si="4"/>
        <v>0.47896257865149172</v>
      </c>
      <c r="D33" s="462">
        <f t="shared" si="5"/>
        <v>1.8555095388232776</v>
      </c>
    </row>
    <row r="34" spans="1:4" x14ac:dyDescent="0.35">
      <c r="A34" s="460">
        <v>6</v>
      </c>
      <c r="B34" s="461">
        <f t="shared" si="3"/>
        <v>40480</v>
      </c>
      <c r="C34" s="462">
        <f t="shared" si="4"/>
        <v>0.48774449028401712</v>
      </c>
      <c r="D34" s="462">
        <f t="shared" si="5"/>
        <v>3.2482685833377856</v>
      </c>
    </row>
    <row r="35" spans="1:4" x14ac:dyDescent="0.35">
      <c r="A35" s="460">
        <v>7</v>
      </c>
      <c r="B35" s="461">
        <f t="shared" si="3"/>
        <v>40847</v>
      </c>
      <c r="C35" s="462">
        <f t="shared" si="4"/>
        <v>-0.16208237078109655</v>
      </c>
      <c r="D35" s="462">
        <f t="shared" si="5"/>
        <v>2.5596991396355468</v>
      </c>
    </row>
    <row r="36" spans="1:4" x14ac:dyDescent="0.35">
      <c r="A36" s="460">
        <v>8</v>
      </c>
      <c r="B36" s="461">
        <f t="shared" si="3"/>
        <v>41213</v>
      </c>
      <c r="C36" s="462">
        <f t="shared" si="4"/>
        <v>0.10949196586534238</v>
      </c>
      <c r="D36" s="462">
        <f t="shared" si="5"/>
        <v>2.9494575963234109</v>
      </c>
    </row>
    <row r="37" spans="1:4" x14ac:dyDescent="0.35">
      <c r="A37" s="460">
        <v>9</v>
      </c>
      <c r="B37" s="461">
        <f t="shared" si="3"/>
        <v>41578</v>
      </c>
      <c r="C37" s="462">
        <f t="shared" si="4"/>
        <v>-4.9266502675012314E-2</v>
      </c>
      <c r="D37" s="462">
        <f t="shared" si="5"/>
        <v>2.7548816330892958</v>
      </c>
    </row>
    <row r="38" spans="1:4" x14ac:dyDescent="0.35">
      <c r="A38" s="460">
        <v>10</v>
      </c>
      <c r="B38" s="461">
        <f t="shared" si="3"/>
        <v>41942</v>
      </c>
      <c r="C38" s="462">
        <f t="shared" si="4"/>
        <v>-6.696730811158158E-2</v>
      </c>
      <c r="D38" s="462">
        <f t="shared" si="5"/>
        <v>2.5034273178436863</v>
      </c>
    </row>
    <row r="40" spans="1:4" x14ac:dyDescent="0.35">
      <c r="B40" s="486" t="s">
        <v>786</v>
      </c>
      <c r="C40" s="485" t="s">
        <v>787</v>
      </c>
      <c r="D40" s="485" t="s">
        <v>190</v>
      </c>
    </row>
    <row r="42" spans="1:4" x14ac:dyDescent="0.35">
      <c r="B42" s="486" t="s">
        <v>684</v>
      </c>
      <c r="C42" s="487">
        <f>AVERAGE(C29:C38)</f>
        <v>0.18631480500194056</v>
      </c>
      <c r="D42" s="487">
        <f>((1+C42)^(1/12))-1</f>
        <v>1.4339479588795445E-2</v>
      </c>
    </row>
    <row r="43" spans="1:4" x14ac:dyDescent="0.35">
      <c r="B43" s="486" t="s">
        <v>683</v>
      </c>
      <c r="C43" s="487">
        <f>((1+D38)^(1/10))-1</f>
        <v>0.1335725251660469</v>
      </c>
      <c r="D43" s="487">
        <f>((1+C43)^(1/12))-1</f>
        <v>1.050261702697286E-2</v>
      </c>
    </row>
    <row r="45" spans="1:4" x14ac:dyDescent="0.35">
      <c r="A45" s="459" t="s">
        <v>654</v>
      </c>
      <c r="B45" s="463" t="s">
        <v>687</v>
      </c>
    </row>
  </sheetData>
  <mergeCells count="1">
    <mergeCell ref="C26:D26"/>
  </mergeCells>
  <hyperlinks>
    <hyperlink ref="B45" r:id="rId1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6:F28"/>
  <sheetViews>
    <sheetView workbookViewId="0">
      <pane xSplit="1" ySplit="3" topLeftCell="B64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sheetData>
    <row r="6" spans="1:6" ht="15" thickBot="1" x14ac:dyDescent="0.4">
      <c r="A6" s="942" t="s">
        <v>657</v>
      </c>
      <c r="B6" s="942"/>
      <c r="C6" s="444" t="s">
        <v>658</v>
      </c>
      <c r="D6" s="444" t="s">
        <v>659</v>
      </c>
      <c r="E6" s="444" t="s">
        <v>660</v>
      </c>
      <c r="F6" s="444" t="s">
        <v>661</v>
      </c>
    </row>
    <row r="7" spans="1:6" ht="15" thickBot="1" x14ac:dyDescent="0.4">
      <c r="A7" s="445"/>
      <c r="B7" s="446" t="s">
        <v>662</v>
      </c>
      <c r="C7" s="447">
        <v>320</v>
      </c>
      <c r="D7" s="448">
        <v>-6.1999999999999998E-3</v>
      </c>
      <c r="E7" s="448">
        <v>-6.1999999999999998E-3</v>
      </c>
      <c r="F7" s="448">
        <v>-4.19E-2</v>
      </c>
    </row>
    <row r="8" spans="1:6" ht="29.5" thickBot="1" x14ac:dyDescent="0.4">
      <c r="A8" s="445"/>
      <c r="B8" s="446" t="s">
        <v>663</v>
      </c>
      <c r="C8" s="447">
        <v>688</v>
      </c>
      <c r="D8" s="448">
        <v>-2.1299999999999999E-2</v>
      </c>
      <c r="E8" s="448">
        <v>-2.1299999999999999E-2</v>
      </c>
      <c r="F8" s="448">
        <v>-0.14849999999999999</v>
      </c>
    </row>
    <row r="9" spans="1:6" ht="29.5" thickBot="1" x14ac:dyDescent="0.4">
      <c r="A9" s="445"/>
      <c r="B9" s="446" t="s">
        <v>664</v>
      </c>
      <c r="C9" s="447">
        <v>230</v>
      </c>
      <c r="D9" s="448">
        <v>-1.29E-2</v>
      </c>
      <c r="E9" s="448">
        <v>-1.29E-2</v>
      </c>
      <c r="F9" s="449">
        <v>2.6800000000000001E-2</v>
      </c>
    </row>
    <row r="10" spans="1:6" ht="29.5" thickBot="1" x14ac:dyDescent="0.4">
      <c r="A10" s="445"/>
      <c r="B10" s="446" t="s">
        <v>665</v>
      </c>
      <c r="C10" s="447">
        <v>173</v>
      </c>
      <c r="D10" s="449">
        <v>5.7999999999999996E-3</v>
      </c>
      <c r="E10" s="449">
        <v>5.7999999999999996E-3</v>
      </c>
      <c r="F10" s="449">
        <v>4.2200000000000001E-2</v>
      </c>
    </row>
    <row r="11" spans="1:6" ht="29.5" thickBot="1" x14ac:dyDescent="0.4">
      <c r="A11" s="445"/>
      <c r="B11" s="446" t="s">
        <v>666</v>
      </c>
      <c r="C11" s="447">
        <v>478</v>
      </c>
      <c r="D11" s="449">
        <v>0.88929999999999998</v>
      </c>
      <c r="E11" s="449">
        <v>0.88929999999999998</v>
      </c>
      <c r="F11" s="449">
        <v>0.59330000000000005</v>
      </c>
    </row>
    <row r="12" spans="1:6" ht="29.5" thickBot="1" x14ac:dyDescent="0.4">
      <c r="A12" s="445"/>
      <c r="B12" s="446" t="s">
        <v>667</v>
      </c>
      <c r="C12" s="447">
        <v>260</v>
      </c>
      <c r="D12" s="448">
        <v>-0.36890000000000001</v>
      </c>
      <c r="E12" s="448">
        <v>-0.36890000000000001</v>
      </c>
      <c r="F12" s="448">
        <v>-0.50939999999999996</v>
      </c>
    </row>
    <row r="13" spans="1:6" ht="29.5" thickBot="1" x14ac:dyDescent="0.4">
      <c r="A13" s="445"/>
      <c r="B13" s="446" t="s">
        <v>668</v>
      </c>
      <c r="C13" s="447">
        <v>128</v>
      </c>
      <c r="D13" s="448">
        <v>-1.54E-2</v>
      </c>
      <c r="E13" s="448">
        <v>-1.54E-2</v>
      </c>
      <c r="F13" s="448">
        <v>-1.54E-2</v>
      </c>
    </row>
    <row r="14" spans="1:6" ht="29.5" thickBot="1" x14ac:dyDescent="0.4">
      <c r="A14" s="445"/>
      <c r="B14" s="446" t="s">
        <v>669</v>
      </c>
      <c r="C14" s="447">
        <v>135</v>
      </c>
      <c r="D14" s="448">
        <v>-7.4000000000000003E-3</v>
      </c>
      <c r="E14" s="448">
        <v>-7.4000000000000003E-3</v>
      </c>
      <c r="F14" s="448">
        <v>-2.8799999999999999E-2</v>
      </c>
    </row>
    <row r="15" spans="1:6" ht="29.5" thickBot="1" x14ac:dyDescent="0.4">
      <c r="A15" s="445"/>
      <c r="B15" s="446" t="s">
        <v>670</v>
      </c>
      <c r="C15" s="447">
        <v>335</v>
      </c>
      <c r="D15" s="448">
        <v>-3.0000000000000001E-3</v>
      </c>
      <c r="E15" s="448">
        <v>-3.0000000000000001E-3</v>
      </c>
      <c r="F15" s="448">
        <v>-0.24379999999999999</v>
      </c>
    </row>
    <row r="16" spans="1:6" ht="29.5" thickBot="1" x14ac:dyDescent="0.4">
      <c r="A16" s="445"/>
      <c r="B16" s="446" t="s">
        <v>671</v>
      </c>
      <c r="C16" s="447">
        <v>164</v>
      </c>
      <c r="D16" s="448">
        <v>-1.2E-2</v>
      </c>
      <c r="E16" s="448">
        <v>-1.2E-2</v>
      </c>
      <c r="F16" s="449">
        <v>5.8099999999999999E-2</v>
      </c>
    </row>
    <row r="17" spans="1:6" ht="29.5" thickBot="1" x14ac:dyDescent="0.4">
      <c r="A17" s="445"/>
      <c r="B17" s="446" t="s">
        <v>672</v>
      </c>
      <c r="C17" s="447">
        <v>213</v>
      </c>
      <c r="D17" s="448">
        <v>-1.3899999999999999E-2</v>
      </c>
      <c r="E17" s="448">
        <v>-1.3899999999999999E-2</v>
      </c>
      <c r="F17" s="448">
        <v>-0.19620000000000001</v>
      </c>
    </row>
    <row r="18" spans="1:6" ht="29.5" thickBot="1" x14ac:dyDescent="0.4">
      <c r="A18" s="445"/>
      <c r="B18" s="446" t="s">
        <v>673</v>
      </c>
      <c r="C18" s="447">
        <v>190</v>
      </c>
      <c r="D18" s="450">
        <v>0</v>
      </c>
      <c r="E18" s="450">
        <v>0</v>
      </c>
      <c r="F18" s="448">
        <v>-4.5199999999999997E-2</v>
      </c>
    </row>
    <row r="19" spans="1:6" ht="29.5" thickBot="1" x14ac:dyDescent="0.4">
      <c r="A19" s="445"/>
      <c r="B19" s="446" t="s">
        <v>674</v>
      </c>
      <c r="C19" s="447">
        <v>166</v>
      </c>
      <c r="D19" s="448">
        <v>-1.1900000000000001E-2</v>
      </c>
      <c r="E19" s="448">
        <v>-1.1900000000000001E-2</v>
      </c>
      <c r="F19" s="449">
        <v>4.3999999999999997E-2</v>
      </c>
    </row>
    <row r="20" spans="1:6" ht="29.5" thickBot="1" x14ac:dyDescent="0.4">
      <c r="A20" s="445"/>
      <c r="B20" s="446" t="s">
        <v>675</v>
      </c>
      <c r="C20" s="447">
        <v>91</v>
      </c>
      <c r="D20" s="448">
        <v>-1.09E-2</v>
      </c>
      <c r="E20" s="448">
        <v>-1.09E-2</v>
      </c>
      <c r="F20" s="448">
        <v>-0.2288</v>
      </c>
    </row>
    <row r="21" spans="1:6" ht="29.5" thickBot="1" x14ac:dyDescent="0.4">
      <c r="A21" s="445"/>
      <c r="B21" s="446" t="s">
        <v>676</v>
      </c>
      <c r="C21" s="447">
        <v>280</v>
      </c>
      <c r="D21" s="449">
        <v>2.5600000000000001E-2</v>
      </c>
      <c r="E21" s="449">
        <v>2.5600000000000001E-2</v>
      </c>
      <c r="F21" s="449">
        <v>0.54700000000000004</v>
      </c>
    </row>
    <row r="22" spans="1:6" ht="29.5" thickBot="1" x14ac:dyDescent="0.4">
      <c r="A22" s="445"/>
      <c r="B22" s="446" t="s">
        <v>677</v>
      </c>
      <c r="C22" s="447">
        <v>188</v>
      </c>
      <c r="D22" s="448">
        <v>-1.0500000000000001E-2</v>
      </c>
      <c r="E22" s="448">
        <v>-1.0500000000000001E-2</v>
      </c>
      <c r="F22" s="448">
        <v>-0.1174</v>
      </c>
    </row>
    <row r="23" spans="1:6" ht="29.5" thickBot="1" x14ac:dyDescent="0.4">
      <c r="A23" s="445"/>
      <c r="B23" s="446" t="s">
        <v>678</v>
      </c>
      <c r="C23" s="447">
        <v>223</v>
      </c>
      <c r="D23" s="448">
        <v>-4.4999999999999997E-3</v>
      </c>
      <c r="E23" s="448">
        <v>-4.4999999999999997E-3</v>
      </c>
      <c r="F23" s="448">
        <v>-0.27829999999999999</v>
      </c>
    </row>
    <row r="24" spans="1:6" ht="29.5" thickBot="1" x14ac:dyDescent="0.4">
      <c r="A24" s="445"/>
      <c r="B24" s="446" t="s">
        <v>679</v>
      </c>
      <c r="C24" s="447">
        <v>954</v>
      </c>
      <c r="D24" s="449">
        <v>1.7100000000000001E-2</v>
      </c>
      <c r="E24" s="449">
        <v>1.7100000000000001E-2</v>
      </c>
      <c r="F24" s="449">
        <v>0.32869999999999999</v>
      </c>
    </row>
    <row r="25" spans="1:6" ht="29.5" thickBot="1" x14ac:dyDescent="0.4">
      <c r="A25" s="445"/>
      <c r="B25" s="446" t="s">
        <v>680</v>
      </c>
      <c r="C25" s="447">
        <v>195</v>
      </c>
      <c r="D25" s="449">
        <v>1.04E-2</v>
      </c>
      <c r="E25" s="449">
        <v>1.04E-2</v>
      </c>
      <c r="F25" s="449">
        <v>5.1999999999999998E-3</v>
      </c>
    </row>
    <row r="26" spans="1:6" ht="29.5" thickBot="1" x14ac:dyDescent="0.4">
      <c r="A26" s="445"/>
      <c r="B26" s="446" t="s">
        <v>681</v>
      </c>
      <c r="C26" s="447">
        <v>1525</v>
      </c>
      <c r="D26" s="449">
        <v>1.1900000000000001E-2</v>
      </c>
      <c r="E26" s="449">
        <v>1.1900000000000001E-2</v>
      </c>
      <c r="F26" s="449">
        <v>0.33650000000000002</v>
      </c>
    </row>
    <row r="28" spans="1:6" x14ac:dyDescent="0.35">
      <c r="A28" s="1" t="s">
        <v>734</v>
      </c>
      <c r="B28" s="326" t="s">
        <v>656</v>
      </c>
    </row>
  </sheetData>
  <mergeCells count="1">
    <mergeCell ref="A6:B6"/>
  </mergeCells>
  <hyperlinks>
    <hyperlink ref="B7" r:id="rId1" display="http://www.ambito.com/economia/mercados/riesgo-pais/info/?id=1"/>
    <hyperlink ref="B8" r:id="rId2" display="http://www.ambito.com/economia/mercados/riesgo-pais/info/?id=2"/>
    <hyperlink ref="B9" r:id="rId3" display="http://www.ambito.com/economia/mercados/riesgo-pais/info/?id=3"/>
    <hyperlink ref="B10" r:id="rId4" display="http://www.ambito.com/economia/mercados/riesgo-pais/info/?id=4"/>
    <hyperlink ref="B11" r:id="rId5" display="http://www.ambito.com/economia/mercados/riesgo-pais/info/?id=21"/>
    <hyperlink ref="B12" r:id="rId6" display="http://www.ambito.com/economia/mercados/riesgo-pais/info/?id=5"/>
    <hyperlink ref="B13" r:id="rId7" display="http://www.ambito.com/economia/mercados/riesgo-pais/info/?id=7"/>
    <hyperlink ref="B14" r:id="rId8" display="http://www.ambito.com/economia/mercados/riesgo-pais/info/?id=8"/>
    <hyperlink ref="B15" r:id="rId9" display="http://www.ambito.com/economia/mercados/riesgo-pais/info/?id=9"/>
    <hyperlink ref="B16" r:id="rId10" display="http://www.ambito.com/economia/mercados/riesgo-pais/info/?id=10"/>
    <hyperlink ref="B17" r:id="rId11" display="http://www.ambito.com/economia/mercados/riesgo-pais/info/?id=11"/>
    <hyperlink ref="B18" r:id="rId12" display="http://www.ambito.com/economia/mercados/riesgo-pais/info/?id=12"/>
    <hyperlink ref="B19" r:id="rId13" display="http://www.ambito.com/economia/mercados/riesgo-pais/info/?id=13"/>
    <hyperlink ref="B20" r:id="rId14" display="http://www.ambito.com/economia/mercados/riesgo-pais/info/?id=14"/>
    <hyperlink ref="B21" r:id="rId15" display="http://www.ambito.com/economia/mercados/riesgo-pais/info/?id=15"/>
    <hyperlink ref="B22" r:id="rId16" display="http://www.ambito.com/economia/mercados/riesgo-pais/info/?id=16"/>
    <hyperlink ref="B23" r:id="rId17" display="http://www.ambito.com/economia/mercados/riesgo-pais/info/?id=17"/>
    <hyperlink ref="B24" r:id="rId18" display="http://www.ambito.com/economia/mercados/riesgo-pais/info/?id=18"/>
    <hyperlink ref="B25" r:id="rId19" display="http://www.ambito.com/economia/mercados/riesgo-pais/info/?id=19"/>
    <hyperlink ref="B26" r:id="rId20" display="http://www.ambito.com/economia/mercados/riesgo-pais/info/?id=20"/>
    <hyperlink ref="B28" r:id="rId21"/>
  </hyperlinks>
  <pageMargins left="0.7" right="0.7" top="0.75" bottom="0.75" header="0.3" footer="0.3"/>
  <drawing r:id="rId2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5:O48"/>
  <sheetViews>
    <sheetView workbookViewId="0">
      <pane xSplit="1" ySplit="3" topLeftCell="B4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outlineLevelRow="1" x14ac:dyDescent="0.25"/>
  <cols>
    <col min="1" max="1" width="20.36328125" style="414" bestFit="1" customWidth="1"/>
    <col min="2" max="2" width="14.6328125" style="414" bestFit="1" customWidth="1"/>
    <col min="3" max="9" width="11.453125" style="414"/>
    <col min="10" max="10" width="11.6328125" style="414" bestFit="1" customWidth="1"/>
    <col min="11" max="256" width="11.453125" style="414"/>
    <col min="257" max="257" width="20.36328125" style="414" bestFit="1" customWidth="1"/>
    <col min="258" max="258" width="14.6328125" style="414" bestFit="1" customWidth="1"/>
    <col min="259" max="512" width="11.453125" style="414"/>
    <col min="513" max="513" width="20.36328125" style="414" bestFit="1" customWidth="1"/>
    <col min="514" max="514" width="14.6328125" style="414" bestFit="1" customWidth="1"/>
    <col min="515" max="768" width="11.453125" style="414"/>
    <col min="769" max="769" width="20.36328125" style="414" bestFit="1" customWidth="1"/>
    <col min="770" max="770" width="14.6328125" style="414" bestFit="1" customWidth="1"/>
    <col min="771" max="1024" width="11.453125" style="414"/>
    <col min="1025" max="1025" width="20.36328125" style="414" bestFit="1" customWidth="1"/>
    <col min="1026" max="1026" width="14.6328125" style="414" bestFit="1" customWidth="1"/>
    <col min="1027" max="1280" width="11.453125" style="414"/>
    <col min="1281" max="1281" width="20.36328125" style="414" bestFit="1" customWidth="1"/>
    <col min="1282" max="1282" width="14.6328125" style="414" bestFit="1" customWidth="1"/>
    <col min="1283" max="1536" width="11.453125" style="414"/>
    <col min="1537" max="1537" width="20.36328125" style="414" bestFit="1" customWidth="1"/>
    <col min="1538" max="1538" width="14.6328125" style="414" bestFit="1" customWidth="1"/>
    <col min="1539" max="1792" width="11.453125" style="414"/>
    <col min="1793" max="1793" width="20.36328125" style="414" bestFit="1" customWidth="1"/>
    <col min="1794" max="1794" width="14.6328125" style="414" bestFit="1" customWidth="1"/>
    <col min="1795" max="2048" width="11.453125" style="414"/>
    <col min="2049" max="2049" width="20.36328125" style="414" bestFit="1" customWidth="1"/>
    <col min="2050" max="2050" width="14.6328125" style="414" bestFit="1" customWidth="1"/>
    <col min="2051" max="2304" width="11.453125" style="414"/>
    <col min="2305" max="2305" width="20.36328125" style="414" bestFit="1" customWidth="1"/>
    <col min="2306" max="2306" width="14.6328125" style="414" bestFit="1" customWidth="1"/>
    <col min="2307" max="2560" width="11.453125" style="414"/>
    <col min="2561" max="2561" width="20.36328125" style="414" bestFit="1" customWidth="1"/>
    <col min="2562" max="2562" width="14.6328125" style="414" bestFit="1" customWidth="1"/>
    <col min="2563" max="2816" width="11.453125" style="414"/>
    <col min="2817" max="2817" width="20.36328125" style="414" bestFit="1" customWidth="1"/>
    <col min="2818" max="2818" width="14.6328125" style="414" bestFit="1" customWidth="1"/>
    <col min="2819" max="3072" width="11.453125" style="414"/>
    <col min="3073" max="3073" width="20.36328125" style="414" bestFit="1" customWidth="1"/>
    <col min="3074" max="3074" width="14.6328125" style="414" bestFit="1" customWidth="1"/>
    <col min="3075" max="3328" width="11.453125" style="414"/>
    <col min="3329" max="3329" width="20.36328125" style="414" bestFit="1" customWidth="1"/>
    <col min="3330" max="3330" width="14.6328125" style="414" bestFit="1" customWidth="1"/>
    <col min="3331" max="3584" width="11.453125" style="414"/>
    <col min="3585" max="3585" width="20.36328125" style="414" bestFit="1" customWidth="1"/>
    <col min="3586" max="3586" width="14.6328125" style="414" bestFit="1" customWidth="1"/>
    <col min="3587" max="3840" width="11.453125" style="414"/>
    <col min="3841" max="3841" width="20.36328125" style="414" bestFit="1" customWidth="1"/>
    <col min="3842" max="3842" width="14.6328125" style="414" bestFit="1" customWidth="1"/>
    <col min="3843" max="4096" width="11.453125" style="414"/>
    <col min="4097" max="4097" width="20.36328125" style="414" bestFit="1" customWidth="1"/>
    <col min="4098" max="4098" width="14.6328125" style="414" bestFit="1" customWidth="1"/>
    <col min="4099" max="4352" width="11.453125" style="414"/>
    <col min="4353" max="4353" width="20.36328125" style="414" bestFit="1" customWidth="1"/>
    <col min="4354" max="4354" width="14.6328125" style="414" bestFit="1" customWidth="1"/>
    <col min="4355" max="4608" width="11.453125" style="414"/>
    <col min="4609" max="4609" width="20.36328125" style="414" bestFit="1" customWidth="1"/>
    <col min="4610" max="4610" width="14.6328125" style="414" bestFit="1" customWidth="1"/>
    <col min="4611" max="4864" width="11.453125" style="414"/>
    <col min="4865" max="4865" width="20.36328125" style="414" bestFit="1" customWidth="1"/>
    <col min="4866" max="4866" width="14.6328125" style="414" bestFit="1" customWidth="1"/>
    <col min="4867" max="5120" width="11.453125" style="414"/>
    <col min="5121" max="5121" width="20.36328125" style="414" bestFit="1" customWidth="1"/>
    <col min="5122" max="5122" width="14.6328125" style="414" bestFit="1" customWidth="1"/>
    <col min="5123" max="5376" width="11.453125" style="414"/>
    <col min="5377" max="5377" width="20.36328125" style="414" bestFit="1" customWidth="1"/>
    <col min="5378" max="5378" width="14.6328125" style="414" bestFit="1" customWidth="1"/>
    <col min="5379" max="5632" width="11.453125" style="414"/>
    <col min="5633" max="5633" width="20.36328125" style="414" bestFit="1" customWidth="1"/>
    <col min="5634" max="5634" width="14.6328125" style="414" bestFit="1" customWidth="1"/>
    <col min="5635" max="5888" width="11.453125" style="414"/>
    <col min="5889" max="5889" width="20.36328125" style="414" bestFit="1" customWidth="1"/>
    <col min="5890" max="5890" width="14.6328125" style="414" bestFit="1" customWidth="1"/>
    <col min="5891" max="6144" width="11.453125" style="414"/>
    <col min="6145" max="6145" width="20.36328125" style="414" bestFit="1" customWidth="1"/>
    <col min="6146" max="6146" width="14.6328125" style="414" bestFit="1" customWidth="1"/>
    <col min="6147" max="6400" width="11.453125" style="414"/>
    <col min="6401" max="6401" width="20.36328125" style="414" bestFit="1" customWidth="1"/>
    <col min="6402" max="6402" width="14.6328125" style="414" bestFit="1" customWidth="1"/>
    <col min="6403" max="6656" width="11.453125" style="414"/>
    <col min="6657" max="6657" width="20.36328125" style="414" bestFit="1" customWidth="1"/>
    <col min="6658" max="6658" width="14.6328125" style="414" bestFit="1" customWidth="1"/>
    <col min="6659" max="6912" width="11.453125" style="414"/>
    <col min="6913" max="6913" width="20.36328125" style="414" bestFit="1" customWidth="1"/>
    <col min="6914" max="6914" width="14.6328125" style="414" bestFit="1" customWidth="1"/>
    <col min="6915" max="7168" width="11.453125" style="414"/>
    <col min="7169" max="7169" width="20.36328125" style="414" bestFit="1" customWidth="1"/>
    <col min="7170" max="7170" width="14.6328125" style="414" bestFit="1" customWidth="1"/>
    <col min="7171" max="7424" width="11.453125" style="414"/>
    <col min="7425" max="7425" width="20.36328125" style="414" bestFit="1" customWidth="1"/>
    <col min="7426" max="7426" width="14.6328125" style="414" bestFit="1" customWidth="1"/>
    <col min="7427" max="7680" width="11.453125" style="414"/>
    <col min="7681" max="7681" width="20.36328125" style="414" bestFit="1" customWidth="1"/>
    <col min="7682" max="7682" width="14.6328125" style="414" bestFit="1" customWidth="1"/>
    <col min="7683" max="7936" width="11.453125" style="414"/>
    <col min="7937" max="7937" width="20.36328125" style="414" bestFit="1" customWidth="1"/>
    <col min="7938" max="7938" width="14.6328125" style="414" bestFit="1" customWidth="1"/>
    <col min="7939" max="8192" width="11.453125" style="414"/>
    <col min="8193" max="8193" width="20.36328125" style="414" bestFit="1" customWidth="1"/>
    <col min="8194" max="8194" width="14.6328125" style="414" bestFit="1" customWidth="1"/>
    <col min="8195" max="8448" width="11.453125" style="414"/>
    <col min="8449" max="8449" width="20.36328125" style="414" bestFit="1" customWidth="1"/>
    <col min="8450" max="8450" width="14.6328125" style="414" bestFit="1" customWidth="1"/>
    <col min="8451" max="8704" width="11.453125" style="414"/>
    <col min="8705" max="8705" width="20.36328125" style="414" bestFit="1" customWidth="1"/>
    <col min="8706" max="8706" width="14.6328125" style="414" bestFit="1" customWidth="1"/>
    <col min="8707" max="8960" width="11.453125" style="414"/>
    <col min="8961" max="8961" width="20.36328125" style="414" bestFit="1" customWidth="1"/>
    <col min="8962" max="8962" width="14.6328125" style="414" bestFit="1" customWidth="1"/>
    <col min="8963" max="9216" width="11.453125" style="414"/>
    <col min="9217" max="9217" width="20.36328125" style="414" bestFit="1" customWidth="1"/>
    <col min="9218" max="9218" width="14.6328125" style="414" bestFit="1" customWidth="1"/>
    <col min="9219" max="9472" width="11.453125" style="414"/>
    <col min="9473" max="9473" width="20.36328125" style="414" bestFit="1" customWidth="1"/>
    <col min="9474" max="9474" width="14.6328125" style="414" bestFit="1" customWidth="1"/>
    <col min="9475" max="9728" width="11.453125" style="414"/>
    <col min="9729" max="9729" width="20.36328125" style="414" bestFit="1" customWidth="1"/>
    <col min="9730" max="9730" width="14.6328125" style="414" bestFit="1" customWidth="1"/>
    <col min="9731" max="9984" width="11.453125" style="414"/>
    <col min="9985" max="9985" width="20.36328125" style="414" bestFit="1" customWidth="1"/>
    <col min="9986" max="9986" width="14.6328125" style="414" bestFit="1" customWidth="1"/>
    <col min="9987" max="10240" width="11.453125" style="414"/>
    <col min="10241" max="10241" width="20.36328125" style="414" bestFit="1" customWidth="1"/>
    <col min="10242" max="10242" width="14.6328125" style="414" bestFit="1" customWidth="1"/>
    <col min="10243" max="10496" width="11.453125" style="414"/>
    <col min="10497" max="10497" width="20.36328125" style="414" bestFit="1" customWidth="1"/>
    <col min="10498" max="10498" width="14.6328125" style="414" bestFit="1" customWidth="1"/>
    <col min="10499" max="10752" width="11.453125" style="414"/>
    <col min="10753" max="10753" width="20.36328125" style="414" bestFit="1" customWidth="1"/>
    <col min="10754" max="10754" width="14.6328125" style="414" bestFit="1" customWidth="1"/>
    <col min="10755" max="11008" width="11.453125" style="414"/>
    <col min="11009" max="11009" width="20.36328125" style="414" bestFit="1" customWidth="1"/>
    <col min="11010" max="11010" width="14.6328125" style="414" bestFit="1" customWidth="1"/>
    <col min="11011" max="11264" width="11.453125" style="414"/>
    <col min="11265" max="11265" width="20.36328125" style="414" bestFit="1" customWidth="1"/>
    <col min="11266" max="11266" width="14.6328125" style="414" bestFit="1" customWidth="1"/>
    <col min="11267" max="11520" width="11.453125" style="414"/>
    <col min="11521" max="11521" width="20.36328125" style="414" bestFit="1" customWidth="1"/>
    <col min="11522" max="11522" width="14.6328125" style="414" bestFit="1" customWidth="1"/>
    <col min="11523" max="11776" width="11.453125" style="414"/>
    <col min="11777" max="11777" width="20.36328125" style="414" bestFit="1" customWidth="1"/>
    <col min="11778" max="11778" width="14.6328125" style="414" bestFit="1" customWidth="1"/>
    <col min="11779" max="12032" width="11.453125" style="414"/>
    <col min="12033" max="12033" width="20.36328125" style="414" bestFit="1" customWidth="1"/>
    <col min="12034" max="12034" width="14.6328125" style="414" bestFit="1" customWidth="1"/>
    <col min="12035" max="12288" width="11.453125" style="414"/>
    <col min="12289" max="12289" width="20.36328125" style="414" bestFit="1" customWidth="1"/>
    <col min="12290" max="12290" width="14.6328125" style="414" bestFit="1" customWidth="1"/>
    <col min="12291" max="12544" width="11.453125" style="414"/>
    <col min="12545" max="12545" width="20.36328125" style="414" bestFit="1" customWidth="1"/>
    <col min="12546" max="12546" width="14.6328125" style="414" bestFit="1" customWidth="1"/>
    <col min="12547" max="12800" width="11.453125" style="414"/>
    <col min="12801" max="12801" width="20.36328125" style="414" bestFit="1" customWidth="1"/>
    <col min="12802" max="12802" width="14.6328125" style="414" bestFit="1" customWidth="1"/>
    <col min="12803" max="13056" width="11.453125" style="414"/>
    <col min="13057" max="13057" width="20.36328125" style="414" bestFit="1" customWidth="1"/>
    <col min="13058" max="13058" width="14.6328125" style="414" bestFit="1" customWidth="1"/>
    <col min="13059" max="13312" width="11.453125" style="414"/>
    <col min="13313" max="13313" width="20.36328125" style="414" bestFit="1" customWidth="1"/>
    <col min="13314" max="13314" width="14.6328125" style="414" bestFit="1" customWidth="1"/>
    <col min="13315" max="13568" width="11.453125" style="414"/>
    <col min="13569" max="13569" width="20.36328125" style="414" bestFit="1" customWidth="1"/>
    <col min="13570" max="13570" width="14.6328125" style="414" bestFit="1" customWidth="1"/>
    <col min="13571" max="13824" width="11.453125" style="414"/>
    <col min="13825" max="13825" width="20.36328125" style="414" bestFit="1" customWidth="1"/>
    <col min="13826" max="13826" width="14.6328125" style="414" bestFit="1" customWidth="1"/>
    <col min="13827" max="14080" width="11.453125" style="414"/>
    <col min="14081" max="14081" width="20.36328125" style="414" bestFit="1" customWidth="1"/>
    <col min="14082" max="14082" width="14.6328125" style="414" bestFit="1" customWidth="1"/>
    <col min="14083" max="14336" width="11.453125" style="414"/>
    <col min="14337" max="14337" width="20.36328125" style="414" bestFit="1" customWidth="1"/>
    <col min="14338" max="14338" width="14.6328125" style="414" bestFit="1" customWidth="1"/>
    <col min="14339" max="14592" width="11.453125" style="414"/>
    <col min="14593" max="14593" width="20.36328125" style="414" bestFit="1" customWidth="1"/>
    <col min="14594" max="14594" width="14.6328125" style="414" bestFit="1" customWidth="1"/>
    <col min="14595" max="14848" width="11.453125" style="414"/>
    <col min="14849" max="14849" width="20.36328125" style="414" bestFit="1" customWidth="1"/>
    <col min="14850" max="14850" width="14.6328125" style="414" bestFit="1" customWidth="1"/>
    <col min="14851" max="15104" width="11.453125" style="414"/>
    <col min="15105" max="15105" width="20.36328125" style="414" bestFit="1" customWidth="1"/>
    <col min="15106" max="15106" width="14.6328125" style="414" bestFit="1" customWidth="1"/>
    <col min="15107" max="15360" width="11.453125" style="414"/>
    <col min="15361" max="15361" width="20.36328125" style="414" bestFit="1" customWidth="1"/>
    <col min="15362" max="15362" width="14.6328125" style="414" bestFit="1" customWidth="1"/>
    <col min="15363" max="15616" width="11.453125" style="414"/>
    <col min="15617" max="15617" width="20.36328125" style="414" bestFit="1" customWidth="1"/>
    <col min="15618" max="15618" width="14.6328125" style="414" bestFit="1" customWidth="1"/>
    <col min="15619" max="15872" width="11.453125" style="414"/>
    <col min="15873" max="15873" width="20.36328125" style="414" bestFit="1" customWidth="1"/>
    <col min="15874" max="15874" width="14.6328125" style="414" bestFit="1" customWidth="1"/>
    <col min="15875" max="16128" width="11.453125" style="414"/>
    <col min="16129" max="16129" width="20.36328125" style="414" bestFit="1" customWidth="1"/>
    <col min="16130" max="16130" width="14.6328125" style="414" bestFit="1" customWidth="1"/>
    <col min="16131" max="16384" width="11.453125" style="414"/>
  </cols>
  <sheetData>
    <row r="5" spans="1:14" ht="13" hidden="1" outlineLevel="1" thickBot="1" x14ac:dyDescent="0.3">
      <c r="A5" s="415"/>
      <c r="B5" s="943" t="s">
        <v>630</v>
      </c>
      <c r="C5" s="944"/>
      <c r="D5" s="416"/>
      <c r="E5" s="945" t="s">
        <v>631</v>
      </c>
      <c r="F5" s="946"/>
    </row>
    <row r="6" spans="1:14" ht="13" hidden="1" outlineLevel="1" thickBot="1" x14ac:dyDescent="0.3">
      <c r="A6" s="417" t="s">
        <v>71</v>
      </c>
      <c r="B6" s="418" t="s">
        <v>632</v>
      </c>
      <c r="C6" s="418" t="s">
        <v>633</v>
      </c>
      <c r="D6" s="419"/>
      <c r="E6" s="420" t="s">
        <v>634</v>
      </c>
      <c r="F6" s="420" t="s">
        <v>635</v>
      </c>
    </row>
    <row r="7" spans="1:14" ht="14.4" hidden="1" customHeight="1" outlineLevel="1" thickBot="1" x14ac:dyDescent="0.3">
      <c r="A7" s="421"/>
      <c r="B7" s="422"/>
      <c r="C7" s="422"/>
      <c r="D7" s="423"/>
      <c r="E7" s="424"/>
      <c r="F7" s="425"/>
    </row>
    <row r="8" spans="1:14" ht="14.4" hidden="1" customHeight="1" outlineLevel="1" thickBot="1" x14ac:dyDescent="0.3">
      <c r="A8" s="426">
        <v>2006</v>
      </c>
      <c r="B8" s="427">
        <v>0.17100000000000001</v>
      </c>
      <c r="C8" s="428">
        <v>0.16200000000000001</v>
      </c>
      <c r="D8" s="947" t="s">
        <v>636</v>
      </c>
      <c r="E8" s="948"/>
      <c r="F8" s="429">
        <v>5.0209999999999998E-2</v>
      </c>
      <c r="H8" s="430">
        <f t="shared" ref="H8:H21" si="0">B8-C$39</f>
        <v>3.7427474833953117E-2</v>
      </c>
      <c r="I8" s="430">
        <f>C8-C$27</f>
        <v>-6.4285714285713946E-4</v>
      </c>
      <c r="J8" s="430">
        <f t="shared" ref="J8:J21" si="1">H8*I8</f>
        <v>-2.406051953611259E-5</v>
      </c>
      <c r="L8" s="430">
        <f t="shared" ref="L8:L21" si="2">B8-C$39</f>
        <v>3.7427474833953117E-2</v>
      </c>
      <c r="M8" s="430">
        <f>C8-C$27</f>
        <v>-6.4285714285713946E-4</v>
      </c>
      <c r="N8" s="430">
        <f>L8*M8</f>
        <v>-2.406051953611259E-5</v>
      </c>
    </row>
    <row r="9" spans="1:14" ht="13" hidden="1" outlineLevel="1" thickBot="1" x14ac:dyDescent="0.3">
      <c r="A9" s="426">
        <f>A8-1</f>
        <v>2005</v>
      </c>
      <c r="B9" s="427">
        <v>0.15</v>
      </c>
      <c r="C9" s="428">
        <v>0.14499999999999999</v>
      </c>
      <c r="D9" s="431"/>
      <c r="E9" s="424"/>
      <c r="F9" s="429"/>
      <c r="H9" s="430">
        <f t="shared" si="0"/>
        <v>1.6427474833953098E-2</v>
      </c>
      <c r="I9" s="430">
        <f>C9-C$27</f>
        <v>-1.7642857142857155E-2</v>
      </c>
      <c r="J9" s="430">
        <f t="shared" si="1"/>
        <v>-2.8982759171331559E-4</v>
      </c>
      <c r="L9" s="430">
        <f t="shared" si="2"/>
        <v>1.6427474833953098E-2</v>
      </c>
      <c r="M9" s="430">
        <f t="shared" ref="M9:M21" si="3">C9-C$27</f>
        <v>-1.7642857142857155E-2</v>
      </c>
      <c r="N9" s="430">
        <f t="shared" ref="N9:N21" si="4">L9*M9</f>
        <v>-2.8982759171331559E-4</v>
      </c>
    </row>
    <row r="10" spans="1:14" ht="13" hidden="1" outlineLevel="1" thickBot="1" x14ac:dyDescent="0.3">
      <c r="A10" s="426">
        <f t="shared" ref="A10:A21" si="5">A9-1</f>
        <v>2004</v>
      </c>
      <c r="B10" s="427">
        <v>0.16500000000000001</v>
      </c>
      <c r="C10" s="428">
        <v>0.16</v>
      </c>
      <c r="D10" s="431"/>
      <c r="E10" s="424"/>
      <c r="F10" s="429"/>
      <c r="H10" s="430">
        <f t="shared" si="0"/>
        <v>3.1427474833953112E-2</v>
      </c>
      <c r="I10" s="430">
        <f>C10-C$27</f>
        <v>-2.6428571428571412E-3</v>
      </c>
      <c r="J10" s="430">
        <f t="shared" si="1"/>
        <v>-8.3058326346876026E-5</v>
      </c>
      <c r="L10" s="430">
        <f t="shared" si="2"/>
        <v>3.1427474833953112E-2</v>
      </c>
      <c r="M10" s="430">
        <f t="shared" si="3"/>
        <v>-2.6428571428571412E-3</v>
      </c>
      <c r="N10" s="430">
        <f t="shared" si="4"/>
        <v>-8.3058326346876026E-5</v>
      </c>
    </row>
    <row r="11" spans="1:14" ht="13" hidden="1" outlineLevel="1" thickBot="1" x14ac:dyDescent="0.3">
      <c r="A11" s="426">
        <f t="shared" si="5"/>
        <v>2003</v>
      </c>
      <c r="B11" s="427">
        <v>0.17899999999999999</v>
      </c>
      <c r="C11" s="428">
        <v>0.17599999999999999</v>
      </c>
      <c r="D11" s="431"/>
      <c r="E11" s="424"/>
      <c r="F11" s="429"/>
      <c r="H11" s="430">
        <f t="shared" si="0"/>
        <v>4.5427474833953096E-2</v>
      </c>
      <c r="I11" s="430">
        <f>C11-C$27</f>
        <v>1.3357142857142845E-2</v>
      </c>
      <c r="J11" s="430">
        <f t="shared" si="1"/>
        <v>6.0678127099637294E-4</v>
      </c>
      <c r="L11" s="430">
        <f t="shared" si="2"/>
        <v>4.5427474833953096E-2</v>
      </c>
      <c r="M11" s="430">
        <f t="shared" si="3"/>
        <v>1.3357142857142845E-2</v>
      </c>
      <c r="N11" s="430">
        <f t="shared" si="4"/>
        <v>6.0678127099637294E-4</v>
      </c>
    </row>
    <row r="12" spans="1:14" ht="13" hidden="1" outlineLevel="1" thickBot="1" x14ac:dyDescent="0.3">
      <c r="A12" s="426">
        <f t="shared" si="5"/>
        <v>2002</v>
      </c>
      <c r="B12" s="427">
        <v>0.17</v>
      </c>
      <c r="C12" s="428">
        <v>0.159</v>
      </c>
      <c r="D12" s="431"/>
      <c r="E12" s="424"/>
      <c r="F12" s="429"/>
      <c r="H12" s="430">
        <f t="shared" si="0"/>
        <v>3.6427474833953116E-2</v>
      </c>
      <c r="I12" s="430">
        <f>C12-C$27</f>
        <v>-3.6428571428571421E-3</v>
      </c>
      <c r="J12" s="430">
        <f t="shared" si="1"/>
        <v>-1.3270008689511491E-4</v>
      </c>
      <c r="L12" s="430">
        <f t="shared" si="2"/>
        <v>3.6427474833953116E-2</v>
      </c>
      <c r="M12" s="430">
        <f t="shared" si="3"/>
        <v>-3.6428571428571421E-3</v>
      </c>
      <c r="N12" s="430">
        <f t="shared" si="4"/>
        <v>-1.3270008689511491E-4</v>
      </c>
    </row>
    <row r="13" spans="1:14" ht="13" hidden="1" outlineLevel="1" thickBot="1" x14ac:dyDescent="0.3">
      <c r="A13" s="426">
        <f t="shared" si="5"/>
        <v>2001</v>
      </c>
      <c r="B13" s="427">
        <v>0.17799999999999999</v>
      </c>
      <c r="C13" s="428">
        <v>0.17399999999999999</v>
      </c>
      <c r="D13" s="947" t="s">
        <v>697</v>
      </c>
      <c r="E13" s="948"/>
      <c r="H13" s="430">
        <f t="shared" si="0"/>
        <v>4.4427474833953096E-2</v>
      </c>
      <c r="I13" s="430">
        <f t="shared" ref="I13:I15" si="6">C13-C$27</f>
        <v>1.1357142857142843E-2</v>
      </c>
      <c r="J13" s="430">
        <f t="shared" si="1"/>
        <v>5.0456917847132383E-4</v>
      </c>
      <c r="L13" s="430">
        <f t="shared" si="2"/>
        <v>4.4427474833953096E-2</v>
      </c>
      <c r="M13" s="430">
        <f t="shared" si="3"/>
        <v>1.1357142857142843E-2</v>
      </c>
      <c r="N13" s="430">
        <f t="shared" si="4"/>
        <v>5.0456917847132383E-4</v>
      </c>
    </row>
    <row r="14" spans="1:14" ht="13" hidden="1" outlineLevel="1" thickBot="1" x14ac:dyDescent="0.3">
      <c r="A14" s="426">
        <f t="shared" si="5"/>
        <v>2000</v>
      </c>
      <c r="B14" s="427">
        <v>0.16600000000000001</v>
      </c>
      <c r="C14" s="428">
        <v>0.157</v>
      </c>
      <c r="D14" s="431"/>
      <c r="E14" s="424"/>
      <c r="F14" s="425"/>
      <c r="H14" s="430">
        <f t="shared" si="0"/>
        <v>3.2427474833953113E-2</v>
      </c>
      <c r="I14" s="430">
        <f t="shared" si="6"/>
        <v>-5.6428571428571439E-3</v>
      </c>
      <c r="J14" s="430">
        <f t="shared" si="1"/>
        <v>-1.829836079915926E-4</v>
      </c>
      <c r="L14" s="430">
        <f t="shared" si="2"/>
        <v>3.2427474833953113E-2</v>
      </c>
      <c r="M14" s="430">
        <f t="shared" si="3"/>
        <v>-5.6428571428571439E-3</v>
      </c>
      <c r="N14" s="430">
        <f t="shared" si="4"/>
        <v>-1.829836079915926E-4</v>
      </c>
    </row>
    <row r="15" spans="1:14" ht="13" hidden="1" outlineLevel="1" thickBot="1" x14ac:dyDescent="0.3">
      <c r="A15" s="426">
        <f t="shared" si="5"/>
        <v>1999</v>
      </c>
      <c r="B15" s="427">
        <v>0.17599999999999999</v>
      </c>
      <c r="C15" s="428">
        <v>0.17299999999999999</v>
      </c>
      <c r="D15" s="431"/>
      <c r="E15" s="424"/>
      <c r="F15" s="425"/>
      <c r="H15" s="430">
        <f t="shared" si="0"/>
        <v>4.2427474833953094E-2</v>
      </c>
      <c r="I15" s="430">
        <f t="shared" si="6"/>
        <v>1.0357142857142843E-2</v>
      </c>
      <c r="J15" s="430">
        <f t="shared" si="1"/>
        <v>4.3942741792308502E-4</v>
      </c>
      <c r="L15" s="430">
        <f t="shared" si="2"/>
        <v>4.2427474833953094E-2</v>
      </c>
      <c r="M15" s="430">
        <f t="shared" si="3"/>
        <v>1.0357142857142843E-2</v>
      </c>
      <c r="N15" s="430">
        <f t="shared" si="4"/>
        <v>4.3942741792308502E-4</v>
      </c>
    </row>
    <row r="16" spans="1:14" ht="13" hidden="1" outlineLevel="1" thickBot="1" x14ac:dyDescent="0.3">
      <c r="A16" s="426">
        <f t="shared" si="5"/>
        <v>1998</v>
      </c>
      <c r="B16" s="427">
        <v>0.16400000000000001</v>
      </c>
      <c r="C16" s="428">
        <v>0.156</v>
      </c>
      <c r="D16" s="431"/>
      <c r="E16" s="424"/>
      <c r="F16" s="425"/>
      <c r="H16" s="430">
        <f t="shared" si="0"/>
        <v>3.0427474833953111E-2</v>
      </c>
      <c r="I16" s="430">
        <f t="shared" ref="I16:I21" si="7">C16-C$27</f>
        <v>-6.6428571428571448E-3</v>
      </c>
      <c r="J16" s="430">
        <f t="shared" si="1"/>
        <v>-2.0212536853983143E-4</v>
      </c>
      <c r="L16" s="430">
        <f t="shared" si="2"/>
        <v>3.0427474833953111E-2</v>
      </c>
      <c r="M16" s="430">
        <f t="shared" si="3"/>
        <v>-6.6428571428571448E-3</v>
      </c>
      <c r="N16" s="430">
        <f t="shared" si="4"/>
        <v>-2.0212536853983143E-4</v>
      </c>
    </row>
    <row r="17" spans="1:15" ht="13" hidden="1" outlineLevel="1" thickBot="1" x14ac:dyDescent="0.3">
      <c r="A17" s="426">
        <f t="shared" si="5"/>
        <v>1997</v>
      </c>
      <c r="B17" s="427">
        <v>0.17399999999999999</v>
      </c>
      <c r="C17" s="428">
        <v>0.17100000000000001</v>
      </c>
      <c r="D17" s="431"/>
      <c r="E17" s="424"/>
      <c r="F17" s="425"/>
      <c r="H17" s="430">
        <f t="shared" si="0"/>
        <v>4.0427474833953092E-2</v>
      </c>
      <c r="I17" s="430">
        <f t="shared" si="7"/>
        <v>8.3571428571428685E-3</v>
      </c>
      <c r="J17" s="430">
        <f t="shared" si="1"/>
        <v>3.3785818254089415E-4</v>
      </c>
      <c r="L17" s="430">
        <f t="shared" si="2"/>
        <v>4.0427474833953092E-2</v>
      </c>
      <c r="M17" s="430">
        <f t="shared" si="3"/>
        <v>8.3571428571428685E-3</v>
      </c>
      <c r="N17" s="430">
        <f t="shared" si="4"/>
        <v>3.3785818254089415E-4</v>
      </c>
    </row>
    <row r="18" spans="1:15" ht="13" hidden="1" outlineLevel="1" thickBot="1" x14ac:dyDescent="0.3">
      <c r="A18" s="426">
        <f t="shared" si="5"/>
        <v>1996</v>
      </c>
      <c r="B18" s="427">
        <v>0.16300000000000001</v>
      </c>
      <c r="C18" s="428">
        <v>0.154</v>
      </c>
      <c r="D18" s="431"/>
      <c r="E18" s="424"/>
      <c r="F18" s="425"/>
      <c r="H18" s="430">
        <f t="shared" si="0"/>
        <v>2.942747483395311E-2</v>
      </c>
      <c r="I18" s="430">
        <f t="shared" si="7"/>
        <v>-8.6428571428571466E-3</v>
      </c>
      <c r="J18" s="430">
        <f t="shared" si="1"/>
        <v>-2.5433746106488054E-4</v>
      </c>
      <c r="L18" s="430">
        <f t="shared" si="2"/>
        <v>2.942747483395311E-2</v>
      </c>
      <c r="M18" s="430">
        <f t="shared" si="3"/>
        <v>-8.6428571428571466E-3</v>
      </c>
      <c r="N18" s="430">
        <f t="shared" si="4"/>
        <v>-2.5433746106488054E-4</v>
      </c>
    </row>
    <row r="19" spans="1:15" ht="13" hidden="1" outlineLevel="1" thickBot="1" x14ac:dyDescent="0.3">
      <c r="A19" s="426">
        <f t="shared" si="5"/>
        <v>1995</v>
      </c>
      <c r="B19" s="427">
        <v>0.17199999999999999</v>
      </c>
      <c r="C19" s="428">
        <v>0.16900000000000001</v>
      </c>
      <c r="D19" s="431"/>
      <c r="E19" s="424"/>
      <c r="F19" s="425"/>
      <c r="H19" s="430">
        <f t="shared" si="0"/>
        <v>3.842747483395309E-2</v>
      </c>
      <c r="I19" s="430">
        <f t="shared" si="7"/>
        <v>6.3571428571428668E-3</v>
      </c>
      <c r="J19" s="430">
        <f t="shared" si="1"/>
        <v>2.4428894715870217E-4</v>
      </c>
      <c r="L19" s="430">
        <f t="shared" si="2"/>
        <v>3.842747483395309E-2</v>
      </c>
      <c r="M19" s="430">
        <f t="shared" si="3"/>
        <v>6.3571428571428668E-3</v>
      </c>
      <c r="N19" s="430">
        <f t="shared" si="4"/>
        <v>2.4428894715870217E-4</v>
      </c>
    </row>
    <row r="20" spans="1:15" ht="13" hidden="1" outlineLevel="1" thickBot="1" x14ac:dyDescent="0.3">
      <c r="A20" s="426">
        <f t="shared" si="5"/>
        <v>1994</v>
      </c>
      <c r="B20" s="427">
        <v>0.161</v>
      </c>
      <c r="C20" s="428">
        <v>0.153</v>
      </c>
      <c r="D20" s="431"/>
      <c r="E20" s="424"/>
      <c r="F20" s="425"/>
      <c r="H20" s="430">
        <f t="shared" si="0"/>
        <v>2.7427474833953108E-2</v>
      </c>
      <c r="I20" s="430">
        <f t="shared" si="7"/>
        <v>-9.6428571428571475E-3</v>
      </c>
      <c r="J20" s="430">
        <f t="shared" si="1"/>
        <v>-2.6447922161311938E-4</v>
      </c>
      <c r="L20" s="430">
        <f t="shared" si="2"/>
        <v>2.7427474833953108E-2</v>
      </c>
      <c r="M20" s="430">
        <f t="shared" si="3"/>
        <v>-9.6428571428571475E-3</v>
      </c>
      <c r="N20" s="430">
        <f t="shared" si="4"/>
        <v>-2.6447922161311938E-4</v>
      </c>
    </row>
    <row r="21" spans="1:15" ht="13" hidden="1" outlineLevel="1" thickBot="1" x14ac:dyDescent="0.3">
      <c r="A21" s="426">
        <f t="shared" si="5"/>
        <v>1993</v>
      </c>
      <c r="B21" s="427">
        <v>0.17100000000000001</v>
      </c>
      <c r="C21" s="428">
        <v>0.16800000000000001</v>
      </c>
      <c r="D21" s="431"/>
      <c r="E21" s="424"/>
      <c r="F21" s="425"/>
      <c r="H21" s="430">
        <f t="shared" si="0"/>
        <v>3.7427474833953117E-2</v>
      </c>
      <c r="I21" s="430">
        <f t="shared" si="7"/>
        <v>5.3571428571428659E-3</v>
      </c>
      <c r="J21" s="430">
        <f t="shared" si="1"/>
        <v>2.005043294676063E-4</v>
      </c>
      <c r="L21" s="430">
        <f t="shared" si="2"/>
        <v>3.7427474833953117E-2</v>
      </c>
      <c r="M21" s="430">
        <f t="shared" si="3"/>
        <v>5.3571428571428659E-3</v>
      </c>
      <c r="N21" s="430">
        <f t="shared" si="4"/>
        <v>2.005043294676063E-4</v>
      </c>
    </row>
    <row r="22" spans="1:15" ht="13" hidden="1" outlineLevel="1" thickBot="1" x14ac:dyDescent="0.3">
      <c r="A22" s="426"/>
      <c r="B22" s="432"/>
      <c r="C22" s="432"/>
      <c r="D22" s="431"/>
      <c r="E22" s="424"/>
      <c r="F22" s="425"/>
      <c r="L22" s="430">
        <f>AVERAGE(L8:L21)</f>
        <v>3.4998903405381677E-2</v>
      </c>
      <c r="M22" s="430">
        <f>AVERAGE(M8:M21)</f>
        <v>-1.9825411154020651E-18</v>
      </c>
      <c r="N22" s="430">
        <f>AVERAGE(N8:N21)</f>
        <v>6.4275510204081529E-5</v>
      </c>
      <c r="O22" s="430"/>
    </row>
    <row r="23" spans="1:15" ht="13" hidden="1" outlineLevel="1" thickBot="1" x14ac:dyDescent="0.3">
      <c r="A23" s="426"/>
      <c r="B23" s="432"/>
      <c r="C23" s="432"/>
      <c r="D23" s="431"/>
      <c r="E23" s="433"/>
      <c r="F23" s="425"/>
      <c r="N23" s="430">
        <f>B28*C28</f>
        <v>7.2258588323626725E-5</v>
      </c>
    </row>
    <row r="24" spans="1:15" ht="13" hidden="1" outlineLevel="1" thickBot="1" x14ac:dyDescent="0.3">
      <c r="A24" s="426"/>
      <c r="B24" s="432"/>
      <c r="C24" s="432"/>
      <c r="D24" s="431"/>
      <c r="E24" s="424"/>
      <c r="F24" s="425"/>
      <c r="N24" s="430">
        <f>N22/N23</f>
        <v>0.88952070190201971</v>
      </c>
    </row>
    <row r="25" spans="1:15" ht="13" hidden="1" outlineLevel="1" thickBot="1" x14ac:dyDescent="0.3">
      <c r="A25" s="426"/>
      <c r="B25" s="432"/>
      <c r="C25" s="432"/>
      <c r="D25" s="431"/>
      <c r="E25" s="424"/>
      <c r="F25" s="425"/>
    </row>
    <row r="26" spans="1:15" hidden="1" outlineLevel="1" x14ac:dyDescent="0.25"/>
    <row r="27" spans="1:15" ht="13" hidden="1" outlineLevel="1" x14ac:dyDescent="0.3">
      <c r="A27" s="434" t="s">
        <v>637</v>
      </c>
      <c r="B27" s="430">
        <f>AVERAGE(B8:B21)</f>
        <v>0.16857142857142857</v>
      </c>
      <c r="C27" s="430">
        <f>AVERAGE(C8:C21)</f>
        <v>0.16264285714285714</v>
      </c>
      <c r="D27" s="434" t="s">
        <v>638</v>
      </c>
      <c r="F27" s="435">
        <f>'Tes Banrep'!$C$2869</f>
        <v>6.0073450455866428E-2</v>
      </c>
      <c r="G27" s="434" t="s">
        <v>639</v>
      </c>
      <c r="J27" s="430">
        <f>AVERAGE(J8:J21)</f>
        <v>6.4275510204081529E-5</v>
      </c>
    </row>
    <row r="28" spans="1:15" ht="13" hidden="1" outlineLevel="1" x14ac:dyDescent="0.3">
      <c r="A28" s="434" t="s">
        <v>640</v>
      </c>
      <c r="B28" s="430">
        <f>STDEV(B8:B21)</f>
        <v>7.7530568235948108E-3</v>
      </c>
      <c r="C28" s="430">
        <f>STDEV(C8:C21)</f>
        <v>9.3200127340383708E-3</v>
      </c>
      <c r="D28" s="434"/>
      <c r="F28" s="435"/>
      <c r="G28" s="434" t="s">
        <v>641</v>
      </c>
      <c r="J28" s="430">
        <f>COVAR(B8:B21,C8:C21)</f>
        <v>6.4275510204081596E-5</v>
      </c>
    </row>
    <row r="29" spans="1:15" ht="13" hidden="1" outlineLevel="1" x14ac:dyDescent="0.3">
      <c r="A29" s="436" t="s">
        <v>642</v>
      </c>
      <c r="D29" s="436"/>
      <c r="F29" s="430"/>
      <c r="G29" s="434" t="s">
        <v>643</v>
      </c>
      <c r="J29" s="430">
        <f>B30*B31*B32</f>
        <v>6.9219780219780184E-5</v>
      </c>
    </row>
    <row r="30" spans="1:15" ht="13" hidden="1" outlineLevel="1" x14ac:dyDescent="0.3">
      <c r="A30" s="434" t="s">
        <v>644</v>
      </c>
      <c r="B30" s="435">
        <f>CORREL(B8:B21,C8:C21)</f>
        <v>0.95794537127909918</v>
      </c>
      <c r="C30" s="430"/>
      <c r="G30" s="437" t="s">
        <v>611</v>
      </c>
      <c r="J30" s="488">
        <f>J28-J29</f>
        <v>-4.9442700156985875E-6</v>
      </c>
    </row>
    <row r="31" spans="1:15" ht="13" hidden="1" outlineLevel="1" x14ac:dyDescent="0.3">
      <c r="A31" s="434" t="s">
        <v>645</v>
      </c>
      <c r="B31" s="435">
        <f>STDEV(B8:B21)</f>
        <v>7.7530568235948108E-3</v>
      </c>
    </row>
    <row r="32" spans="1:15" ht="13" hidden="1" outlineLevel="1" x14ac:dyDescent="0.3">
      <c r="A32" s="434" t="s">
        <v>646</v>
      </c>
      <c r="B32" s="435">
        <f>STDEV(C8:C21)</f>
        <v>9.3200127340383708E-3</v>
      </c>
    </row>
    <row r="33" spans="1:4" ht="13" hidden="1" outlineLevel="1" x14ac:dyDescent="0.3">
      <c r="A33" s="434" t="s">
        <v>647</v>
      </c>
      <c r="B33" s="430">
        <f>B30*B31*B32</f>
        <v>6.9219780219780184E-5</v>
      </c>
    </row>
    <row r="34" spans="1:4" ht="13" hidden="1" outlineLevel="1" x14ac:dyDescent="0.3">
      <c r="A34" s="434" t="s">
        <v>648</v>
      </c>
      <c r="B34" s="430">
        <f>B31*B31</f>
        <v>6.0109890109890054E-5</v>
      </c>
    </row>
    <row r="35" spans="1:4" ht="13.5" hidden="1" outlineLevel="1" x14ac:dyDescent="0.25">
      <c r="A35" s="438" t="s">
        <v>649</v>
      </c>
      <c r="C35" s="430">
        <f>B30*B32/B31</f>
        <v>1.1515539305301647</v>
      </c>
      <c r="D35" s="439">
        <f>C37-C35</f>
        <v>4.8446069469835207E-2</v>
      </c>
    </row>
    <row r="36" spans="1:4" collapsed="1" x14ac:dyDescent="0.25"/>
    <row r="37" spans="1:4" ht="14" x14ac:dyDescent="0.3">
      <c r="A37" s="489" t="s">
        <v>649</v>
      </c>
      <c r="B37" s="440" t="s">
        <v>651</v>
      </c>
      <c r="C37" s="439">
        <v>1.2</v>
      </c>
    </row>
    <row r="38" spans="1:4" ht="13" x14ac:dyDescent="0.3">
      <c r="A38" s="434" t="s">
        <v>638</v>
      </c>
      <c r="B38" s="440" t="s">
        <v>651</v>
      </c>
      <c r="C38" s="435">
        <f>'Tes Banrep'!$C$2869</f>
        <v>6.0073450455866428E-2</v>
      </c>
    </row>
    <row r="39" spans="1:4" ht="13" x14ac:dyDescent="0.3">
      <c r="A39" s="434" t="s">
        <v>788</v>
      </c>
      <c r="B39" s="440" t="s">
        <v>651</v>
      </c>
      <c r="C39" s="430">
        <f>'Rent Mercado'!C43</f>
        <v>0.1335725251660469</v>
      </c>
    </row>
    <row r="41" spans="1:4" ht="14" x14ac:dyDescent="0.3">
      <c r="A41" s="434" t="s">
        <v>650</v>
      </c>
      <c r="B41" s="440" t="s">
        <v>651</v>
      </c>
      <c r="C41" s="441" t="s">
        <v>652</v>
      </c>
    </row>
    <row r="42" spans="1:4" ht="13" x14ac:dyDescent="0.3">
      <c r="B42" s="440" t="s">
        <v>651</v>
      </c>
      <c r="C42" s="434" t="str">
        <f>TEXT(F27,"0,00%")&amp;" + "&amp;TEXT(C37,"0,0000%")&amp;"*("&amp;TEXT(C39,"0,00%")&amp;" - "&amp;TEXT(F27,"0,00%")&amp;")"</f>
        <v>6,01% + 120,0000%*(13,36% - 6,01%)</v>
      </c>
    </row>
    <row r="43" spans="1:4" ht="13" x14ac:dyDescent="0.3">
      <c r="B43" s="440" t="s">
        <v>651</v>
      </c>
      <c r="C43" s="434" t="str">
        <f>TEXT(F27,"0,00%")&amp;" + "&amp;TEXT(C37*(C39-F27),"0,00%")</f>
        <v>6,01% + 8,82%</v>
      </c>
    </row>
    <row r="44" spans="1:4" ht="13.5" thickBot="1" x14ac:dyDescent="0.35">
      <c r="B44" s="440"/>
      <c r="C44" s="434"/>
    </row>
    <row r="45" spans="1:4" ht="16" thickBot="1" x14ac:dyDescent="0.4">
      <c r="A45" s="506" t="s">
        <v>800</v>
      </c>
      <c r="B45" s="507" t="s">
        <v>651</v>
      </c>
      <c r="C45" s="508">
        <f>F27+(C37*(C39-F27))</f>
        <v>0.14827234010808299</v>
      </c>
      <c r="D45" s="442"/>
    </row>
    <row r="46" spans="1:4" ht="13" thickBot="1" x14ac:dyDescent="0.3"/>
    <row r="47" spans="1:4" ht="13.5" thickBot="1" x14ac:dyDescent="0.35">
      <c r="A47" s="506" t="s">
        <v>801</v>
      </c>
      <c r="B47" s="507" t="s">
        <v>651</v>
      </c>
      <c r="C47" s="508">
        <f>((1+C45)^(1/12))-1</f>
        <v>1.1588170255059316E-2</v>
      </c>
    </row>
    <row r="48" spans="1:4" ht="14" x14ac:dyDescent="0.3">
      <c r="A48" s="434"/>
      <c r="B48" s="440"/>
      <c r="C48" s="441"/>
    </row>
  </sheetData>
  <mergeCells count="4">
    <mergeCell ref="B5:C5"/>
    <mergeCell ref="E5:F5"/>
    <mergeCell ref="D8:E8"/>
    <mergeCell ref="D13:E13"/>
  </mergeCells>
  <pageMargins left="0.75" right="0.75" top="1" bottom="1" header="0" footer="0"/>
  <pageSetup paperSize="9" orientation="portrait" horizontalDpi="0" verticalDpi="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5:D18"/>
  <sheetViews>
    <sheetView workbookViewId="0">
      <pane xSplit="1" ySplit="4" topLeftCell="B5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20.36328125" style="414" bestFit="1" customWidth="1"/>
    <col min="2" max="2" width="14.6328125" style="414" bestFit="1" customWidth="1"/>
    <col min="3" max="5" width="11.453125" style="414"/>
    <col min="6" max="6" width="12.08984375" style="414" customWidth="1"/>
    <col min="7" max="256" width="11.453125" style="414"/>
    <col min="257" max="257" width="20.36328125" style="414" bestFit="1" customWidth="1"/>
    <col min="258" max="258" width="14.6328125" style="414" bestFit="1" customWidth="1"/>
    <col min="259" max="512" width="11.453125" style="414"/>
    <col min="513" max="513" width="20.36328125" style="414" bestFit="1" customWidth="1"/>
    <col min="514" max="514" width="14.6328125" style="414" bestFit="1" customWidth="1"/>
    <col min="515" max="768" width="11.453125" style="414"/>
    <col min="769" max="769" width="20.36328125" style="414" bestFit="1" customWidth="1"/>
    <col min="770" max="770" width="14.6328125" style="414" bestFit="1" customWidth="1"/>
    <col min="771" max="1024" width="11.453125" style="414"/>
    <col min="1025" max="1025" width="20.36328125" style="414" bestFit="1" customWidth="1"/>
    <col min="1026" max="1026" width="14.6328125" style="414" bestFit="1" customWidth="1"/>
    <col min="1027" max="1280" width="11.453125" style="414"/>
    <col min="1281" max="1281" width="20.36328125" style="414" bestFit="1" customWidth="1"/>
    <col min="1282" max="1282" width="14.6328125" style="414" bestFit="1" customWidth="1"/>
    <col min="1283" max="1536" width="11.453125" style="414"/>
    <col min="1537" max="1537" width="20.36328125" style="414" bestFit="1" customWidth="1"/>
    <col min="1538" max="1538" width="14.6328125" style="414" bestFit="1" customWidth="1"/>
    <col min="1539" max="1792" width="11.453125" style="414"/>
    <col min="1793" max="1793" width="20.36328125" style="414" bestFit="1" customWidth="1"/>
    <col min="1794" max="1794" width="14.6328125" style="414" bestFit="1" customWidth="1"/>
    <col min="1795" max="2048" width="11.453125" style="414"/>
    <col min="2049" max="2049" width="20.36328125" style="414" bestFit="1" customWidth="1"/>
    <col min="2050" max="2050" width="14.6328125" style="414" bestFit="1" customWidth="1"/>
    <col min="2051" max="2304" width="11.453125" style="414"/>
    <col min="2305" max="2305" width="20.36328125" style="414" bestFit="1" customWidth="1"/>
    <col min="2306" max="2306" width="14.6328125" style="414" bestFit="1" customWidth="1"/>
    <col min="2307" max="2560" width="11.453125" style="414"/>
    <col min="2561" max="2561" width="20.36328125" style="414" bestFit="1" customWidth="1"/>
    <col min="2562" max="2562" width="14.6328125" style="414" bestFit="1" customWidth="1"/>
    <col min="2563" max="2816" width="11.453125" style="414"/>
    <col min="2817" max="2817" width="20.36328125" style="414" bestFit="1" customWidth="1"/>
    <col min="2818" max="2818" width="14.6328125" style="414" bestFit="1" customWidth="1"/>
    <col min="2819" max="3072" width="11.453125" style="414"/>
    <col min="3073" max="3073" width="20.36328125" style="414" bestFit="1" customWidth="1"/>
    <col min="3074" max="3074" width="14.6328125" style="414" bestFit="1" customWidth="1"/>
    <col min="3075" max="3328" width="11.453125" style="414"/>
    <col min="3329" max="3329" width="20.36328125" style="414" bestFit="1" customWidth="1"/>
    <col min="3330" max="3330" width="14.6328125" style="414" bestFit="1" customWidth="1"/>
    <col min="3331" max="3584" width="11.453125" style="414"/>
    <col min="3585" max="3585" width="20.36328125" style="414" bestFit="1" customWidth="1"/>
    <col min="3586" max="3586" width="14.6328125" style="414" bestFit="1" customWidth="1"/>
    <col min="3587" max="3840" width="11.453125" style="414"/>
    <col min="3841" max="3841" width="20.36328125" style="414" bestFit="1" customWidth="1"/>
    <col min="3842" max="3842" width="14.6328125" style="414" bestFit="1" customWidth="1"/>
    <col min="3843" max="4096" width="11.453125" style="414"/>
    <col min="4097" max="4097" width="20.36328125" style="414" bestFit="1" customWidth="1"/>
    <col min="4098" max="4098" width="14.6328125" style="414" bestFit="1" customWidth="1"/>
    <col min="4099" max="4352" width="11.453125" style="414"/>
    <col min="4353" max="4353" width="20.36328125" style="414" bestFit="1" customWidth="1"/>
    <col min="4354" max="4354" width="14.6328125" style="414" bestFit="1" customWidth="1"/>
    <col min="4355" max="4608" width="11.453125" style="414"/>
    <col min="4609" max="4609" width="20.36328125" style="414" bestFit="1" customWidth="1"/>
    <col min="4610" max="4610" width="14.6328125" style="414" bestFit="1" customWidth="1"/>
    <col min="4611" max="4864" width="11.453125" style="414"/>
    <col min="4865" max="4865" width="20.36328125" style="414" bestFit="1" customWidth="1"/>
    <col min="4866" max="4866" width="14.6328125" style="414" bestFit="1" customWidth="1"/>
    <col min="4867" max="5120" width="11.453125" style="414"/>
    <col min="5121" max="5121" width="20.36328125" style="414" bestFit="1" customWidth="1"/>
    <col min="5122" max="5122" width="14.6328125" style="414" bestFit="1" customWidth="1"/>
    <col min="5123" max="5376" width="11.453125" style="414"/>
    <col min="5377" max="5377" width="20.36328125" style="414" bestFit="1" customWidth="1"/>
    <col min="5378" max="5378" width="14.6328125" style="414" bestFit="1" customWidth="1"/>
    <col min="5379" max="5632" width="11.453125" style="414"/>
    <col min="5633" max="5633" width="20.36328125" style="414" bestFit="1" customWidth="1"/>
    <col min="5634" max="5634" width="14.6328125" style="414" bestFit="1" customWidth="1"/>
    <col min="5635" max="5888" width="11.453125" style="414"/>
    <col min="5889" max="5889" width="20.36328125" style="414" bestFit="1" customWidth="1"/>
    <col min="5890" max="5890" width="14.6328125" style="414" bestFit="1" customWidth="1"/>
    <col min="5891" max="6144" width="11.453125" style="414"/>
    <col min="6145" max="6145" width="20.36328125" style="414" bestFit="1" customWidth="1"/>
    <col min="6146" max="6146" width="14.6328125" style="414" bestFit="1" customWidth="1"/>
    <col min="6147" max="6400" width="11.453125" style="414"/>
    <col min="6401" max="6401" width="20.36328125" style="414" bestFit="1" customWidth="1"/>
    <col min="6402" max="6402" width="14.6328125" style="414" bestFit="1" customWidth="1"/>
    <col min="6403" max="6656" width="11.453125" style="414"/>
    <col min="6657" max="6657" width="20.36328125" style="414" bestFit="1" customWidth="1"/>
    <col min="6658" max="6658" width="14.6328125" style="414" bestFit="1" customWidth="1"/>
    <col min="6659" max="6912" width="11.453125" style="414"/>
    <col min="6913" max="6913" width="20.36328125" style="414" bestFit="1" customWidth="1"/>
    <col min="6914" max="6914" width="14.6328125" style="414" bestFit="1" customWidth="1"/>
    <col min="6915" max="7168" width="11.453125" style="414"/>
    <col min="7169" max="7169" width="20.36328125" style="414" bestFit="1" customWidth="1"/>
    <col min="7170" max="7170" width="14.6328125" style="414" bestFit="1" customWidth="1"/>
    <col min="7171" max="7424" width="11.453125" style="414"/>
    <col min="7425" max="7425" width="20.36328125" style="414" bestFit="1" customWidth="1"/>
    <col min="7426" max="7426" width="14.6328125" style="414" bestFit="1" customWidth="1"/>
    <col min="7427" max="7680" width="11.453125" style="414"/>
    <col min="7681" max="7681" width="20.36328125" style="414" bestFit="1" customWidth="1"/>
    <col min="7682" max="7682" width="14.6328125" style="414" bestFit="1" customWidth="1"/>
    <col min="7683" max="7936" width="11.453125" style="414"/>
    <col min="7937" max="7937" width="20.36328125" style="414" bestFit="1" customWidth="1"/>
    <col min="7938" max="7938" width="14.6328125" style="414" bestFit="1" customWidth="1"/>
    <col min="7939" max="8192" width="11.453125" style="414"/>
    <col min="8193" max="8193" width="20.36328125" style="414" bestFit="1" customWidth="1"/>
    <col min="8194" max="8194" width="14.6328125" style="414" bestFit="1" customWidth="1"/>
    <col min="8195" max="8448" width="11.453125" style="414"/>
    <col min="8449" max="8449" width="20.36328125" style="414" bestFit="1" customWidth="1"/>
    <col min="8450" max="8450" width="14.6328125" style="414" bestFit="1" customWidth="1"/>
    <col min="8451" max="8704" width="11.453125" style="414"/>
    <col min="8705" max="8705" width="20.36328125" style="414" bestFit="1" customWidth="1"/>
    <col min="8706" max="8706" width="14.6328125" style="414" bestFit="1" customWidth="1"/>
    <col min="8707" max="8960" width="11.453125" style="414"/>
    <col min="8961" max="8961" width="20.36328125" style="414" bestFit="1" customWidth="1"/>
    <col min="8962" max="8962" width="14.6328125" style="414" bestFit="1" customWidth="1"/>
    <col min="8963" max="9216" width="11.453125" style="414"/>
    <col min="9217" max="9217" width="20.36328125" style="414" bestFit="1" customWidth="1"/>
    <col min="9218" max="9218" width="14.6328125" style="414" bestFit="1" customWidth="1"/>
    <col min="9219" max="9472" width="11.453125" style="414"/>
    <col min="9473" max="9473" width="20.36328125" style="414" bestFit="1" customWidth="1"/>
    <col min="9474" max="9474" width="14.6328125" style="414" bestFit="1" customWidth="1"/>
    <col min="9475" max="9728" width="11.453125" style="414"/>
    <col min="9729" max="9729" width="20.36328125" style="414" bestFit="1" customWidth="1"/>
    <col min="9730" max="9730" width="14.6328125" style="414" bestFit="1" customWidth="1"/>
    <col min="9731" max="9984" width="11.453125" style="414"/>
    <col min="9985" max="9985" width="20.36328125" style="414" bestFit="1" customWidth="1"/>
    <col min="9986" max="9986" width="14.6328125" style="414" bestFit="1" customWidth="1"/>
    <col min="9987" max="10240" width="11.453125" style="414"/>
    <col min="10241" max="10241" width="20.36328125" style="414" bestFit="1" customWidth="1"/>
    <col min="10242" max="10242" width="14.6328125" style="414" bestFit="1" customWidth="1"/>
    <col min="10243" max="10496" width="11.453125" style="414"/>
    <col min="10497" max="10497" width="20.36328125" style="414" bestFit="1" customWidth="1"/>
    <col min="10498" max="10498" width="14.6328125" style="414" bestFit="1" customWidth="1"/>
    <col min="10499" max="10752" width="11.453125" style="414"/>
    <col min="10753" max="10753" width="20.36328125" style="414" bestFit="1" customWidth="1"/>
    <col min="10754" max="10754" width="14.6328125" style="414" bestFit="1" customWidth="1"/>
    <col min="10755" max="11008" width="11.453125" style="414"/>
    <col min="11009" max="11009" width="20.36328125" style="414" bestFit="1" customWidth="1"/>
    <col min="11010" max="11010" width="14.6328125" style="414" bestFit="1" customWidth="1"/>
    <col min="11011" max="11264" width="11.453125" style="414"/>
    <col min="11265" max="11265" width="20.36328125" style="414" bestFit="1" customWidth="1"/>
    <col min="11266" max="11266" width="14.6328125" style="414" bestFit="1" customWidth="1"/>
    <col min="11267" max="11520" width="11.453125" style="414"/>
    <col min="11521" max="11521" width="20.36328125" style="414" bestFit="1" customWidth="1"/>
    <col min="11522" max="11522" width="14.6328125" style="414" bestFit="1" customWidth="1"/>
    <col min="11523" max="11776" width="11.453125" style="414"/>
    <col min="11777" max="11777" width="20.36328125" style="414" bestFit="1" customWidth="1"/>
    <col min="11778" max="11778" width="14.6328125" style="414" bestFit="1" customWidth="1"/>
    <col min="11779" max="12032" width="11.453125" style="414"/>
    <col min="12033" max="12033" width="20.36328125" style="414" bestFit="1" customWidth="1"/>
    <col min="12034" max="12034" width="14.6328125" style="414" bestFit="1" customWidth="1"/>
    <col min="12035" max="12288" width="11.453125" style="414"/>
    <col min="12289" max="12289" width="20.36328125" style="414" bestFit="1" customWidth="1"/>
    <col min="12290" max="12290" width="14.6328125" style="414" bestFit="1" customWidth="1"/>
    <col min="12291" max="12544" width="11.453125" style="414"/>
    <col min="12545" max="12545" width="20.36328125" style="414" bestFit="1" customWidth="1"/>
    <col min="12546" max="12546" width="14.6328125" style="414" bestFit="1" customWidth="1"/>
    <col min="12547" max="12800" width="11.453125" style="414"/>
    <col min="12801" max="12801" width="20.36328125" style="414" bestFit="1" customWidth="1"/>
    <col min="12802" max="12802" width="14.6328125" style="414" bestFit="1" customWidth="1"/>
    <col min="12803" max="13056" width="11.453125" style="414"/>
    <col min="13057" max="13057" width="20.36328125" style="414" bestFit="1" customWidth="1"/>
    <col min="13058" max="13058" width="14.6328125" style="414" bestFit="1" customWidth="1"/>
    <col min="13059" max="13312" width="11.453125" style="414"/>
    <col min="13313" max="13313" width="20.36328125" style="414" bestFit="1" customWidth="1"/>
    <col min="13314" max="13314" width="14.6328125" style="414" bestFit="1" customWidth="1"/>
    <col min="13315" max="13568" width="11.453125" style="414"/>
    <col min="13569" max="13569" width="20.36328125" style="414" bestFit="1" customWidth="1"/>
    <col min="13570" max="13570" width="14.6328125" style="414" bestFit="1" customWidth="1"/>
    <col min="13571" max="13824" width="11.453125" style="414"/>
    <col min="13825" max="13825" width="20.36328125" style="414" bestFit="1" customWidth="1"/>
    <col min="13826" max="13826" width="14.6328125" style="414" bestFit="1" customWidth="1"/>
    <col min="13827" max="14080" width="11.453125" style="414"/>
    <col min="14081" max="14081" width="20.36328125" style="414" bestFit="1" customWidth="1"/>
    <col min="14082" max="14082" width="14.6328125" style="414" bestFit="1" customWidth="1"/>
    <col min="14083" max="14336" width="11.453125" style="414"/>
    <col min="14337" max="14337" width="20.36328125" style="414" bestFit="1" customWidth="1"/>
    <col min="14338" max="14338" width="14.6328125" style="414" bestFit="1" customWidth="1"/>
    <col min="14339" max="14592" width="11.453125" style="414"/>
    <col min="14593" max="14593" width="20.36328125" style="414" bestFit="1" customWidth="1"/>
    <col min="14594" max="14594" width="14.6328125" style="414" bestFit="1" customWidth="1"/>
    <col min="14595" max="14848" width="11.453125" style="414"/>
    <col min="14849" max="14849" width="20.36328125" style="414" bestFit="1" customWidth="1"/>
    <col min="14850" max="14850" width="14.6328125" style="414" bestFit="1" customWidth="1"/>
    <col min="14851" max="15104" width="11.453125" style="414"/>
    <col min="15105" max="15105" width="20.36328125" style="414" bestFit="1" customWidth="1"/>
    <col min="15106" max="15106" width="14.6328125" style="414" bestFit="1" customWidth="1"/>
    <col min="15107" max="15360" width="11.453125" style="414"/>
    <col min="15361" max="15361" width="20.36328125" style="414" bestFit="1" customWidth="1"/>
    <col min="15362" max="15362" width="14.6328125" style="414" bestFit="1" customWidth="1"/>
    <col min="15363" max="15616" width="11.453125" style="414"/>
    <col min="15617" max="15617" width="20.36328125" style="414" bestFit="1" customWidth="1"/>
    <col min="15618" max="15618" width="14.6328125" style="414" bestFit="1" customWidth="1"/>
    <col min="15619" max="15872" width="11.453125" style="414"/>
    <col min="15873" max="15873" width="20.36328125" style="414" bestFit="1" customWidth="1"/>
    <col min="15874" max="15874" width="14.6328125" style="414" bestFit="1" customWidth="1"/>
    <col min="15875" max="16128" width="11.453125" style="414"/>
    <col min="16129" max="16129" width="20.36328125" style="414" bestFit="1" customWidth="1"/>
    <col min="16130" max="16130" width="14.6328125" style="414" bestFit="1" customWidth="1"/>
    <col min="16131" max="16384" width="11.453125" style="414"/>
  </cols>
  <sheetData>
    <row r="5" spans="1:4" ht="14" x14ac:dyDescent="0.3">
      <c r="A5" s="489" t="s">
        <v>649</v>
      </c>
      <c r="B5" s="440" t="s">
        <v>651</v>
      </c>
      <c r="C5" s="439">
        <v>1.2</v>
      </c>
    </row>
    <row r="6" spans="1:4" ht="13" x14ac:dyDescent="0.3">
      <c r="A6" s="434" t="s">
        <v>638</v>
      </c>
      <c r="B6" s="440" t="s">
        <v>651</v>
      </c>
      <c r="C6" s="435">
        <f>'Tes Banrep'!$C$2869</f>
        <v>6.0073450455866428E-2</v>
      </c>
    </row>
    <row r="7" spans="1:4" ht="13" x14ac:dyDescent="0.3">
      <c r="A7" s="434" t="s">
        <v>698</v>
      </c>
      <c r="B7" s="440" t="s">
        <v>651</v>
      </c>
      <c r="C7" s="435">
        <v>1.7299999999999999E-2</v>
      </c>
    </row>
    <row r="8" spans="1:4" ht="13" x14ac:dyDescent="0.3">
      <c r="A8" s="436" t="s">
        <v>699</v>
      </c>
      <c r="B8" s="440" t="s">
        <v>651</v>
      </c>
      <c r="C8" s="430">
        <v>4.4999999999999998E-2</v>
      </c>
    </row>
    <row r="9" spans="1:4" ht="13" x14ac:dyDescent="0.3">
      <c r="A9" s="434" t="s">
        <v>788</v>
      </c>
      <c r="B9" s="440" t="s">
        <v>651</v>
      </c>
      <c r="C9" s="430">
        <f>'Rent Mercado'!C43</f>
        <v>0.1335725251660469</v>
      </c>
    </row>
    <row r="11" spans="1:4" ht="14" x14ac:dyDescent="0.3">
      <c r="A11" s="434" t="s">
        <v>650</v>
      </c>
      <c r="B11" s="440" t="s">
        <v>651</v>
      </c>
      <c r="C11" s="441" t="s">
        <v>655</v>
      </c>
    </row>
    <row r="12" spans="1:4" ht="13" x14ac:dyDescent="0.3">
      <c r="B12" s="440" t="s">
        <v>651</v>
      </c>
      <c r="C12" s="434" t="str">
        <f>TEXT(C6,"0,00%")&amp;" + "&amp;TEXT(C5,"0,0000%")&amp;"*("&amp;TEXT(C9,"0,00%")&amp;" - "&amp;TEXT(C6,"0,00%")&amp;") + "&amp;TEXT(C7,"0,00%")&amp;" + "&amp;TEXT(C8,"0,00%")</f>
        <v>6,01% + 120,0000%*(13,36% - 6,01%) + 1,73% + 4,50%</v>
      </c>
    </row>
    <row r="13" spans="1:4" ht="13" x14ac:dyDescent="0.3">
      <c r="B13" s="440" t="s">
        <v>651</v>
      </c>
      <c r="C13" s="434" t="str">
        <f>TEXT(C6,"0,00%")&amp;" + "&amp;TEXT(C5*(C9-C6),"0,00%")&amp;" + "&amp;TEXT(C7,"0,00%")&amp;" + "&amp;TEXT(C8,"0,00%")</f>
        <v>6,01% + 8,82% + 1,73% + 4,50%</v>
      </c>
    </row>
    <row r="14" spans="1:4" ht="13.5" thickBot="1" x14ac:dyDescent="0.35">
      <c r="B14" s="440"/>
      <c r="C14" s="434"/>
    </row>
    <row r="15" spans="1:4" ht="16" thickBot="1" x14ac:dyDescent="0.4">
      <c r="A15" s="506" t="s">
        <v>650</v>
      </c>
      <c r="B15" s="507" t="s">
        <v>651</v>
      </c>
      <c r="C15" s="508">
        <f>C6+(C5*(C9-C6))+C7+C8</f>
        <v>0.21057234010808301</v>
      </c>
      <c r="D15" s="442"/>
    </row>
    <row r="16" spans="1:4" ht="13" thickBot="1" x14ac:dyDescent="0.3"/>
    <row r="17" spans="1:3" ht="13.5" thickBot="1" x14ac:dyDescent="0.35">
      <c r="A17" s="506" t="s">
        <v>801</v>
      </c>
      <c r="B17" s="507" t="s">
        <v>651</v>
      </c>
      <c r="C17" s="508">
        <f>((1+C15)^(1/12))-1</f>
        <v>1.6051907602091076E-2</v>
      </c>
    </row>
    <row r="18" spans="1:3" ht="14" x14ac:dyDescent="0.3">
      <c r="A18" s="434"/>
      <c r="B18" s="440"/>
      <c r="C18" s="441"/>
    </row>
  </sheetData>
  <pageMargins left="0.75" right="0.75" top="1" bottom="1" header="0" footer="0"/>
  <pageSetup paperSize="9" orientation="portrait" horizontalDpi="0" verticalDpi="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M31"/>
  <sheetViews>
    <sheetView showGridLines="0" workbookViewId="0">
      <pane xSplit="5" ySplit="6" topLeftCell="F7" activePane="bottomRight" state="frozen"/>
      <selection activeCell="E7" sqref="E7"/>
      <selection pane="topRight" activeCell="E7" sqref="E7"/>
      <selection pane="bottomLeft" activeCell="E7" sqref="E7"/>
      <selection pane="bottomRight"/>
    </sheetView>
  </sheetViews>
  <sheetFormatPr baseColWidth="10" defaultRowHeight="14.5" outlineLevelCol="2" x14ac:dyDescent="0.35"/>
  <cols>
    <col min="1" max="1" width="4.26953125" customWidth="1"/>
    <col min="2" max="2" width="4.6328125" customWidth="1"/>
    <col min="3" max="3" width="2.81640625" bestFit="1" customWidth="1"/>
    <col min="4" max="4" width="9.453125" customWidth="1"/>
    <col min="5" max="5" width="15.6328125" customWidth="1"/>
    <col min="6" max="6" width="6.81640625" customWidth="1"/>
    <col min="7" max="7" width="11.54296875" hidden="1" customWidth="1" outlineLevel="1"/>
    <col min="8" max="8" width="13.6328125" customWidth="1" collapsed="1"/>
    <col min="9" max="9" width="13.6328125" customWidth="1"/>
    <col min="10" max="10" width="13.6328125" customWidth="1" outlineLevel="1"/>
    <col min="11" max="11" width="13.6328125" customWidth="1" outlineLevel="2"/>
    <col min="12" max="12" width="13.6328125" customWidth="1"/>
    <col min="13" max="13" width="12.81640625" bestFit="1" customWidth="1"/>
  </cols>
  <sheetData>
    <row r="1" spans="1:13" x14ac:dyDescent="0.35">
      <c r="D1" s="172"/>
      <c r="E1" s="172"/>
      <c r="F1" s="172"/>
    </row>
    <row r="2" spans="1:13" x14ac:dyDescent="0.35">
      <c r="D2" s="172"/>
      <c r="E2" s="172"/>
      <c r="F2" s="172"/>
      <c r="G2" s="398">
        <v>0</v>
      </c>
      <c r="H2" s="398">
        <v>12</v>
      </c>
      <c r="I2" s="398">
        <v>24</v>
      </c>
      <c r="J2" s="398">
        <v>36</v>
      </c>
      <c r="K2" s="398">
        <v>48</v>
      </c>
      <c r="L2" s="398">
        <v>60</v>
      </c>
    </row>
    <row r="3" spans="1:13" ht="15" thickBot="1" x14ac:dyDescent="0.4">
      <c r="D3" s="172"/>
      <c r="E3" s="172"/>
      <c r="F3" s="172"/>
      <c r="G3" s="398"/>
      <c r="H3" s="398"/>
      <c r="I3" s="398"/>
      <c r="J3" s="398"/>
      <c r="K3" s="398"/>
      <c r="L3" s="398"/>
    </row>
    <row r="4" spans="1:13" ht="19" thickBot="1" x14ac:dyDescent="0.5">
      <c r="D4" s="937" t="s">
        <v>907</v>
      </c>
      <c r="E4" s="938"/>
      <c r="F4" s="938"/>
      <c r="G4" s="938"/>
      <c r="H4" s="938"/>
      <c r="I4" s="938"/>
      <c r="J4" s="938"/>
      <c r="K4" s="938"/>
      <c r="L4" s="939"/>
    </row>
    <row r="5" spans="1:13" ht="15" thickBot="1" x14ac:dyDescent="0.4">
      <c r="D5" s="172"/>
      <c r="E5" s="172"/>
      <c r="F5" s="172"/>
      <c r="G5" s="398"/>
      <c r="H5" s="398"/>
      <c r="I5" s="398"/>
      <c r="J5" s="398"/>
      <c r="K5" s="398"/>
      <c r="L5" s="398"/>
    </row>
    <row r="6" spans="1:13" x14ac:dyDescent="0.35">
      <c r="D6" s="635" t="s">
        <v>57</v>
      </c>
      <c r="E6" s="636"/>
      <c r="F6" s="637"/>
      <c r="G6" s="623">
        <v>2014</v>
      </c>
      <c r="H6" s="623">
        <v>2015</v>
      </c>
      <c r="I6" s="623">
        <v>2016</v>
      </c>
      <c r="J6" s="623">
        <v>2017</v>
      </c>
      <c r="K6" s="623">
        <v>2018</v>
      </c>
      <c r="L6" s="624">
        <v>2019</v>
      </c>
    </row>
    <row r="7" spans="1:13" x14ac:dyDescent="0.35">
      <c r="A7" s="412">
        <v>1</v>
      </c>
      <c r="B7" s="410" t="s">
        <v>619</v>
      </c>
      <c r="C7">
        <v>3</v>
      </c>
      <c r="D7" s="620" t="s">
        <v>516</v>
      </c>
      <c r="E7" s="625"/>
      <c r="F7" s="626"/>
      <c r="G7" s="359">
        <v>0</v>
      </c>
      <c r="H7" s="359">
        <v>1253796000</v>
      </c>
      <c r="I7" s="359">
        <v>1432716000</v>
      </c>
      <c r="J7" s="359">
        <v>1640616000</v>
      </c>
      <c r="K7" s="359">
        <v>1880088000</v>
      </c>
      <c r="L7" s="617">
        <v>2054736000</v>
      </c>
    </row>
    <row r="8" spans="1:13" x14ac:dyDescent="0.35">
      <c r="A8" s="412">
        <v>1</v>
      </c>
      <c r="B8" s="410" t="s">
        <v>619</v>
      </c>
      <c r="C8">
        <v>8</v>
      </c>
      <c r="D8" s="620" t="s">
        <v>252</v>
      </c>
      <c r="E8" s="625"/>
      <c r="F8" s="626"/>
      <c r="G8" s="359">
        <v>0</v>
      </c>
      <c r="H8" s="359">
        <v>-1214060184.4794002</v>
      </c>
      <c r="I8" s="359">
        <v>-1367950330.3656003</v>
      </c>
      <c r="J8" s="359">
        <v>-1569192337.2464998</v>
      </c>
      <c r="K8" s="359">
        <v>-1788274471.8464003</v>
      </c>
      <c r="L8" s="617">
        <v>-1959891675.9202001</v>
      </c>
    </row>
    <row r="9" spans="1:13" x14ac:dyDescent="0.35">
      <c r="D9" s="627" t="s">
        <v>518</v>
      </c>
      <c r="E9" s="628"/>
      <c r="F9" s="629"/>
      <c r="G9" s="405">
        <f t="shared" ref="G9:L9" si="0">SUM(G7:G8)</f>
        <v>0</v>
      </c>
      <c r="H9" s="405">
        <f t="shared" si="0"/>
        <v>39735815.520599842</v>
      </c>
      <c r="I9" s="405">
        <f t="shared" si="0"/>
        <v>64765669.634399652</v>
      </c>
      <c r="J9" s="405">
        <f t="shared" si="0"/>
        <v>71423662.753500223</v>
      </c>
      <c r="K9" s="405">
        <f t="shared" si="0"/>
        <v>91813528.153599739</v>
      </c>
      <c r="L9" s="619">
        <f t="shared" si="0"/>
        <v>94844324.079799891</v>
      </c>
      <c r="M9" s="349">
        <f>SUM(G9:L9)</f>
        <v>362583000.14189935</v>
      </c>
    </row>
    <row r="10" spans="1:13" x14ac:dyDescent="0.35">
      <c r="A10" s="412">
        <v>1</v>
      </c>
      <c r="B10" s="410" t="s">
        <v>619</v>
      </c>
      <c r="C10">
        <v>11</v>
      </c>
      <c r="D10" s="620" t="s">
        <v>592</v>
      </c>
      <c r="E10" s="625"/>
      <c r="F10" s="626"/>
      <c r="G10" s="359">
        <v>0</v>
      </c>
      <c r="H10" s="359">
        <v>1095400</v>
      </c>
      <c r="I10" s="359">
        <v>153707</v>
      </c>
      <c r="J10" s="359">
        <v>0</v>
      </c>
      <c r="K10" s="359">
        <v>0</v>
      </c>
      <c r="L10" s="617">
        <v>0</v>
      </c>
    </row>
    <row r="11" spans="1:13" x14ac:dyDescent="0.35">
      <c r="A11" s="412">
        <v>1</v>
      </c>
      <c r="B11" s="410" t="s">
        <v>619</v>
      </c>
      <c r="C11">
        <v>12</v>
      </c>
      <c r="D11" s="620" t="s">
        <v>593</v>
      </c>
      <c r="E11" s="625"/>
      <c r="F11" s="626"/>
      <c r="G11" s="359">
        <v>0</v>
      </c>
      <c r="H11" s="359">
        <v>0</v>
      </c>
      <c r="I11" s="359">
        <v>0</v>
      </c>
      <c r="J11" s="359">
        <v>0</v>
      </c>
      <c r="K11" s="359">
        <v>0</v>
      </c>
      <c r="L11" s="617">
        <v>0</v>
      </c>
    </row>
    <row r="12" spans="1:13" x14ac:dyDescent="0.35">
      <c r="C12">
        <v>13</v>
      </c>
      <c r="D12" s="627" t="s">
        <v>594</v>
      </c>
      <c r="E12" s="628"/>
      <c r="F12" s="629"/>
      <c r="G12" s="405">
        <f t="shared" ref="G12:L12" si="1">SUM(G9:G11)</f>
        <v>0</v>
      </c>
      <c r="H12" s="405">
        <f t="shared" si="1"/>
        <v>40831215.520599842</v>
      </c>
      <c r="I12" s="405">
        <f t="shared" si="1"/>
        <v>64919376.634399652</v>
      </c>
      <c r="J12" s="405">
        <f t="shared" si="1"/>
        <v>71423662.753500223</v>
      </c>
      <c r="K12" s="405">
        <f t="shared" si="1"/>
        <v>91813528.153599739</v>
      </c>
      <c r="L12" s="619">
        <f t="shared" si="1"/>
        <v>94844324.079799891</v>
      </c>
      <c r="M12" s="349">
        <f>SUM(G12:L12)</f>
        <v>363832107.14189935</v>
      </c>
    </row>
    <row r="13" spans="1:13" x14ac:dyDescent="0.35">
      <c r="A13" s="412">
        <v>1</v>
      </c>
      <c r="B13" s="410" t="s">
        <v>620</v>
      </c>
      <c r="D13" s="630" t="s">
        <v>591</v>
      </c>
      <c r="E13" s="631" t="s">
        <v>601</v>
      </c>
      <c r="F13" s="408"/>
      <c r="G13" s="359">
        <v>0</v>
      </c>
      <c r="H13" s="359">
        <v>40241652</v>
      </c>
      <c r="I13" s="359">
        <v>31841664</v>
      </c>
      <c r="J13" s="359">
        <v>35496840</v>
      </c>
      <c r="K13" s="359">
        <v>32136170</v>
      </c>
      <c r="L13" s="617">
        <v>39330835</v>
      </c>
    </row>
    <row r="14" spans="1:13" x14ac:dyDescent="0.35">
      <c r="A14" s="412">
        <v>1</v>
      </c>
      <c r="B14" s="410" t="s">
        <v>620</v>
      </c>
      <c r="D14" s="630"/>
      <c r="E14" s="631" t="s">
        <v>187</v>
      </c>
      <c r="F14" s="408"/>
      <c r="G14" s="359">
        <v>0</v>
      </c>
      <c r="H14" s="359">
        <v>21777569</v>
      </c>
      <c r="I14" s="359">
        <v>17895649</v>
      </c>
      <c r="J14" s="359">
        <v>13309243</v>
      </c>
      <c r="K14" s="359">
        <v>7763060</v>
      </c>
      <c r="L14" s="617">
        <v>6549580</v>
      </c>
    </row>
    <row r="15" spans="1:13" ht="15" thickBot="1" x14ac:dyDescent="0.4">
      <c r="D15" s="632" t="s">
        <v>908</v>
      </c>
      <c r="E15" s="633"/>
      <c r="F15" s="634"/>
      <c r="G15" s="621">
        <f t="shared" ref="G15" si="2">SUM(G12:G14)</f>
        <v>0</v>
      </c>
      <c r="H15" s="621">
        <f>SUM(H12:H14)</f>
        <v>102850436.52059984</v>
      </c>
      <c r="I15" s="621">
        <f t="shared" ref="I15:L15" si="3">SUM(I12:I14)</f>
        <v>114656689.63439965</v>
      </c>
      <c r="J15" s="621">
        <f t="shared" si="3"/>
        <v>120229745.75350022</v>
      </c>
      <c r="K15" s="621">
        <f t="shared" si="3"/>
        <v>131712758.15359974</v>
      </c>
      <c r="L15" s="622">
        <f t="shared" si="3"/>
        <v>140724739.07979989</v>
      </c>
      <c r="M15" s="349">
        <f>SUM(G15:L15)</f>
        <v>610174369.14189935</v>
      </c>
    </row>
    <row r="16" spans="1:13" x14ac:dyDescent="0.35">
      <c r="A16" s="412">
        <v>1</v>
      </c>
      <c r="B16" s="410" t="s">
        <v>619</v>
      </c>
      <c r="D16" s="1131" t="s">
        <v>622</v>
      </c>
      <c r="E16" s="1132"/>
      <c r="F16" s="1133"/>
      <c r="G16" s="1134">
        <v>50000000</v>
      </c>
      <c r="H16" s="1134">
        <v>0</v>
      </c>
      <c r="I16" s="1134">
        <v>0</v>
      </c>
      <c r="J16" s="1134">
        <v>0</v>
      </c>
      <c r="K16" s="1134">
        <v>0</v>
      </c>
      <c r="L16" s="1135">
        <v>0</v>
      </c>
      <c r="M16" s="349">
        <f>SUM(G16:L16)</f>
        <v>50000000</v>
      </c>
    </row>
    <row r="17" spans="4:13" ht="15" thickBot="1" x14ac:dyDescent="0.4">
      <c r="D17" s="632" t="s">
        <v>909</v>
      </c>
      <c r="E17" s="633"/>
      <c r="F17" s="634"/>
      <c r="G17" s="621">
        <f t="shared" ref="G17:L17" si="4">SUM(G15:G15)-G16</f>
        <v>-50000000</v>
      </c>
      <c r="H17" s="621">
        <f t="shared" si="4"/>
        <v>102850436.52059984</v>
      </c>
      <c r="I17" s="621">
        <f t="shared" si="4"/>
        <v>114656689.63439965</v>
      </c>
      <c r="J17" s="621">
        <f t="shared" si="4"/>
        <v>120229745.75350022</v>
      </c>
      <c r="K17" s="621">
        <f t="shared" si="4"/>
        <v>131712758.15359974</v>
      </c>
      <c r="L17" s="622">
        <f t="shared" si="4"/>
        <v>140724739.07979989</v>
      </c>
      <c r="M17" s="349">
        <f>SUM(G17:L17)</f>
        <v>560174369.14189935</v>
      </c>
    </row>
    <row r="20" spans="4:13" x14ac:dyDescent="0.35">
      <c r="D20" s="1" t="s">
        <v>189</v>
      </c>
      <c r="E20" s="120">
        <f>((1+IRR(G17:L17))^(1/12))-1</f>
        <v>0.10014727595288342</v>
      </c>
      <c r="F20" s="1" t="s">
        <v>802</v>
      </c>
    </row>
    <row r="21" spans="4:13" x14ac:dyDescent="0.35">
      <c r="D21" s="1" t="s">
        <v>804</v>
      </c>
      <c r="E21" s="509">
        <f>NPV(((1+E20)^12)-1,$G$17:$L$17)</f>
        <v>3.2293617352349412E-8</v>
      </c>
      <c r="F21" s="1" t="s">
        <v>805</v>
      </c>
    </row>
    <row r="22" spans="4:13" x14ac:dyDescent="0.35">
      <c r="D22" s="1" t="s">
        <v>796</v>
      </c>
      <c r="E22" s="185">
        <v>0.14827234010808299</v>
      </c>
      <c r="F22" s="1" t="s">
        <v>797</v>
      </c>
    </row>
    <row r="23" spans="4:13" x14ac:dyDescent="0.35">
      <c r="D23" s="1" t="s">
        <v>803</v>
      </c>
      <c r="E23" s="509">
        <f>NPV(E22,$G$17:$L$17)</f>
        <v>306715160.88093954</v>
      </c>
      <c r="F23" s="411"/>
    </row>
    <row r="24" spans="4:13" x14ac:dyDescent="0.35">
      <c r="D24" s="1" t="s">
        <v>796</v>
      </c>
      <c r="E24" s="185">
        <v>0.21057234010808301</v>
      </c>
      <c r="F24" s="1" t="s">
        <v>798</v>
      </c>
    </row>
    <row r="25" spans="4:13" x14ac:dyDescent="0.35">
      <c r="D25" s="1" t="s">
        <v>803</v>
      </c>
      <c r="E25" s="509">
        <f>NPV(E24,$G$17:$L$17)</f>
        <v>244863307.21250728</v>
      </c>
      <c r="F25" s="411"/>
    </row>
    <row r="26" spans="4:13" ht="15" thickBot="1" x14ac:dyDescent="0.4"/>
    <row r="27" spans="4:13" ht="19" thickBot="1" x14ac:dyDescent="0.5">
      <c r="D27" s="949" t="s">
        <v>910</v>
      </c>
      <c r="E27" s="950"/>
      <c r="F27" s="950"/>
      <c r="G27" s="950"/>
      <c r="H27" s="951"/>
    </row>
    <row r="28" spans="4:13" ht="15" thickBot="1" x14ac:dyDescent="0.4"/>
    <row r="29" spans="4:13" x14ac:dyDescent="0.35">
      <c r="D29" s="1136" t="s">
        <v>157</v>
      </c>
      <c r="E29" s="1137"/>
      <c r="F29" s="1138" t="s">
        <v>164</v>
      </c>
      <c r="G29" s="576"/>
      <c r="H29" s="1139" t="s">
        <v>627</v>
      </c>
    </row>
    <row r="30" spans="4:13" x14ac:dyDescent="0.35">
      <c r="D30" s="1140" t="s">
        <v>911</v>
      </c>
      <c r="E30" s="1141"/>
      <c r="F30" s="1142">
        <v>0.14827234010808299</v>
      </c>
      <c r="G30" s="1143"/>
      <c r="H30" s="1144">
        <f>NPV(F30,$G$15:$L$15)</f>
        <v>350258837.9804799</v>
      </c>
    </row>
    <row r="31" spans="4:13" ht="15" thickBot="1" x14ac:dyDescent="0.4">
      <c r="D31" s="1145" t="s">
        <v>912</v>
      </c>
      <c r="E31" s="1146"/>
      <c r="F31" s="1147">
        <v>0.21057234010808301</v>
      </c>
      <c r="G31" s="1148"/>
      <c r="H31" s="1149">
        <f>NPV(F31,$G$15:$L$15)</f>
        <v>286166084.70330626</v>
      </c>
    </row>
  </sheetData>
  <mergeCells count="5">
    <mergeCell ref="D4:L4"/>
    <mergeCell ref="D27:H27"/>
    <mergeCell ref="D29:E29"/>
    <mergeCell ref="D30:E30"/>
    <mergeCell ref="D31:E31"/>
  </mergeCells>
  <conditionalFormatting sqref="A7:A8 A10:A11 A13:A14 A16">
    <cfRule type="expression" priority="1" stopIfTrue="1">
      <formula>A7&lt;&gt;#REF!</formula>
    </cfRule>
  </conditionalFormatting>
  <dataValidations count="2">
    <dataValidation type="list" allowBlank="1" showInputMessage="1" showErrorMessage="1" sqref="A7:A8 A10:A11 A13:A14 A16">
      <formula1>SIONO</formula1>
    </dataValidation>
    <dataValidation type="list" allowBlank="1" showInputMessage="1" showErrorMessage="1" sqref="B13:B14 B7:B8 B10:B11 B16">
      <formula1>SIGNO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T23"/>
  <sheetViews>
    <sheetView showGridLines="0" workbookViewId="0">
      <pane xSplit="1" ySplit="6" topLeftCell="B16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1" x14ac:dyDescent="0.35"/>
  <cols>
    <col min="1" max="1" width="36.08984375" customWidth="1" outlineLevel="1"/>
    <col min="2" max="2" width="8.90625" customWidth="1" outlineLevel="1"/>
    <col min="3" max="3" width="12.453125" bestFit="1" customWidth="1" outlineLevel="1"/>
    <col min="4" max="4" width="14" bestFit="1" customWidth="1"/>
  </cols>
  <sheetData>
    <row r="1" spans="1:20" x14ac:dyDescent="0.35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35"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" thickBot="1" x14ac:dyDescent="0.4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9" thickBot="1" x14ac:dyDescent="0.5">
      <c r="A4" s="949" t="s">
        <v>152</v>
      </c>
      <c r="B4" s="950"/>
      <c r="C4" s="950"/>
      <c r="D4" s="95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" thickBot="1" x14ac:dyDescent="0.4"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35">
      <c r="A6" s="663" t="s">
        <v>57</v>
      </c>
      <c r="B6" s="663" t="s">
        <v>58</v>
      </c>
      <c r="C6" s="663" t="s">
        <v>59</v>
      </c>
      <c r="D6" s="664" t="s">
        <v>60</v>
      </c>
    </row>
    <row r="7" spans="1:20" x14ac:dyDescent="0.35">
      <c r="A7" s="665" t="s">
        <v>193</v>
      </c>
      <c r="B7" s="666">
        <v>1</v>
      </c>
      <c r="C7" s="667">
        <v>20000000</v>
      </c>
      <c r="D7" s="668">
        <f>B7*C7</f>
        <v>20000000</v>
      </c>
    </row>
    <row r="8" spans="1:20" x14ac:dyDescent="0.35">
      <c r="A8" s="669" t="s">
        <v>55</v>
      </c>
      <c r="B8" s="666">
        <v>9</v>
      </c>
      <c r="C8" s="670">
        <v>2050000</v>
      </c>
      <c r="D8" s="668">
        <f t="shared" ref="D8:D10" si="0">B8*C8</f>
        <v>18450000</v>
      </c>
    </row>
    <row r="9" spans="1:20" x14ac:dyDescent="0.35">
      <c r="A9" s="669" t="s">
        <v>56</v>
      </c>
      <c r="B9" s="666">
        <v>2</v>
      </c>
      <c r="C9" s="670">
        <v>1350000</v>
      </c>
      <c r="D9" s="668">
        <f t="shared" si="0"/>
        <v>2700000</v>
      </c>
    </row>
    <row r="10" spans="1:20" x14ac:dyDescent="0.35">
      <c r="A10" s="669" t="s">
        <v>61</v>
      </c>
      <c r="B10" s="666">
        <v>11</v>
      </c>
      <c r="C10" s="670">
        <v>850000</v>
      </c>
      <c r="D10" s="668">
        <f t="shared" si="0"/>
        <v>9350000</v>
      </c>
    </row>
    <row r="11" spans="1:20" x14ac:dyDescent="0.35">
      <c r="A11" s="669" t="s">
        <v>63</v>
      </c>
      <c r="B11" s="666">
        <v>1</v>
      </c>
      <c r="C11" s="670">
        <v>2000000</v>
      </c>
      <c r="D11" s="668">
        <f t="shared" ref="D11" si="1">B11*C11</f>
        <v>2000000</v>
      </c>
    </row>
    <row r="12" spans="1:20" x14ac:dyDescent="0.35">
      <c r="A12" s="669" t="s">
        <v>64</v>
      </c>
      <c r="B12" s="666">
        <v>1</v>
      </c>
      <c r="C12" s="670">
        <v>1900000</v>
      </c>
      <c r="D12" s="668">
        <f t="shared" ref="D12:D14" si="2">B12*C12</f>
        <v>1900000</v>
      </c>
    </row>
    <row r="13" spans="1:20" x14ac:dyDescent="0.35">
      <c r="A13" s="669" t="s">
        <v>153</v>
      </c>
      <c r="B13" s="666">
        <v>1</v>
      </c>
      <c r="C13" s="670">
        <v>15000000</v>
      </c>
      <c r="D13" s="668">
        <f t="shared" ref="D13" si="3">B13*C13</f>
        <v>15000000</v>
      </c>
    </row>
    <row r="14" spans="1:20" x14ac:dyDescent="0.35">
      <c r="A14" s="669" t="s">
        <v>159</v>
      </c>
      <c r="B14" s="666">
        <v>1</v>
      </c>
      <c r="C14" s="670">
        <v>1250000</v>
      </c>
      <c r="D14" s="668">
        <f t="shared" si="2"/>
        <v>1250000</v>
      </c>
    </row>
    <row r="15" spans="1:20" x14ac:dyDescent="0.35">
      <c r="A15" s="669" t="s">
        <v>62</v>
      </c>
      <c r="B15" s="666"/>
      <c r="C15" s="670"/>
      <c r="D15" s="668">
        <f>ROUNDUP('Ppto-Mes'!$AB$8,-6)*2</f>
        <v>194000000</v>
      </c>
    </row>
    <row r="16" spans="1:20" ht="15" thickBot="1" x14ac:dyDescent="0.4">
      <c r="A16" s="671" t="s">
        <v>65</v>
      </c>
      <c r="B16" s="672"/>
      <c r="C16" s="673"/>
      <c r="D16" s="674">
        <f>SUM(D7:D15)</f>
        <v>264650000</v>
      </c>
    </row>
    <row r="17" spans="1:4" ht="15" thickBot="1" x14ac:dyDescent="0.4"/>
    <row r="18" spans="1:4" ht="19" thickBot="1" x14ac:dyDescent="0.5">
      <c r="A18" s="949" t="s">
        <v>154</v>
      </c>
      <c r="B18" s="950"/>
      <c r="C18" s="950"/>
      <c r="D18" s="951"/>
    </row>
    <row r="19" spans="1:4" ht="15" thickBot="1" x14ac:dyDescent="0.4"/>
    <row r="20" spans="1:4" x14ac:dyDescent="0.35">
      <c r="A20" s="953" t="s">
        <v>57</v>
      </c>
      <c r="B20" s="953"/>
      <c r="C20" s="663" t="s">
        <v>157</v>
      </c>
      <c r="D20" s="664" t="s">
        <v>158</v>
      </c>
    </row>
    <row r="21" spans="1:4" x14ac:dyDescent="0.35">
      <c r="A21" s="952" t="s">
        <v>155</v>
      </c>
      <c r="B21" s="952"/>
      <c r="C21" s="676" t="s">
        <v>45</v>
      </c>
      <c r="D21" s="668">
        <v>50000000</v>
      </c>
    </row>
    <row r="22" spans="1:4" x14ac:dyDescent="0.35">
      <c r="A22" s="952" t="s">
        <v>156</v>
      </c>
      <c r="B22" s="952"/>
      <c r="C22" s="677">
        <v>0.05</v>
      </c>
      <c r="D22" s="668">
        <f>D16-D21</f>
        <v>214650000</v>
      </c>
    </row>
    <row r="23" spans="1:4" ht="15" thickBot="1" x14ac:dyDescent="0.4">
      <c r="A23" s="671" t="s">
        <v>65</v>
      </c>
      <c r="B23" s="672"/>
      <c r="C23" s="673"/>
      <c r="D23" s="674">
        <f>SUM(D21:D22)</f>
        <v>264650000</v>
      </c>
    </row>
  </sheetData>
  <mergeCells count="5">
    <mergeCell ref="A4:D4"/>
    <mergeCell ref="A18:D18"/>
    <mergeCell ref="A21:B21"/>
    <mergeCell ref="A22:B22"/>
    <mergeCell ref="A20:B20"/>
  </mergeCells>
  <printOptions horizontalCentered="1" verticalCentered="1"/>
  <pageMargins left="0.31496062992125984" right="0.11811023622047245" top="0.15748031496062992" bottom="0.35433070866141736" header="0.31496062992125984" footer="0.31496062992125984"/>
  <pageSetup scale="6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N81"/>
  <sheetViews>
    <sheetView workbookViewId="0">
      <pane xSplit="2" ySplit="6" topLeftCell="C7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3" max="3" width="11.1796875" bestFit="1" customWidth="1"/>
    <col min="4" max="5" width="11.1796875" customWidth="1"/>
    <col min="6" max="8" width="11.6328125" customWidth="1"/>
    <col min="9" max="9" width="11.1796875" bestFit="1" customWidth="1"/>
    <col min="10" max="18" width="11.1796875" customWidth="1"/>
  </cols>
  <sheetData>
    <row r="1" spans="1:40" x14ac:dyDescent="0.35">
      <c r="AC1">
        <f>COLUMN()</f>
        <v>29</v>
      </c>
      <c r="AD1">
        <f>COLUMN()</f>
        <v>30</v>
      </c>
      <c r="AF1">
        <f>COLUMN()</f>
        <v>32</v>
      </c>
      <c r="AG1">
        <f>COLUMN()</f>
        <v>33</v>
      </c>
    </row>
    <row r="3" spans="1:40" x14ac:dyDescent="0.35">
      <c r="AC3" s="955" t="s">
        <v>538</v>
      </c>
      <c r="AD3" s="955"/>
      <c r="AE3" s="955"/>
      <c r="AF3" s="955" t="s">
        <v>559</v>
      </c>
      <c r="AG3" s="955"/>
      <c r="AH3" s="955"/>
      <c r="AI3" s="956" t="s">
        <v>65</v>
      </c>
      <c r="AJ3" s="956"/>
      <c r="AK3" s="956"/>
      <c r="AL3" s="956" t="s">
        <v>77</v>
      </c>
      <c r="AM3" s="956"/>
      <c r="AN3" s="956"/>
    </row>
    <row r="4" spans="1:40" ht="14.5" customHeight="1" x14ac:dyDescent="0.35">
      <c r="A4" s="179" t="s">
        <v>179</v>
      </c>
      <c r="B4" s="180" t="s">
        <v>180</v>
      </c>
      <c r="C4" s="929" t="s">
        <v>375</v>
      </c>
      <c r="D4" s="930"/>
      <c r="E4" s="954"/>
      <c r="F4" s="929" t="s">
        <v>376</v>
      </c>
      <c r="G4" s="930"/>
      <c r="H4" s="954"/>
      <c r="I4" s="929" t="s">
        <v>377</v>
      </c>
      <c r="J4" s="930"/>
      <c r="K4" s="954"/>
      <c r="L4" s="929" t="s">
        <v>378</v>
      </c>
      <c r="M4" s="930"/>
      <c r="N4" s="954"/>
      <c r="O4" s="929" t="s">
        <v>379</v>
      </c>
      <c r="P4" s="930"/>
      <c r="Q4" s="954"/>
      <c r="R4" s="929" t="s">
        <v>380</v>
      </c>
      <c r="S4" s="930"/>
      <c r="T4" s="954"/>
      <c r="U4" s="899" t="s">
        <v>484</v>
      </c>
      <c r="V4" s="899" t="s">
        <v>485</v>
      </c>
      <c r="W4" s="882" t="s">
        <v>486</v>
      </c>
      <c r="X4" s="899" t="s">
        <v>487</v>
      </c>
      <c r="Y4" s="899" t="s">
        <v>485</v>
      </c>
      <c r="Z4" s="882" t="s">
        <v>486</v>
      </c>
      <c r="AA4" s="899" t="s">
        <v>487</v>
      </c>
      <c r="AB4" s="899" t="s">
        <v>77</v>
      </c>
      <c r="AC4" s="899" t="s">
        <v>485</v>
      </c>
      <c r="AD4" s="882" t="s">
        <v>486</v>
      </c>
      <c r="AE4" s="899" t="s">
        <v>487</v>
      </c>
      <c r="AF4" s="899" t="s">
        <v>485</v>
      </c>
      <c r="AG4" s="882" t="s">
        <v>486</v>
      </c>
      <c r="AH4" s="899" t="s">
        <v>487</v>
      </c>
      <c r="AI4" s="899" t="s">
        <v>485</v>
      </c>
      <c r="AJ4" s="882" t="s">
        <v>486</v>
      </c>
      <c r="AK4" s="899" t="s">
        <v>487</v>
      </c>
      <c r="AL4" s="899" t="s">
        <v>485</v>
      </c>
      <c r="AM4" s="882" t="s">
        <v>486</v>
      </c>
      <c r="AN4" s="899" t="s">
        <v>487</v>
      </c>
    </row>
    <row r="5" spans="1:40" ht="14.5" customHeight="1" x14ac:dyDescent="0.35">
      <c r="A5" s="181"/>
      <c r="B5" s="181"/>
      <c r="C5" s="311" t="s">
        <v>381</v>
      </c>
      <c r="D5" s="311" t="s">
        <v>223</v>
      </c>
      <c r="E5" s="311" t="s">
        <v>382</v>
      </c>
      <c r="F5" s="311" t="s">
        <v>381</v>
      </c>
      <c r="G5" s="311" t="s">
        <v>223</v>
      </c>
      <c r="H5" s="311" t="s">
        <v>382</v>
      </c>
      <c r="I5" s="311" t="s">
        <v>381</v>
      </c>
      <c r="J5" s="311" t="s">
        <v>223</v>
      </c>
      <c r="K5" s="311" t="s">
        <v>382</v>
      </c>
      <c r="L5" s="311" t="s">
        <v>381</v>
      </c>
      <c r="M5" s="311" t="s">
        <v>223</v>
      </c>
      <c r="N5" s="311" t="s">
        <v>382</v>
      </c>
      <c r="O5" s="311" t="s">
        <v>381</v>
      </c>
      <c r="P5" s="311" t="s">
        <v>223</v>
      </c>
      <c r="Q5" s="311" t="s">
        <v>382</v>
      </c>
      <c r="R5" s="311" t="s">
        <v>381</v>
      </c>
      <c r="S5" s="311" t="s">
        <v>223</v>
      </c>
      <c r="T5" s="311" t="s">
        <v>382</v>
      </c>
      <c r="U5" s="900"/>
      <c r="V5" s="900"/>
      <c r="W5" s="883"/>
      <c r="X5" s="900"/>
      <c r="Y5" s="900"/>
      <c r="Z5" s="883"/>
      <c r="AA5" s="900"/>
      <c r="AB5" s="900"/>
      <c r="AC5" s="900"/>
      <c r="AD5" s="883"/>
      <c r="AE5" s="900"/>
      <c r="AF5" s="900"/>
      <c r="AG5" s="883"/>
      <c r="AH5" s="900"/>
      <c r="AI5" s="900"/>
      <c r="AJ5" s="883"/>
      <c r="AK5" s="900"/>
      <c r="AL5" s="900"/>
      <c r="AM5" s="883"/>
      <c r="AN5" s="900"/>
    </row>
    <row r="6" spans="1:40" x14ac:dyDescent="0.35">
      <c r="A6" s="181"/>
      <c r="B6" s="312"/>
      <c r="C6" s="313"/>
      <c r="D6" s="322">
        <v>60</v>
      </c>
      <c r="E6" s="313"/>
      <c r="F6" s="313"/>
      <c r="G6" s="322">
        <v>24</v>
      </c>
      <c r="H6" s="313"/>
      <c r="I6" s="313"/>
      <c r="J6" s="322">
        <v>36</v>
      </c>
      <c r="K6" s="313"/>
      <c r="L6" s="313"/>
      <c r="M6" s="322">
        <v>36</v>
      </c>
      <c r="N6" s="313"/>
      <c r="O6" s="313"/>
      <c r="P6" s="322">
        <v>12</v>
      </c>
      <c r="Q6" s="313"/>
      <c r="R6" s="313"/>
      <c r="S6" s="322">
        <v>60</v>
      </c>
      <c r="T6" s="41"/>
      <c r="U6" s="41"/>
      <c r="V6" s="41"/>
      <c r="W6" s="41"/>
      <c r="X6" s="41"/>
      <c r="Y6" s="41"/>
      <c r="Z6" s="41"/>
      <c r="AA6" s="41"/>
      <c r="AB6" s="41"/>
    </row>
    <row r="7" spans="1:40" x14ac:dyDescent="0.35">
      <c r="A7" s="182">
        <v>0</v>
      </c>
      <c r="B7" s="183">
        <v>42004</v>
      </c>
      <c r="C7" s="178">
        <f>'Inv Inicial'!$D$7</f>
        <v>20000000</v>
      </c>
      <c r="D7" s="309">
        <f>IF(C7=0,0,IF(E6=0,MAX(D$6:D6),D6-1))</f>
        <v>60</v>
      </c>
      <c r="E7" s="309">
        <f t="shared" ref="E7:E67" si="0">IF(C7=0,0,IF(C6=0,0,ROUND(C7/D7,0)))</f>
        <v>0</v>
      </c>
      <c r="F7" s="178">
        <f>SUM('Inv Inicial'!D8:D9)</f>
        <v>21150000</v>
      </c>
      <c r="G7" s="309">
        <f>IF(F7=0,0,IF(H6=0,MAX(G$6:G6),G6-1))</f>
        <v>24</v>
      </c>
      <c r="H7" s="309">
        <f t="shared" ref="H7:H67" si="1">IF(F7=0,0,IF(F6=0,0,ROUND(F7/G7,0)))</f>
        <v>0</v>
      </c>
      <c r="I7" s="175">
        <f>'Inv Inicial'!D10</f>
        <v>9350000</v>
      </c>
      <c r="J7" s="309">
        <f>IF(I7=0,0,IF(K6=0,MAX(J$6:J6),J6-1))</f>
        <v>36</v>
      </c>
      <c r="K7" s="309">
        <f t="shared" ref="K7:K67" si="2">IF(I7=0,0,IF(I6=0,0,ROUND(I7/J7,0)))</f>
        <v>0</v>
      </c>
      <c r="L7" s="175">
        <f>SUM('Inv Inicial'!D11:D12)</f>
        <v>3900000</v>
      </c>
      <c r="M7" s="309">
        <f>IF(L7=0,0,IF(N6=0,MAX(M$6:M6),M6-1))</f>
        <v>36</v>
      </c>
      <c r="N7" s="309">
        <f t="shared" ref="N7:N67" si="3">IF(L7=0,0,IF(L6=0,0,ROUND(L7/M7,0)))</f>
        <v>0</v>
      </c>
      <c r="O7" s="309">
        <f>'Inv Inicial'!D13</f>
        <v>15000000</v>
      </c>
      <c r="P7" s="309">
        <f>IF(O7=0,0,IF(Q6=0,MAX(P$6:P6),P6-1))</f>
        <v>12</v>
      </c>
      <c r="Q7" s="309">
        <f t="shared" ref="Q7:Q67" si="4">IF(O7=0,0,IF(O6=0,0,ROUND(O7/P7,0)))</f>
        <v>0</v>
      </c>
      <c r="R7" s="175">
        <f>'Inv Inicial'!D14</f>
        <v>1250000</v>
      </c>
      <c r="S7" s="309">
        <f>IF(R7=0,0,IF(T6=0,MAX(S$6:S6),S6-1))</f>
        <v>60</v>
      </c>
      <c r="T7" s="309">
        <f t="shared" ref="T7:T67" si="5">IF(R7=0,0,IF(R6=0,0,ROUND(R7/S7,0)))</f>
        <v>0</v>
      </c>
      <c r="U7" s="309">
        <f>E7+H7+K7+N7+Q7+T7</f>
        <v>0</v>
      </c>
      <c r="V7" s="309">
        <f>C7+F7+I7+L7+O7+R7</f>
        <v>70650000</v>
      </c>
      <c r="W7" s="309">
        <f>E7+H7+K7+N7+Q7+T7</f>
        <v>0</v>
      </c>
      <c r="X7" s="309">
        <f>V7-W7</f>
        <v>70650000</v>
      </c>
      <c r="Y7" s="309">
        <f>MAX(C$6:C7)+MAX(F$6:F7)+MAX(I$6:I7)+MAX(L$6:L7)+MAX(O$6:O7)+MAX(R$6:R7)</f>
        <v>70650000</v>
      </c>
      <c r="Z7" s="309">
        <f>SUM(E$6:E7)+SUM(H$6:H7)+SUM(K$6:K7)+SUM(N$6:N7)+SUM(Q$6:Q7)+SUM(T$6:T7)</f>
        <v>0</v>
      </c>
      <c r="AA7" s="309">
        <f>Y7-Z7</f>
        <v>70650000</v>
      </c>
      <c r="AB7" s="309">
        <f>X7-AA7</f>
        <v>0</v>
      </c>
      <c r="AC7" s="309">
        <f>MAX(F$6:F7)+MAX(I$6:I7)+MAX(L$6:L7)</f>
        <v>34400000</v>
      </c>
      <c r="AD7" s="309">
        <f>SUM(H$6:H7)+SUM(K$6:K7)+SUM(N$6:N7)</f>
        <v>0</v>
      </c>
      <c r="AE7" s="309">
        <f>AC7-AD7</f>
        <v>34400000</v>
      </c>
      <c r="AF7" s="309">
        <f>MAX(C$6:C7)+MAX(O$6:O7)+MAX(R$6:R7)</f>
        <v>36250000</v>
      </c>
      <c r="AG7" s="309">
        <f>SUM(E$6:E7)+SUM(Q$6:Q7)+SUM(T$6:T7)</f>
        <v>0</v>
      </c>
      <c r="AH7" s="309">
        <f>AF7-AG7</f>
        <v>36250000</v>
      </c>
      <c r="AI7" s="309">
        <f>AC7+AF7</f>
        <v>70650000</v>
      </c>
      <c r="AJ7" s="309">
        <f>AD7+AG7</f>
        <v>0</v>
      </c>
      <c r="AK7" s="309">
        <f>AI7-AJ7</f>
        <v>70650000</v>
      </c>
      <c r="AL7" s="309">
        <f>AI7-Y7</f>
        <v>0</v>
      </c>
      <c r="AM7" s="309">
        <f>AJ7-Z7</f>
        <v>0</v>
      </c>
      <c r="AN7" s="309">
        <f>AK7-AA7</f>
        <v>0</v>
      </c>
    </row>
    <row r="8" spans="1:40" x14ac:dyDescent="0.35">
      <c r="A8" s="18">
        <v>1</v>
      </c>
      <c r="B8" s="184">
        <v>42035</v>
      </c>
      <c r="C8" s="175">
        <f>MAX(C$6:C7)-SUM(E$6:E7)</f>
        <v>20000000</v>
      </c>
      <c r="D8" s="309">
        <f>IF(C8=0,0,IF(E7=0,MAX(D$6:D7),D7-1))</f>
        <v>60</v>
      </c>
      <c r="E8" s="309">
        <f t="shared" si="0"/>
        <v>333333</v>
      </c>
      <c r="F8" s="175">
        <f>MAX(F$6:F7)-SUM(H$6:H7)</f>
        <v>21150000</v>
      </c>
      <c r="G8" s="309">
        <f>IF(F8=0,0,IF(H7=0,MAX(G$6:G7),G7-1))</f>
        <v>24</v>
      </c>
      <c r="H8" s="309">
        <f t="shared" si="1"/>
        <v>881250</v>
      </c>
      <c r="I8" s="175">
        <f>MAX(I$6:I7)-SUM(K$6:K7)</f>
        <v>9350000</v>
      </c>
      <c r="J8" s="309">
        <f>IF(I8=0,0,IF(K7=0,MAX(J$6:J7),J7-1))</f>
        <v>36</v>
      </c>
      <c r="K8" s="309">
        <f t="shared" si="2"/>
        <v>259722</v>
      </c>
      <c r="L8" s="175">
        <f>MAX(L$6:L7)-SUM(N$6:N7)</f>
        <v>3900000</v>
      </c>
      <c r="M8" s="309">
        <f>IF(L8=0,0,IF(N7=0,MAX(M$6:M7),M7-1))</f>
        <v>36</v>
      </c>
      <c r="N8" s="309">
        <f t="shared" si="3"/>
        <v>108333</v>
      </c>
      <c r="O8" s="175">
        <f>MAX(O$6:O7)-SUM(Q$6:Q7)</f>
        <v>15000000</v>
      </c>
      <c r="P8" s="309">
        <f>IF(O8=0,0,IF(Q7=0,MAX(P$6:P7),P7-1))</f>
        <v>12</v>
      </c>
      <c r="Q8" s="309">
        <f t="shared" si="4"/>
        <v>1250000</v>
      </c>
      <c r="R8" s="175">
        <f>MAX(R$6:R7)-SUM(T$6:T7)</f>
        <v>1250000</v>
      </c>
      <c r="S8" s="309">
        <f>IF(R8=0,0,IF(T7=0,MAX(S$6:S7),S7-1))</f>
        <v>60</v>
      </c>
      <c r="T8" s="309">
        <f t="shared" si="5"/>
        <v>20833</v>
      </c>
      <c r="U8" s="309">
        <f t="shared" ref="U8:U67" si="6">E8+H8+K8+N8+Q8+T8</f>
        <v>2853471</v>
      </c>
      <c r="V8" s="309">
        <f t="shared" ref="V8:V67" si="7">C8+F8+I8+L8+O8+R8</f>
        <v>70650000</v>
      </c>
      <c r="W8" s="309">
        <f t="shared" ref="W8:W67" si="8">E8+H8+K8+N8+Q8+T8</f>
        <v>2853471</v>
      </c>
      <c r="X8" s="309">
        <f t="shared" ref="X8:X69" si="9">V8-W8</f>
        <v>67796529</v>
      </c>
      <c r="Y8" s="309">
        <f>MAX(C$6:C8)+MAX(F$6:F8)+MAX(I$6:I8)+MAX(L$6:L8)+MAX(O$6:O8)+MAX(R$6:R8)</f>
        <v>70650000</v>
      </c>
      <c r="Z8" s="309">
        <f>SUM(E$6:E8)+SUM(H$6:H8)+SUM(K$6:K8)+SUM(N$6:N8)+SUM(Q$6:Q8)+SUM(T$6:T8)</f>
        <v>2853471</v>
      </c>
      <c r="AA8" s="309">
        <f t="shared" ref="AA8:AA67" si="10">Y8-Z8</f>
        <v>67796529</v>
      </c>
      <c r="AB8" s="309">
        <f t="shared" ref="AB8:AB69" si="11">X8-AA8</f>
        <v>0</v>
      </c>
      <c r="AC8" s="309">
        <f>MAX(F$6:F8)+MAX(I$6:I8)+MAX(L$6:L8)</f>
        <v>34400000</v>
      </c>
      <c r="AD8" s="309">
        <f>SUM(H$6:H8)+SUM(K$6:K8)+SUM(N$6:N8)</f>
        <v>1249305</v>
      </c>
      <c r="AE8" s="309">
        <f t="shared" ref="AE8:AE67" si="12">AC8-AD8</f>
        <v>33150695</v>
      </c>
      <c r="AF8" s="309">
        <f>MAX(C$6:C8)+MAX(O$6:O8)+MAX(R$6:R8)</f>
        <v>36250000</v>
      </c>
      <c r="AG8" s="309">
        <f>SUM(E$6:E8)+SUM(Q$6:Q8)+SUM(T$6:T8)</f>
        <v>1604166</v>
      </c>
      <c r="AH8" s="309">
        <f t="shared" ref="AH8:AH67" si="13">AF8-AG8</f>
        <v>34645834</v>
      </c>
      <c r="AI8" s="309">
        <f t="shared" ref="AI8:AI67" si="14">AC8+AF8</f>
        <v>70650000</v>
      </c>
      <c r="AJ8" s="309">
        <f t="shared" ref="AJ8:AJ67" si="15">AD8+AG8</f>
        <v>2853471</v>
      </c>
      <c r="AK8" s="309">
        <f t="shared" ref="AK8:AK67" si="16">AI8-AJ8</f>
        <v>67796529</v>
      </c>
      <c r="AL8" s="309">
        <f t="shared" ref="AL8:AL67" si="17">AI8-Y8</f>
        <v>0</v>
      </c>
      <c r="AM8" s="309">
        <f t="shared" ref="AM8:AM22" si="18">AJ8-Z8</f>
        <v>0</v>
      </c>
      <c r="AN8" s="309">
        <f t="shared" ref="AN8:AN22" si="19">AK8-AA8</f>
        <v>0</v>
      </c>
    </row>
    <row r="9" spans="1:40" x14ac:dyDescent="0.35">
      <c r="A9" s="18">
        <v>2</v>
      </c>
      <c r="B9" s="184">
        <v>42063</v>
      </c>
      <c r="C9" s="175">
        <f>MAX(C$6:C8)-SUM(E$6:E8)</f>
        <v>19666667</v>
      </c>
      <c r="D9" s="309">
        <f>IF(C9=0,0,IF(E8=0,MAX(D$6:D8),D8-1))</f>
        <v>59</v>
      </c>
      <c r="E9" s="309">
        <f t="shared" si="0"/>
        <v>333333</v>
      </c>
      <c r="F9" s="175">
        <f>MAX(F$6:F8)-SUM(H$6:H8)</f>
        <v>20268750</v>
      </c>
      <c r="G9" s="309">
        <f>IF(F9=0,0,IF(H8=0,MAX(G$6:G8),G8-1))</f>
        <v>23</v>
      </c>
      <c r="H9" s="309">
        <f t="shared" si="1"/>
        <v>881250</v>
      </c>
      <c r="I9" s="175">
        <f>MAX(I$6:I8)-SUM(K$6:K8)</f>
        <v>9090278</v>
      </c>
      <c r="J9" s="309">
        <f>IF(I9=0,0,IF(K8=0,MAX(J$6:J8),J8-1))</f>
        <v>35</v>
      </c>
      <c r="K9" s="309">
        <f t="shared" si="2"/>
        <v>259722</v>
      </c>
      <c r="L9" s="175">
        <f>MAX(L$6:L8)-SUM(N$6:N8)</f>
        <v>3791667</v>
      </c>
      <c r="M9" s="309">
        <f>IF(L9=0,0,IF(N8=0,MAX(M$6:M8),M8-1))</f>
        <v>35</v>
      </c>
      <c r="N9" s="309">
        <f t="shared" si="3"/>
        <v>108333</v>
      </c>
      <c r="O9" s="175">
        <f>MAX(O$6:O8)-SUM(Q$6:Q8)</f>
        <v>13750000</v>
      </c>
      <c r="P9" s="309">
        <f>IF(O9=0,0,IF(Q8=0,MAX(P$6:P8),P8-1))</f>
        <v>11</v>
      </c>
      <c r="Q9" s="309">
        <f t="shared" si="4"/>
        <v>1250000</v>
      </c>
      <c r="R9" s="175">
        <f>MAX(R$6:R8)-SUM(T$6:T8)</f>
        <v>1229167</v>
      </c>
      <c r="S9" s="309">
        <f>IF(R9=0,0,IF(T8=0,MAX(S$6:S8),S8-1))</f>
        <v>59</v>
      </c>
      <c r="T9" s="309">
        <f t="shared" si="5"/>
        <v>20833</v>
      </c>
      <c r="U9" s="309">
        <f t="shared" si="6"/>
        <v>2853471</v>
      </c>
      <c r="V9" s="309">
        <f t="shared" si="7"/>
        <v>67796529</v>
      </c>
      <c r="W9" s="309">
        <f t="shared" si="8"/>
        <v>2853471</v>
      </c>
      <c r="X9" s="309">
        <f t="shared" si="9"/>
        <v>64943058</v>
      </c>
      <c r="Y9" s="309">
        <f>MAX(C$6:C9)+MAX(F$6:F9)+MAX(I$6:I9)+MAX(L$6:L9)+MAX(O$6:O9)+MAX(R$6:R9)</f>
        <v>70650000</v>
      </c>
      <c r="Z9" s="309">
        <f>SUM(E$6:E9)+SUM(H$6:H9)+SUM(K$6:K9)+SUM(N$6:N9)+SUM(Q$6:Q9)+SUM(T$6:T9)</f>
        <v>5706942</v>
      </c>
      <c r="AA9" s="309">
        <f t="shared" si="10"/>
        <v>64943058</v>
      </c>
      <c r="AB9" s="309">
        <f t="shared" si="11"/>
        <v>0</v>
      </c>
      <c r="AC9" s="309">
        <f>MAX(F$6:F9)+MAX(I$6:I9)+MAX(L$6:L9)</f>
        <v>34400000</v>
      </c>
      <c r="AD9" s="309">
        <f>SUM(H$6:H9)+SUM(K$6:K9)+SUM(N$6:N9)</f>
        <v>2498610</v>
      </c>
      <c r="AE9" s="309">
        <f t="shared" si="12"/>
        <v>31901390</v>
      </c>
      <c r="AF9" s="309">
        <f>MAX(C$6:C9)+MAX(O$6:O9)+MAX(R$6:R9)</f>
        <v>36250000</v>
      </c>
      <c r="AG9" s="309">
        <f>SUM(E$6:E9)+SUM(Q$6:Q9)+SUM(T$6:T9)</f>
        <v>3208332</v>
      </c>
      <c r="AH9" s="309">
        <f t="shared" si="13"/>
        <v>33041668</v>
      </c>
      <c r="AI9" s="309">
        <f t="shared" si="14"/>
        <v>70650000</v>
      </c>
      <c r="AJ9" s="309">
        <f t="shared" si="15"/>
        <v>5706942</v>
      </c>
      <c r="AK9" s="309">
        <f t="shared" si="16"/>
        <v>64943058</v>
      </c>
      <c r="AL9" s="309">
        <f t="shared" si="17"/>
        <v>0</v>
      </c>
      <c r="AM9" s="309">
        <f t="shared" si="18"/>
        <v>0</v>
      </c>
      <c r="AN9" s="309">
        <f t="shared" si="19"/>
        <v>0</v>
      </c>
    </row>
    <row r="10" spans="1:40" x14ac:dyDescent="0.35">
      <c r="A10" s="18">
        <v>3</v>
      </c>
      <c r="B10" s="184">
        <v>42094</v>
      </c>
      <c r="C10" s="175">
        <f>MAX(C$6:C9)-SUM(E$6:E9)</f>
        <v>19333334</v>
      </c>
      <c r="D10" s="309">
        <f>IF(C10=0,0,IF(E9=0,MAX(D$6:D9),D9-1))</f>
        <v>58</v>
      </c>
      <c r="E10" s="309">
        <f t="shared" si="0"/>
        <v>333333</v>
      </c>
      <c r="F10" s="175">
        <f>MAX(F$6:F9)-SUM(H$6:H9)</f>
        <v>19387500</v>
      </c>
      <c r="G10" s="309">
        <f>IF(F10=0,0,IF(H9=0,MAX(G$6:G9),G9-1))</f>
        <v>22</v>
      </c>
      <c r="H10" s="309">
        <f t="shared" si="1"/>
        <v>881250</v>
      </c>
      <c r="I10" s="175">
        <f>MAX(I$6:I9)-SUM(K$6:K9)</f>
        <v>8830556</v>
      </c>
      <c r="J10" s="309">
        <f>IF(I10=0,0,IF(K9=0,MAX(J$6:J9),J9-1))</f>
        <v>34</v>
      </c>
      <c r="K10" s="309">
        <f t="shared" si="2"/>
        <v>259722</v>
      </c>
      <c r="L10" s="175">
        <f>MAX(L$6:L9)-SUM(N$6:N9)</f>
        <v>3683334</v>
      </c>
      <c r="M10" s="309">
        <f>IF(L10=0,0,IF(N9=0,MAX(M$6:M9),M9-1))</f>
        <v>34</v>
      </c>
      <c r="N10" s="309">
        <f t="shared" si="3"/>
        <v>108333</v>
      </c>
      <c r="O10" s="175">
        <f>MAX(O$6:O9)-SUM(Q$6:Q9)</f>
        <v>12500000</v>
      </c>
      <c r="P10" s="309">
        <f>IF(O10=0,0,IF(Q9=0,MAX(P$6:P9),P9-1))</f>
        <v>10</v>
      </c>
      <c r="Q10" s="309">
        <f t="shared" si="4"/>
        <v>1250000</v>
      </c>
      <c r="R10" s="175">
        <f>MAX(R$6:R9)-SUM(T$6:T9)</f>
        <v>1208334</v>
      </c>
      <c r="S10" s="309">
        <f>IF(R10=0,0,IF(T9=0,MAX(S$6:S9),S9-1))</f>
        <v>58</v>
      </c>
      <c r="T10" s="309">
        <f t="shared" si="5"/>
        <v>20833</v>
      </c>
      <c r="U10" s="309">
        <f t="shared" si="6"/>
        <v>2853471</v>
      </c>
      <c r="V10" s="309">
        <f t="shared" si="7"/>
        <v>64943058</v>
      </c>
      <c r="W10" s="309">
        <f t="shared" si="8"/>
        <v>2853471</v>
      </c>
      <c r="X10" s="309">
        <f t="shared" si="9"/>
        <v>62089587</v>
      </c>
      <c r="Y10" s="309">
        <f>MAX(C$6:C10)+MAX(F$6:F10)+MAX(I$6:I10)+MAX(L$6:L10)+MAX(O$6:O10)+MAX(R$6:R10)</f>
        <v>70650000</v>
      </c>
      <c r="Z10" s="309">
        <f>SUM(E$6:E10)+SUM(H$6:H10)+SUM(K$6:K10)+SUM(N$6:N10)+SUM(Q$6:Q10)+SUM(T$6:T10)</f>
        <v>8560413</v>
      </c>
      <c r="AA10" s="309">
        <f t="shared" si="10"/>
        <v>62089587</v>
      </c>
      <c r="AB10" s="309">
        <f t="shared" si="11"/>
        <v>0</v>
      </c>
      <c r="AC10" s="309">
        <f>MAX(F$6:F10)+MAX(I$6:I10)+MAX(L$6:L10)</f>
        <v>34400000</v>
      </c>
      <c r="AD10" s="309">
        <f>SUM(H$6:H10)+SUM(K$6:K10)+SUM(N$6:N10)</f>
        <v>3747915</v>
      </c>
      <c r="AE10" s="309">
        <f t="shared" si="12"/>
        <v>30652085</v>
      </c>
      <c r="AF10" s="309">
        <f>MAX(C$6:C10)+MAX(O$6:O10)+MAX(R$6:R10)</f>
        <v>36250000</v>
      </c>
      <c r="AG10" s="309">
        <f>SUM(E$6:E10)+SUM(Q$6:Q10)+SUM(T$6:T10)</f>
        <v>4812498</v>
      </c>
      <c r="AH10" s="309">
        <f t="shared" si="13"/>
        <v>31437502</v>
      </c>
      <c r="AI10" s="309">
        <f t="shared" si="14"/>
        <v>70650000</v>
      </c>
      <c r="AJ10" s="309">
        <f t="shared" si="15"/>
        <v>8560413</v>
      </c>
      <c r="AK10" s="309">
        <f t="shared" si="16"/>
        <v>62089587</v>
      </c>
      <c r="AL10" s="309">
        <f t="shared" si="17"/>
        <v>0</v>
      </c>
      <c r="AM10" s="309">
        <f t="shared" si="18"/>
        <v>0</v>
      </c>
      <c r="AN10" s="309">
        <f t="shared" si="19"/>
        <v>0</v>
      </c>
    </row>
    <row r="11" spans="1:40" x14ac:dyDescent="0.35">
      <c r="A11" s="18">
        <v>4</v>
      </c>
      <c r="B11" s="184">
        <v>42124</v>
      </c>
      <c r="C11" s="175">
        <f>MAX(C$6:C10)-SUM(E$6:E10)</f>
        <v>19000001</v>
      </c>
      <c r="D11" s="309">
        <f>IF(C11=0,0,IF(E10=0,MAX(D$6:D10),D10-1))</f>
        <v>57</v>
      </c>
      <c r="E11" s="309">
        <f t="shared" si="0"/>
        <v>333333</v>
      </c>
      <c r="F11" s="175">
        <f>MAX(F$6:F10)-SUM(H$6:H10)</f>
        <v>18506250</v>
      </c>
      <c r="G11" s="309">
        <f>IF(F11=0,0,IF(H10=0,MAX(G$6:G10),G10-1))</f>
        <v>21</v>
      </c>
      <c r="H11" s="309">
        <f t="shared" si="1"/>
        <v>881250</v>
      </c>
      <c r="I11" s="175">
        <f>MAX(I$6:I10)-SUM(K$6:K10)</f>
        <v>8570834</v>
      </c>
      <c r="J11" s="309">
        <f>IF(I11=0,0,IF(K10=0,MAX(J$6:J10),J10-1))</f>
        <v>33</v>
      </c>
      <c r="K11" s="309">
        <f t="shared" si="2"/>
        <v>259722</v>
      </c>
      <c r="L11" s="175">
        <f>MAX(L$6:L10)-SUM(N$6:N10)</f>
        <v>3575001</v>
      </c>
      <c r="M11" s="309">
        <f>IF(L11=0,0,IF(N10=0,MAX(M$6:M10),M10-1))</f>
        <v>33</v>
      </c>
      <c r="N11" s="309">
        <f t="shared" si="3"/>
        <v>108333</v>
      </c>
      <c r="O11" s="175">
        <f>MAX(O$6:O10)-SUM(Q$6:Q10)</f>
        <v>11250000</v>
      </c>
      <c r="P11" s="309">
        <f>IF(O11=0,0,IF(Q10=0,MAX(P$6:P10),P10-1))</f>
        <v>9</v>
      </c>
      <c r="Q11" s="309">
        <f t="shared" si="4"/>
        <v>1250000</v>
      </c>
      <c r="R11" s="175">
        <f>MAX(R$6:R10)-SUM(T$6:T10)</f>
        <v>1187501</v>
      </c>
      <c r="S11" s="309">
        <f>IF(R11=0,0,IF(T10=0,MAX(S$6:S10),S10-1))</f>
        <v>57</v>
      </c>
      <c r="T11" s="309">
        <f t="shared" si="5"/>
        <v>20833</v>
      </c>
      <c r="U11" s="309">
        <f t="shared" si="6"/>
        <v>2853471</v>
      </c>
      <c r="V11" s="309">
        <f t="shared" si="7"/>
        <v>62089587</v>
      </c>
      <c r="W11" s="309">
        <f t="shared" si="8"/>
        <v>2853471</v>
      </c>
      <c r="X11" s="309">
        <f t="shared" si="9"/>
        <v>59236116</v>
      </c>
      <c r="Y11" s="309">
        <f>MAX(C$6:C11)+MAX(F$6:F11)+MAX(I$6:I11)+MAX(L$6:L11)+MAX(O$6:O11)+MAX(R$6:R11)</f>
        <v>70650000</v>
      </c>
      <c r="Z11" s="309">
        <f>SUM(E$6:E11)+SUM(H$6:H11)+SUM(K$6:K11)+SUM(N$6:N11)+SUM(Q$6:Q11)+SUM(T$6:T11)</f>
        <v>11413884</v>
      </c>
      <c r="AA11" s="309">
        <f t="shared" si="10"/>
        <v>59236116</v>
      </c>
      <c r="AB11" s="309">
        <f t="shared" si="11"/>
        <v>0</v>
      </c>
      <c r="AC11" s="309">
        <f>MAX(F$6:F11)+MAX(I$6:I11)+MAX(L$6:L11)</f>
        <v>34400000</v>
      </c>
      <c r="AD11" s="309">
        <f>SUM(H$6:H11)+SUM(K$6:K11)+SUM(N$6:N11)</f>
        <v>4997220</v>
      </c>
      <c r="AE11" s="309">
        <f t="shared" si="12"/>
        <v>29402780</v>
      </c>
      <c r="AF11" s="309">
        <f>MAX(C$6:C11)+MAX(O$6:O11)+MAX(R$6:R11)</f>
        <v>36250000</v>
      </c>
      <c r="AG11" s="309">
        <f>SUM(E$6:E11)+SUM(Q$6:Q11)+SUM(T$6:T11)</f>
        <v>6416664</v>
      </c>
      <c r="AH11" s="309">
        <f t="shared" si="13"/>
        <v>29833336</v>
      </c>
      <c r="AI11" s="309">
        <f t="shared" si="14"/>
        <v>70650000</v>
      </c>
      <c r="AJ11" s="309">
        <f t="shared" si="15"/>
        <v>11413884</v>
      </c>
      <c r="AK11" s="309">
        <f t="shared" si="16"/>
        <v>59236116</v>
      </c>
      <c r="AL11" s="309">
        <f t="shared" si="17"/>
        <v>0</v>
      </c>
      <c r="AM11" s="309">
        <f t="shared" si="18"/>
        <v>0</v>
      </c>
      <c r="AN11" s="309">
        <f t="shared" si="19"/>
        <v>0</v>
      </c>
    </row>
    <row r="12" spans="1:40" x14ac:dyDescent="0.35">
      <c r="A12" s="18">
        <v>5</v>
      </c>
      <c r="B12" s="184">
        <v>42155</v>
      </c>
      <c r="C12" s="175">
        <f>MAX(C$6:C11)-SUM(E$6:E11)</f>
        <v>18666668</v>
      </c>
      <c r="D12" s="309">
        <f>IF(C12=0,0,IF(E11=0,MAX(D$6:D11),D11-1))</f>
        <v>56</v>
      </c>
      <c r="E12" s="309">
        <f t="shared" si="0"/>
        <v>333333</v>
      </c>
      <c r="F12" s="175">
        <f>MAX(F$6:F11)-SUM(H$6:H11)</f>
        <v>17625000</v>
      </c>
      <c r="G12" s="309">
        <f>IF(F12=0,0,IF(H11=0,MAX(G$6:G11),G11-1))</f>
        <v>20</v>
      </c>
      <c r="H12" s="309">
        <f t="shared" si="1"/>
        <v>881250</v>
      </c>
      <c r="I12" s="175">
        <f>MAX(I$6:I11)-SUM(K$6:K11)</f>
        <v>8311112</v>
      </c>
      <c r="J12" s="309">
        <f>IF(I12=0,0,IF(K11=0,MAX(J$6:J11),J11-1))</f>
        <v>32</v>
      </c>
      <c r="K12" s="309">
        <f t="shared" si="2"/>
        <v>259722</v>
      </c>
      <c r="L12" s="175">
        <f>MAX(L$6:L11)-SUM(N$6:N11)</f>
        <v>3466668</v>
      </c>
      <c r="M12" s="309">
        <f>IF(L12=0,0,IF(N11=0,MAX(M$6:M11),M11-1))</f>
        <v>32</v>
      </c>
      <c r="N12" s="309">
        <f t="shared" si="3"/>
        <v>108333</v>
      </c>
      <c r="O12" s="175">
        <f>MAX(O$6:O11)-SUM(Q$6:Q11)</f>
        <v>10000000</v>
      </c>
      <c r="P12" s="309">
        <f>IF(O12=0,0,IF(Q11=0,MAX(P$6:P11),P11-1))</f>
        <v>8</v>
      </c>
      <c r="Q12" s="309">
        <f t="shared" si="4"/>
        <v>1250000</v>
      </c>
      <c r="R12" s="175">
        <f>MAX(R$6:R11)-SUM(T$6:T11)</f>
        <v>1166668</v>
      </c>
      <c r="S12" s="309">
        <f>IF(R12=0,0,IF(T11=0,MAX(S$6:S11),S11-1))</f>
        <v>56</v>
      </c>
      <c r="T12" s="309">
        <f t="shared" si="5"/>
        <v>20833</v>
      </c>
      <c r="U12" s="309">
        <f t="shared" si="6"/>
        <v>2853471</v>
      </c>
      <c r="V12" s="309">
        <f t="shared" si="7"/>
        <v>59236116</v>
      </c>
      <c r="W12" s="309">
        <f t="shared" si="8"/>
        <v>2853471</v>
      </c>
      <c r="X12" s="309">
        <f t="shared" si="9"/>
        <v>56382645</v>
      </c>
      <c r="Y12" s="309">
        <f>MAX(C$6:C12)+MAX(F$6:F12)+MAX(I$6:I12)+MAX(L$6:L12)+MAX(O$6:O12)+MAX(R$6:R12)</f>
        <v>70650000</v>
      </c>
      <c r="Z12" s="309">
        <f>SUM(E$6:E12)+SUM(H$6:H12)+SUM(K$6:K12)+SUM(N$6:N12)+SUM(Q$6:Q12)+SUM(T$6:T12)</f>
        <v>14267355</v>
      </c>
      <c r="AA12" s="309">
        <f t="shared" si="10"/>
        <v>56382645</v>
      </c>
      <c r="AB12" s="309">
        <f t="shared" si="11"/>
        <v>0</v>
      </c>
      <c r="AC12" s="309">
        <f>MAX(F$6:F12)+MAX(I$6:I12)+MAX(L$6:L12)</f>
        <v>34400000</v>
      </c>
      <c r="AD12" s="309">
        <f>SUM(H$6:H12)+SUM(K$6:K12)+SUM(N$6:N12)</f>
        <v>6246525</v>
      </c>
      <c r="AE12" s="309">
        <f t="shared" si="12"/>
        <v>28153475</v>
      </c>
      <c r="AF12" s="309">
        <f>MAX(C$6:C12)+MAX(O$6:O12)+MAX(R$6:R12)</f>
        <v>36250000</v>
      </c>
      <c r="AG12" s="309">
        <f>SUM(E$6:E12)+SUM(Q$6:Q12)+SUM(T$6:T12)</f>
        <v>8020830</v>
      </c>
      <c r="AH12" s="309">
        <f t="shared" si="13"/>
        <v>28229170</v>
      </c>
      <c r="AI12" s="309">
        <f t="shared" si="14"/>
        <v>70650000</v>
      </c>
      <c r="AJ12" s="309">
        <f t="shared" si="15"/>
        <v>14267355</v>
      </c>
      <c r="AK12" s="309">
        <f t="shared" si="16"/>
        <v>56382645</v>
      </c>
      <c r="AL12" s="309">
        <f t="shared" si="17"/>
        <v>0</v>
      </c>
      <c r="AM12" s="309">
        <f t="shared" si="18"/>
        <v>0</v>
      </c>
      <c r="AN12" s="309">
        <f t="shared" si="19"/>
        <v>0</v>
      </c>
    </row>
    <row r="13" spans="1:40" x14ac:dyDescent="0.35">
      <c r="A13" s="18">
        <v>6</v>
      </c>
      <c r="B13" s="184">
        <v>42185</v>
      </c>
      <c r="C13" s="175">
        <f>MAX(C$6:C12)-SUM(E$6:E12)</f>
        <v>18333335</v>
      </c>
      <c r="D13" s="309">
        <f>IF(C13=0,0,IF(E12=0,MAX(D$6:D12),D12-1))</f>
        <v>55</v>
      </c>
      <c r="E13" s="309">
        <f t="shared" si="0"/>
        <v>333333</v>
      </c>
      <c r="F13" s="175">
        <f>MAX(F$6:F12)-SUM(H$6:H12)</f>
        <v>16743750</v>
      </c>
      <c r="G13" s="309">
        <f>IF(F13=0,0,IF(H12=0,MAX(G$6:G12),G12-1))</f>
        <v>19</v>
      </c>
      <c r="H13" s="309">
        <f t="shared" si="1"/>
        <v>881250</v>
      </c>
      <c r="I13" s="175">
        <f>MAX(I$6:I12)-SUM(K$6:K12)</f>
        <v>8051390</v>
      </c>
      <c r="J13" s="309">
        <f>IF(I13=0,0,IF(K12=0,MAX(J$6:J12),J12-1))</f>
        <v>31</v>
      </c>
      <c r="K13" s="309">
        <f t="shared" si="2"/>
        <v>259722</v>
      </c>
      <c r="L13" s="175">
        <f>MAX(L$6:L12)-SUM(N$6:N12)</f>
        <v>3358335</v>
      </c>
      <c r="M13" s="309">
        <f>IF(L13=0,0,IF(N12=0,MAX(M$6:M12),M12-1))</f>
        <v>31</v>
      </c>
      <c r="N13" s="309">
        <f t="shared" si="3"/>
        <v>108333</v>
      </c>
      <c r="O13" s="175">
        <f>MAX(O$6:O12)-SUM(Q$6:Q12)</f>
        <v>8750000</v>
      </c>
      <c r="P13" s="309">
        <f>IF(O13=0,0,IF(Q12=0,MAX(P$6:P12),P12-1))</f>
        <v>7</v>
      </c>
      <c r="Q13" s="309">
        <f t="shared" si="4"/>
        <v>1250000</v>
      </c>
      <c r="R13" s="175">
        <f>MAX(R$6:R12)-SUM(T$6:T12)</f>
        <v>1145835</v>
      </c>
      <c r="S13" s="309">
        <f>IF(R13=0,0,IF(T12=0,MAX(S$6:S12),S12-1))</f>
        <v>55</v>
      </c>
      <c r="T13" s="309">
        <f t="shared" si="5"/>
        <v>20833</v>
      </c>
      <c r="U13" s="309">
        <f t="shared" si="6"/>
        <v>2853471</v>
      </c>
      <c r="V13" s="309">
        <f t="shared" si="7"/>
        <v>56382645</v>
      </c>
      <c r="W13" s="309">
        <f t="shared" si="8"/>
        <v>2853471</v>
      </c>
      <c r="X13" s="309">
        <f t="shared" si="9"/>
        <v>53529174</v>
      </c>
      <c r="Y13" s="309">
        <f>MAX(C$6:C13)+MAX(F$6:F13)+MAX(I$6:I13)+MAX(L$6:L13)+MAX(O$6:O13)+MAX(R$6:R13)</f>
        <v>70650000</v>
      </c>
      <c r="Z13" s="309">
        <f>SUM(E$6:E13)+SUM(H$6:H13)+SUM(K$6:K13)+SUM(N$6:N13)+SUM(Q$6:Q13)+SUM(T$6:T13)</f>
        <v>17120826</v>
      </c>
      <c r="AA13" s="309">
        <f t="shared" si="10"/>
        <v>53529174</v>
      </c>
      <c r="AB13" s="309">
        <f t="shared" si="11"/>
        <v>0</v>
      </c>
      <c r="AC13" s="309">
        <f>MAX(F$6:F13)+MAX(I$6:I13)+MAX(L$6:L13)</f>
        <v>34400000</v>
      </c>
      <c r="AD13" s="309">
        <f>SUM(H$6:H13)+SUM(K$6:K13)+SUM(N$6:N13)</f>
        <v>7495830</v>
      </c>
      <c r="AE13" s="309">
        <f t="shared" si="12"/>
        <v>26904170</v>
      </c>
      <c r="AF13" s="309">
        <f>MAX(C$6:C13)+MAX(O$6:O13)+MAX(R$6:R13)</f>
        <v>36250000</v>
      </c>
      <c r="AG13" s="309">
        <f>SUM(E$6:E13)+SUM(Q$6:Q13)+SUM(T$6:T13)</f>
        <v>9624996</v>
      </c>
      <c r="AH13" s="309">
        <f t="shared" si="13"/>
        <v>26625004</v>
      </c>
      <c r="AI13" s="309">
        <f t="shared" si="14"/>
        <v>70650000</v>
      </c>
      <c r="AJ13" s="309">
        <f t="shared" si="15"/>
        <v>17120826</v>
      </c>
      <c r="AK13" s="309">
        <f t="shared" si="16"/>
        <v>53529174</v>
      </c>
      <c r="AL13" s="309">
        <f t="shared" si="17"/>
        <v>0</v>
      </c>
      <c r="AM13" s="309">
        <f t="shared" si="18"/>
        <v>0</v>
      </c>
      <c r="AN13" s="309">
        <f t="shared" si="19"/>
        <v>0</v>
      </c>
    </row>
    <row r="14" spans="1:40" x14ac:dyDescent="0.35">
      <c r="A14" s="18">
        <v>7</v>
      </c>
      <c r="B14" s="184">
        <v>42216</v>
      </c>
      <c r="C14" s="175">
        <f>MAX(C$6:C13)-SUM(E$6:E13)</f>
        <v>18000002</v>
      </c>
      <c r="D14" s="309">
        <f>IF(C14=0,0,IF(E13=0,MAX(D$6:D13),D13-1))</f>
        <v>54</v>
      </c>
      <c r="E14" s="309">
        <f t="shared" si="0"/>
        <v>333333</v>
      </c>
      <c r="F14" s="175">
        <f>MAX(F$6:F13)-SUM(H$6:H13)</f>
        <v>15862500</v>
      </c>
      <c r="G14" s="309">
        <f>IF(F14=0,0,IF(H13=0,MAX(G$6:G13),G13-1))</f>
        <v>18</v>
      </c>
      <c r="H14" s="309">
        <f t="shared" si="1"/>
        <v>881250</v>
      </c>
      <c r="I14" s="175">
        <f>MAX(I$6:I13)-SUM(K$6:K13)</f>
        <v>7791668</v>
      </c>
      <c r="J14" s="309">
        <f>IF(I14=0,0,IF(K13=0,MAX(J$6:J13),J13-1))</f>
        <v>30</v>
      </c>
      <c r="K14" s="309">
        <f t="shared" si="2"/>
        <v>259722</v>
      </c>
      <c r="L14" s="175">
        <f>MAX(L$6:L13)-SUM(N$6:N13)</f>
        <v>3250002</v>
      </c>
      <c r="M14" s="309">
        <f>IF(L14=0,0,IF(N13=0,MAX(M$6:M13),M13-1))</f>
        <v>30</v>
      </c>
      <c r="N14" s="309">
        <f t="shared" si="3"/>
        <v>108333</v>
      </c>
      <c r="O14" s="175">
        <f>MAX(O$6:O13)-SUM(Q$6:Q13)</f>
        <v>7500000</v>
      </c>
      <c r="P14" s="309">
        <f>IF(O14=0,0,IF(Q13=0,MAX(P$6:P13),P13-1))</f>
        <v>6</v>
      </c>
      <c r="Q14" s="309">
        <f t="shared" si="4"/>
        <v>1250000</v>
      </c>
      <c r="R14" s="175">
        <f>MAX(R$6:R13)-SUM(T$6:T13)</f>
        <v>1125002</v>
      </c>
      <c r="S14" s="309">
        <f>IF(R14=0,0,IF(T13=0,MAX(S$6:S13),S13-1))</f>
        <v>54</v>
      </c>
      <c r="T14" s="309">
        <f t="shared" si="5"/>
        <v>20833</v>
      </c>
      <c r="U14" s="309">
        <f t="shared" si="6"/>
        <v>2853471</v>
      </c>
      <c r="V14" s="309">
        <f t="shared" si="7"/>
        <v>53529174</v>
      </c>
      <c r="W14" s="309">
        <f t="shared" si="8"/>
        <v>2853471</v>
      </c>
      <c r="X14" s="309">
        <f t="shared" si="9"/>
        <v>50675703</v>
      </c>
      <c r="Y14" s="309">
        <f>MAX(C$6:C14)+MAX(F$6:F14)+MAX(I$6:I14)+MAX(L$6:L14)+MAX(O$6:O14)+MAX(R$6:R14)</f>
        <v>70650000</v>
      </c>
      <c r="Z14" s="309">
        <f>SUM(E$6:E14)+SUM(H$6:H14)+SUM(K$6:K14)+SUM(N$6:N14)+SUM(Q$6:Q14)+SUM(T$6:T14)</f>
        <v>19974297</v>
      </c>
      <c r="AA14" s="309">
        <f t="shared" si="10"/>
        <v>50675703</v>
      </c>
      <c r="AB14" s="309">
        <f t="shared" si="11"/>
        <v>0</v>
      </c>
      <c r="AC14" s="309">
        <f>MAX(F$6:F14)+MAX(I$6:I14)+MAX(L$6:L14)</f>
        <v>34400000</v>
      </c>
      <c r="AD14" s="309">
        <f>SUM(H$6:H14)+SUM(K$6:K14)+SUM(N$6:N14)</f>
        <v>8745135</v>
      </c>
      <c r="AE14" s="309">
        <f t="shared" si="12"/>
        <v>25654865</v>
      </c>
      <c r="AF14" s="309">
        <f>MAX(C$6:C14)+MAX(O$6:O14)+MAX(R$6:R14)</f>
        <v>36250000</v>
      </c>
      <c r="AG14" s="309">
        <f>SUM(E$6:E14)+SUM(Q$6:Q14)+SUM(T$6:T14)</f>
        <v>11229162</v>
      </c>
      <c r="AH14" s="309">
        <f t="shared" si="13"/>
        <v>25020838</v>
      </c>
      <c r="AI14" s="309">
        <f t="shared" si="14"/>
        <v>70650000</v>
      </c>
      <c r="AJ14" s="309">
        <f t="shared" si="15"/>
        <v>19974297</v>
      </c>
      <c r="AK14" s="309">
        <f t="shared" si="16"/>
        <v>50675703</v>
      </c>
      <c r="AL14" s="309">
        <f t="shared" si="17"/>
        <v>0</v>
      </c>
      <c r="AM14" s="309">
        <f t="shared" si="18"/>
        <v>0</v>
      </c>
      <c r="AN14" s="309">
        <f t="shared" si="19"/>
        <v>0</v>
      </c>
    </row>
    <row r="15" spans="1:40" x14ac:dyDescent="0.35">
      <c r="A15" s="18">
        <v>8</v>
      </c>
      <c r="B15" s="184">
        <v>42247</v>
      </c>
      <c r="C15" s="175">
        <f>MAX(C$6:C14)-SUM(E$6:E14)</f>
        <v>17666669</v>
      </c>
      <c r="D15" s="309">
        <f>IF(C15=0,0,IF(E14=0,MAX(D$6:D14),D14-1))</f>
        <v>53</v>
      </c>
      <c r="E15" s="309">
        <f t="shared" si="0"/>
        <v>333333</v>
      </c>
      <c r="F15" s="175">
        <f>MAX(F$6:F14)-SUM(H$6:H14)</f>
        <v>14981250</v>
      </c>
      <c r="G15" s="309">
        <f>IF(F15=0,0,IF(H14=0,MAX(G$6:G14),G14-1))</f>
        <v>17</v>
      </c>
      <c r="H15" s="309">
        <f t="shared" si="1"/>
        <v>881250</v>
      </c>
      <c r="I15" s="175">
        <f>MAX(I$6:I14)-SUM(K$6:K14)</f>
        <v>7531946</v>
      </c>
      <c r="J15" s="309">
        <f>IF(I15=0,0,IF(K14=0,MAX(J$6:J14),J14-1))</f>
        <v>29</v>
      </c>
      <c r="K15" s="309">
        <f t="shared" si="2"/>
        <v>259722</v>
      </c>
      <c r="L15" s="175">
        <f>MAX(L$6:L14)-SUM(N$6:N14)</f>
        <v>3141669</v>
      </c>
      <c r="M15" s="309">
        <f>IF(L15=0,0,IF(N14=0,MAX(M$6:M14),M14-1))</f>
        <v>29</v>
      </c>
      <c r="N15" s="309">
        <f t="shared" si="3"/>
        <v>108333</v>
      </c>
      <c r="O15" s="175">
        <f>MAX(O$6:O14)-SUM(Q$6:Q14)</f>
        <v>6250000</v>
      </c>
      <c r="P15" s="309">
        <f>IF(O15=0,0,IF(Q14=0,MAX(P$6:P14),P14-1))</f>
        <v>5</v>
      </c>
      <c r="Q15" s="309">
        <f t="shared" si="4"/>
        <v>1250000</v>
      </c>
      <c r="R15" s="175">
        <f>MAX(R$6:R14)-SUM(T$6:T14)</f>
        <v>1104169</v>
      </c>
      <c r="S15" s="309">
        <f>IF(R15=0,0,IF(T14=0,MAX(S$6:S14),S14-1))</f>
        <v>53</v>
      </c>
      <c r="T15" s="309">
        <f t="shared" si="5"/>
        <v>20833</v>
      </c>
      <c r="U15" s="309">
        <f t="shared" si="6"/>
        <v>2853471</v>
      </c>
      <c r="V15" s="309">
        <f t="shared" si="7"/>
        <v>50675703</v>
      </c>
      <c r="W15" s="309">
        <f t="shared" si="8"/>
        <v>2853471</v>
      </c>
      <c r="X15" s="309">
        <f t="shared" si="9"/>
        <v>47822232</v>
      </c>
      <c r="Y15" s="309">
        <f>MAX(C$6:C15)+MAX(F$6:F15)+MAX(I$6:I15)+MAX(L$6:L15)+MAX(O$6:O15)+MAX(R$6:R15)</f>
        <v>70650000</v>
      </c>
      <c r="Z15" s="309">
        <f>SUM(E$6:E15)+SUM(H$6:H15)+SUM(K$6:K15)+SUM(N$6:N15)+SUM(Q$6:Q15)+SUM(T$6:T15)</f>
        <v>22827768</v>
      </c>
      <c r="AA15" s="309">
        <f t="shared" si="10"/>
        <v>47822232</v>
      </c>
      <c r="AB15" s="309">
        <f t="shared" si="11"/>
        <v>0</v>
      </c>
      <c r="AC15" s="309">
        <f>MAX(F$6:F15)+MAX(I$6:I15)+MAX(L$6:L15)</f>
        <v>34400000</v>
      </c>
      <c r="AD15" s="309">
        <f>SUM(H$6:H15)+SUM(K$6:K15)+SUM(N$6:N15)</f>
        <v>9994440</v>
      </c>
      <c r="AE15" s="309">
        <f t="shared" si="12"/>
        <v>24405560</v>
      </c>
      <c r="AF15" s="309">
        <f>MAX(C$6:C15)+MAX(O$6:O15)+MAX(R$6:R15)</f>
        <v>36250000</v>
      </c>
      <c r="AG15" s="309">
        <f>SUM(E$6:E15)+SUM(Q$6:Q15)+SUM(T$6:T15)</f>
        <v>12833328</v>
      </c>
      <c r="AH15" s="309">
        <f t="shared" si="13"/>
        <v>23416672</v>
      </c>
      <c r="AI15" s="309">
        <f t="shared" si="14"/>
        <v>70650000</v>
      </c>
      <c r="AJ15" s="309">
        <f t="shared" si="15"/>
        <v>22827768</v>
      </c>
      <c r="AK15" s="309">
        <f t="shared" si="16"/>
        <v>47822232</v>
      </c>
      <c r="AL15" s="309">
        <f t="shared" si="17"/>
        <v>0</v>
      </c>
      <c r="AM15" s="309">
        <f t="shared" si="18"/>
        <v>0</v>
      </c>
      <c r="AN15" s="309">
        <f t="shared" si="19"/>
        <v>0</v>
      </c>
    </row>
    <row r="16" spans="1:40" x14ac:dyDescent="0.35">
      <c r="A16" s="18">
        <v>9</v>
      </c>
      <c r="B16" s="184">
        <v>42277</v>
      </c>
      <c r="C16" s="175">
        <f>MAX(C$6:C15)-SUM(E$6:E15)</f>
        <v>17333336</v>
      </c>
      <c r="D16" s="309">
        <f>IF(C16=0,0,IF(E15=0,MAX(D$6:D15),D15-1))</f>
        <v>52</v>
      </c>
      <c r="E16" s="309">
        <f t="shared" si="0"/>
        <v>333333</v>
      </c>
      <c r="F16" s="175">
        <f>MAX(F$6:F15)-SUM(H$6:H15)</f>
        <v>14100000</v>
      </c>
      <c r="G16" s="309">
        <f>IF(F16=0,0,IF(H15=0,MAX(G$6:G15),G15-1))</f>
        <v>16</v>
      </c>
      <c r="H16" s="309">
        <f t="shared" si="1"/>
        <v>881250</v>
      </c>
      <c r="I16" s="175">
        <f>MAX(I$6:I15)-SUM(K$6:K15)</f>
        <v>7272224</v>
      </c>
      <c r="J16" s="309">
        <f>IF(I16=0,0,IF(K15=0,MAX(J$6:J15),J15-1))</f>
        <v>28</v>
      </c>
      <c r="K16" s="309">
        <f t="shared" si="2"/>
        <v>259722</v>
      </c>
      <c r="L16" s="175">
        <f>MAX(L$6:L15)-SUM(N$6:N15)</f>
        <v>3033336</v>
      </c>
      <c r="M16" s="309">
        <f>IF(L16=0,0,IF(N15=0,MAX(M$6:M15),M15-1))</f>
        <v>28</v>
      </c>
      <c r="N16" s="309">
        <f t="shared" si="3"/>
        <v>108333</v>
      </c>
      <c r="O16" s="175">
        <f>MAX(O$6:O15)-SUM(Q$6:Q15)</f>
        <v>5000000</v>
      </c>
      <c r="P16" s="309">
        <f>IF(O16=0,0,IF(Q15=0,MAX(P$6:P15),P15-1))</f>
        <v>4</v>
      </c>
      <c r="Q16" s="309">
        <f t="shared" si="4"/>
        <v>1250000</v>
      </c>
      <c r="R16" s="175">
        <f>MAX(R$6:R15)-SUM(T$6:T15)</f>
        <v>1083336</v>
      </c>
      <c r="S16" s="309">
        <f>IF(R16=0,0,IF(T15=0,MAX(S$6:S15),S15-1))</f>
        <v>52</v>
      </c>
      <c r="T16" s="309">
        <f t="shared" si="5"/>
        <v>20833</v>
      </c>
      <c r="U16" s="309">
        <f t="shared" si="6"/>
        <v>2853471</v>
      </c>
      <c r="V16" s="309">
        <f t="shared" si="7"/>
        <v>47822232</v>
      </c>
      <c r="W16" s="309">
        <f t="shared" si="8"/>
        <v>2853471</v>
      </c>
      <c r="X16" s="309">
        <f t="shared" si="9"/>
        <v>44968761</v>
      </c>
      <c r="Y16" s="309">
        <f>MAX(C$6:C16)+MAX(F$6:F16)+MAX(I$6:I16)+MAX(L$6:L16)+MAX(O$6:O16)+MAX(R$6:R16)</f>
        <v>70650000</v>
      </c>
      <c r="Z16" s="309">
        <f>SUM(E$6:E16)+SUM(H$6:H16)+SUM(K$6:K16)+SUM(N$6:N16)+SUM(Q$6:Q16)+SUM(T$6:T16)</f>
        <v>25681239</v>
      </c>
      <c r="AA16" s="309">
        <f t="shared" si="10"/>
        <v>44968761</v>
      </c>
      <c r="AB16" s="309">
        <f t="shared" si="11"/>
        <v>0</v>
      </c>
      <c r="AC16" s="309">
        <f>MAX(F$6:F16)+MAX(I$6:I16)+MAX(L$6:L16)</f>
        <v>34400000</v>
      </c>
      <c r="AD16" s="309">
        <f>SUM(H$6:H16)+SUM(K$6:K16)+SUM(N$6:N16)</f>
        <v>11243745</v>
      </c>
      <c r="AE16" s="309">
        <f t="shared" si="12"/>
        <v>23156255</v>
      </c>
      <c r="AF16" s="309">
        <f>MAX(C$6:C16)+MAX(O$6:O16)+MAX(R$6:R16)</f>
        <v>36250000</v>
      </c>
      <c r="AG16" s="309">
        <f>SUM(E$6:E16)+SUM(Q$6:Q16)+SUM(T$6:T16)</f>
        <v>14437494</v>
      </c>
      <c r="AH16" s="309">
        <f t="shared" si="13"/>
        <v>21812506</v>
      </c>
      <c r="AI16" s="309">
        <f t="shared" si="14"/>
        <v>70650000</v>
      </c>
      <c r="AJ16" s="309">
        <f t="shared" si="15"/>
        <v>25681239</v>
      </c>
      <c r="AK16" s="309">
        <f t="shared" si="16"/>
        <v>44968761</v>
      </c>
      <c r="AL16" s="309">
        <f t="shared" si="17"/>
        <v>0</v>
      </c>
      <c r="AM16" s="309">
        <f t="shared" si="18"/>
        <v>0</v>
      </c>
      <c r="AN16" s="309">
        <f t="shared" si="19"/>
        <v>0</v>
      </c>
    </row>
    <row r="17" spans="1:40" x14ac:dyDescent="0.35">
      <c r="A17" s="18">
        <v>10</v>
      </c>
      <c r="B17" s="184">
        <v>42308</v>
      </c>
      <c r="C17" s="175">
        <f>MAX(C$6:C16)-SUM(E$6:E16)</f>
        <v>17000003</v>
      </c>
      <c r="D17" s="309">
        <f>IF(C17=0,0,IF(E16=0,MAX(D$6:D16),D16-1))</f>
        <v>51</v>
      </c>
      <c r="E17" s="309">
        <f t="shared" si="0"/>
        <v>333333</v>
      </c>
      <c r="F17" s="175">
        <f>MAX(F$6:F16)-SUM(H$6:H16)</f>
        <v>13218750</v>
      </c>
      <c r="G17" s="309">
        <f>IF(F17=0,0,IF(H16=0,MAX(G$6:G16),G16-1))</f>
        <v>15</v>
      </c>
      <c r="H17" s="309">
        <f t="shared" si="1"/>
        <v>881250</v>
      </c>
      <c r="I17" s="175">
        <f>MAX(I$6:I16)-SUM(K$6:K16)</f>
        <v>7012502</v>
      </c>
      <c r="J17" s="309">
        <f>IF(I17=0,0,IF(K16=0,MAX(J$6:J16),J16-1))</f>
        <v>27</v>
      </c>
      <c r="K17" s="309">
        <f t="shared" si="2"/>
        <v>259722</v>
      </c>
      <c r="L17" s="175">
        <f>MAX(L$6:L16)-SUM(N$6:N16)</f>
        <v>2925003</v>
      </c>
      <c r="M17" s="309">
        <f>IF(L17=0,0,IF(N16=0,MAX(M$6:M16),M16-1))</f>
        <v>27</v>
      </c>
      <c r="N17" s="309">
        <f t="shared" si="3"/>
        <v>108333</v>
      </c>
      <c r="O17" s="175">
        <f>MAX(O$6:O16)-SUM(Q$6:Q16)</f>
        <v>3750000</v>
      </c>
      <c r="P17" s="309">
        <f>IF(O17=0,0,IF(Q16=0,MAX(P$6:P16),P16-1))</f>
        <v>3</v>
      </c>
      <c r="Q17" s="309">
        <f t="shared" si="4"/>
        <v>1250000</v>
      </c>
      <c r="R17" s="175">
        <f>MAX(R$6:R16)-SUM(T$6:T16)</f>
        <v>1062503</v>
      </c>
      <c r="S17" s="309">
        <f>IF(R17=0,0,IF(T16=0,MAX(S$6:S16),S16-1))</f>
        <v>51</v>
      </c>
      <c r="T17" s="309">
        <f t="shared" si="5"/>
        <v>20833</v>
      </c>
      <c r="U17" s="309">
        <f t="shared" si="6"/>
        <v>2853471</v>
      </c>
      <c r="V17" s="309">
        <f t="shared" si="7"/>
        <v>44968761</v>
      </c>
      <c r="W17" s="309">
        <f t="shared" si="8"/>
        <v>2853471</v>
      </c>
      <c r="X17" s="309">
        <f t="shared" si="9"/>
        <v>42115290</v>
      </c>
      <c r="Y17" s="309">
        <f>MAX(C$6:C17)+MAX(F$6:F17)+MAX(I$6:I17)+MAX(L$6:L17)+MAX(O$6:O17)+MAX(R$6:R17)</f>
        <v>70650000</v>
      </c>
      <c r="Z17" s="309">
        <f>SUM(E$6:E17)+SUM(H$6:H17)+SUM(K$6:K17)+SUM(N$6:N17)+SUM(Q$6:Q17)+SUM(T$6:T17)</f>
        <v>28534710</v>
      </c>
      <c r="AA17" s="309">
        <f t="shared" si="10"/>
        <v>42115290</v>
      </c>
      <c r="AB17" s="309">
        <f t="shared" si="11"/>
        <v>0</v>
      </c>
      <c r="AC17" s="309">
        <f>MAX(F$6:F17)+MAX(I$6:I17)+MAX(L$6:L17)</f>
        <v>34400000</v>
      </c>
      <c r="AD17" s="309">
        <f>SUM(H$6:H17)+SUM(K$6:K17)+SUM(N$6:N17)</f>
        <v>12493050</v>
      </c>
      <c r="AE17" s="309">
        <f t="shared" si="12"/>
        <v>21906950</v>
      </c>
      <c r="AF17" s="309">
        <f>MAX(C$6:C17)+MAX(O$6:O17)+MAX(R$6:R17)</f>
        <v>36250000</v>
      </c>
      <c r="AG17" s="309">
        <f>SUM(E$6:E17)+SUM(Q$6:Q17)+SUM(T$6:T17)</f>
        <v>16041660</v>
      </c>
      <c r="AH17" s="309">
        <f t="shared" si="13"/>
        <v>20208340</v>
      </c>
      <c r="AI17" s="309">
        <f t="shared" si="14"/>
        <v>70650000</v>
      </c>
      <c r="AJ17" s="309">
        <f t="shared" si="15"/>
        <v>28534710</v>
      </c>
      <c r="AK17" s="309">
        <f t="shared" si="16"/>
        <v>42115290</v>
      </c>
      <c r="AL17" s="309">
        <f t="shared" si="17"/>
        <v>0</v>
      </c>
      <c r="AM17" s="309">
        <f t="shared" si="18"/>
        <v>0</v>
      </c>
      <c r="AN17" s="309">
        <f t="shared" si="19"/>
        <v>0</v>
      </c>
    </row>
    <row r="18" spans="1:40" x14ac:dyDescent="0.35">
      <c r="A18" s="18">
        <v>11</v>
      </c>
      <c r="B18" s="184">
        <v>42338</v>
      </c>
      <c r="C18" s="175">
        <f>MAX(C$6:C17)-SUM(E$6:E17)</f>
        <v>16666670</v>
      </c>
      <c r="D18" s="309">
        <f>IF(C18=0,0,IF(E17=0,MAX(D$6:D17),D17-1))</f>
        <v>50</v>
      </c>
      <c r="E18" s="309">
        <f t="shared" si="0"/>
        <v>333333</v>
      </c>
      <c r="F18" s="175">
        <f>MAX(F$6:F17)-SUM(H$6:H17)</f>
        <v>12337500</v>
      </c>
      <c r="G18" s="309">
        <f>IF(F18=0,0,IF(H17=0,MAX(G$6:G17),G17-1))</f>
        <v>14</v>
      </c>
      <c r="H18" s="309">
        <f t="shared" si="1"/>
        <v>881250</v>
      </c>
      <c r="I18" s="175">
        <f>MAX(I$6:I17)-SUM(K$6:K17)</f>
        <v>6752780</v>
      </c>
      <c r="J18" s="309">
        <f>IF(I18=0,0,IF(K17=0,MAX(J$6:J17),J17-1))</f>
        <v>26</v>
      </c>
      <c r="K18" s="309">
        <f t="shared" si="2"/>
        <v>259722</v>
      </c>
      <c r="L18" s="175">
        <f>MAX(L$6:L17)-SUM(N$6:N17)</f>
        <v>2816670</v>
      </c>
      <c r="M18" s="309">
        <f>IF(L18=0,0,IF(N17=0,MAX(M$6:M17),M17-1))</f>
        <v>26</v>
      </c>
      <c r="N18" s="309">
        <f t="shared" si="3"/>
        <v>108333</v>
      </c>
      <c r="O18" s="175">
        <f>MAX(O$6:O17)-SUM(Q$6:Q17)</f>
        <v>2500000</v>
      </c>
      <c r="P18" s="309">
        <f>IF(O18=0,0,IF(Q17=0,MAX(P$6:P17),P17-1))</f>
        <v>2</v>
      </c>
      <c r="Q18" s="309">
        <f t="shared" si="4"/>
        <v>1250000</v>
      </c>
      <c r="R18" s="175">
        <f>MAX(R$6:R17)-SUM(T$6:T17)</f>
        <v>1041670</v>
      </c>
      <c r="S18" s="309">
        <f>IF(R18=0,0,IF(T17=0,MAX(S$6:S17),S17-1))</f>
        <v>50</v>
      </c>
      <c r="T18" s="309">
        <f t="shared" si="5"/>
        <v>20833</v>
      </c>
      <c r="U18" s="309">
        <f t="shared" si="6"/>
        <v>2853471</v>
      </c>
      <c r="V18" s="309">
        <f t="shared" si="7"/>
        <v>42115290</v>
      </c>
      <c r="W18" s="309">
        <f t="shared" si="8"/>
        <v>2853471</v>
      </c>
      <c r="X18" s="309">
        <f t="shared" si="9"/>
        <v>39261819</v>
      </c>
      <c r="Y18" s="309">
        <f>MAX(C$6:C18)+MAX(F$6:F18)+MAX(I$6:I18)+MAX(L$6:L18)+MAX(O$6:O18)+MAX(R$6:R18)</f>
        <v>70650000</v>
      </c>
      <c r="Z18" s="309">
        <f>SUM(E$6:E18)+SUM(H$6:H18)+SUM(K$6:K18)+SUM(N$6:N18)+SUM(Q$6:Q18)+SUM(T$6:T18)</f>
        <v>31388181</v>
      </c>
      <c r="AA18" s="309">
        <f t="shared" si="10"/>
        <v>39261819</v>
      </c>
      <c r="AB18" s="309">
        <f t="shared" si="11"/>
        <v>0</v>
      </c>
      <c r="AC18" s="309">
        <f>MAX(F$6:F18)+MAX(I$6:I18)+MAX(L$6:L18)</f>
        <v>34400000</v>
      </c>
      <c r="AD18" s="309">
        <f>SUM(H$6:H18)+SUM(K$6:K18)+SUM(N$6:N18)</f>
        <v>13742355</v>
      </c>
      <c r="AE18" s="309">
        <f t="shared" si="12"/>
        <v>20657645</v>
      </c>
      <c r="AF18" s="309">
        <f>MAX(C$6:C18)+MAX(O$6:O18)+MAX(R$6:R18)</f>
        <v>36250000</v>
      </c>
      <c r="AG18" s="309">
        <f>SUM(E$6:E18)+SUM(Q$6:Q18)+SUM(T$6:T18)</f>
        <v>17645826</v>
      </c>
      <c r="AH18" s="309">
        <f t="shared" si="13"/>
        <v>18604174</v>
      </c>
      <c r="AI18" s="309">
        <f t="shared" si="14"/>
        <v>70650000</v>
      </c>
      <c r="AJ18" s="309">
        <f t="shared" si="15"/>
        <v>31388181</v>
      </c>
      <c r="AK18" s="309">
        <f t="shared" si="16"/>
        <v>39261819</v>
      </c>
      <c r="AL18" s="309">
        <f t="shared" si="17"/>
        <v>0</v>
      </c>
      <c r="AM18" s="309">
        <f t="shared" si="18"/>
        <v>0</v>
      </c>
      <c r="AN18" s="309">
        <f t="shared" si="19"/>
        <v>0</v>
      </c>
    </row>
    <row r="19" spans="1:40" x14ac:dyDescent="0.35">
      <c r="A19" s="18">
        <v>12</v>
      </c>
      <c r="B19" s="184">
        <v>42369</v>
      </c>
      <c r="C19" s="175">
        <f>MAX(C$6:C18)-SUM(E$6:E18)</f>
        <v>16333337</v>
      </c>
      <c r="D19" s="309">
        <f>IF(C19=0,0,IF(E18=0,MAX(D$6:D18),D18-1))</f>
        <v>49</v>
      </c>
      <c r="E19" s="309">
        <f t="shared" si="0"/>
        <v>333333</v>
      </c>
      <c r="F19" s="175">
        <f>MAX(F$6:F18)-SUM(H$6:H18)</f>
        <v>11456250</v>
      </c>
      <c r="G19" s="309">
        <f>IF(F19=0,0,IF(H18=0,MAX(G$6:G18),G18-1))</f>
        <v>13</v>
      </c>
      <c r="H19" s="309">
        <f t="shared" si="1"/>
        <v>881250</v>
      </c>
      <c r="I19" s="175">
        <f>MAX(I$6:I18)-SUM(K$6:K18)</f>
        <v>6493058</v>
      </c>
      <c r="J19" s="309">
        <f>IF(I19=0,0,IF(K18=0,MAX(J$6:J18),J18-1))</f>
        <v>25</v>
      </c>
      <c r="K19" s="309">
        <f t="shared" si="2"/>
        <v>259722</v>
      </c>
      <c r="L19" s="175">
        <f>MAX(L$6:L18)-SUM(N$6:N18)</f>
        <v>2708337</v>
      </c>
      <c r="M19" s="309">
        <f>IF(L19=0,0,IF(N18=0,MAX(M$6:M18),M18-1))</f>
        <v>25</v>
      </c>
      <c r="N19" s="309">
        <f t="shared" si="3"/>
        <v>108333</v>
      </c>
      <c r="O19" s="175">
        <f>MAX(O$6:O18)-SUM(Q$6:Q18)</f>
        <v>1250000</v>
      </c>
      <c r="P19" s="309">
        <f>IF(O19=0,0,IF(Q18=0,MAX(P$6:P18),P18-1))</f>
        <v>1</v>
      </c>
      <c r="Q19" s="309">
        <f t="shared" si="4"/>
        <v>1250000</v>
      </c>
      <c r="R19" s="175">
        <f>MAX(R$6:R18)-SUM(T$6:T18)</f>
        <v>1020837</v>
      </c>
      <c r="S19" s="309">
        <f>IF(R19=0,0,IF(T18=0,MAX(S$6:S18),S18-1))</f>
        <v>49</v>
      </c>
      <c r="T19" s="309">
        <f t="shared" si="5"/>
        <v>20833</v>
      </c>
      <c r="U19" s="309">
        <f t="shared" si="6"/>
        <v>2853471</v>
      </c>
      <c r="V19" s="309">
        <f t="shared" si="7"/>
        <v>39261819</v>
      </c>
      <c r="W19" s="309">
        <f t="shared" si="8"/>
        <v>2853471</v>
      </c>
      <c r="X19" s="309">
        <f t="shared" si="9"/>
        <v>36408348</v>
      </c>
      <c r="Y19" s="309">
        <f>MAX(C$6:C19)+MAX(F$6:F19)+MAX(I$6:I19)+MAX(L$6:L19)+MAX(O$6:O19)+MAX(R$6:R19)</f>
        <v>70650000</v>
      </c>
      <c r="Z19" s="309">
        <f>SUM(E$6:E19)+SUM(H$6:H19)+SUM(K$6:K19)+SUM(N$6:N19)+SUM(Q$6:Q19)+SUM(T$6:T19)</f>
        <v>34241652</v>
      </c>
      <c r="AA19" s="309">
        <f t="shared" si="10"/>
        <v>36408348</v>
      </c>
      <c r="AB19" s="309">
        <f t="shared" si="11"/>
        <v>0</v>
      </c>
      <c r="AC19" s="309">
        <f>MAX(F$6:F19)+MAX(I$6:I19)+MAX(L$6:L19)</f>
        <v>34400000</v>
      </c>
      <c r="AD19" s="309">
        <f>SUM(H$6:H19)+SUM(K$6:K19)+SUM(N$6:N19)</f>
        <v>14991660</v>
      </c>
      <c r="AE19" s="309">
        <f t="shared" si="12"/>
        <v>19408340</v>
      </c>
      <c r="AF19" s="309">
        <f>MAX(C$6:C19)+MAX(O$6:O19)+MAX(R$6:R19)</f>
        <v>36250000</v>
      </c>
      <c r="AG19" s="309">
        <f>SUM(E$6:E19)+SUM(Q$6:Q19)+SUM(T$6:T19)</f>
        <v>19249992</v>
      </c>
      <c r="AH19" s="309">
        <f t="shared" si="13"/>
        <v>17000008</v>
      </c>
      <c r="AI19" s="309">
        <f t="shared" si="14"/>
        <v>70650000</v>
      </c>
      <c r="AJ19" s="309">
        <f t="shared" si="15"/>
        <v>34241652</v>
      </c>
      <c r="AK19" s="309">
        <f t="shared" si="16"/>
        <v>36408348</v>
      </c>
      <c r="AL19" s="309">
        <f t="shared" si="17"/>
        <v>0</v>
      </c>
      <c r="AM19" s="309">
        <f t="shared" si="18"/>
        <v>0</v>
      </c>
      <c r="AN19" s="309">
        <f t="shared" si="19"/>
        <v>0</v>
      </c>
    </row>
    <row r="20" spans="1:40" x14ac:dyDescent="0.35">
      <c r="A20" s="18">
        <v>13</v>
      </c>
      <c r="B20" s="184">
        <v>42400</v>
      </c>
      <c r="C20" s="175">
        <f>MAX(C$6:C19)-SUM(E$6:E19)</f>
        <v>16000004</v>
      </c>
      <c r="D20" s="309">
        <f>IF(C20=0,0,IF(E19=0,MAX(D$6:D19),D19-1))</f>
        <v>48</v>
      </c>
      <c r="E20" s="309">
        <f t="shared" si="0"/>
        <v>333333</v>
      </c>
      <c r="F20" s="175">
        <f>MAX(F$6:F19)-SUM(H$6:H19)</f>
        <v>10575000</v>
      </c>
      <c r="G20" s="309">
        <f>IF(F20=0,0,IF(H19=0,MAX(G$6:G19),G19-1))</f>
        <v>12</v>
      </c>
      <c r="H20" s="309">
        <f t="shared" si="1"/>
        <v>881250</v>
      </c>
      <c r="I20" s="175">
        <f>MAX(I$6:I19)-SUM(K$6:K19)</f>
        <v>6233336</v>
      </c>
      <c r="J20" s="309">
        <f>IF(I20=0,0,IF(K19=0,MAX(J$6:J19),J19-1))</f>
        <v>24</v>
      </c>
      <c r="K20" s="309">
        <f t="shared" si="2"/>
        <v>259722</v>
      </c>
      <c r="L20" s="175">
        <f>MAX(L$6:L19)-SUM(N$6:N19)</f>
        <v>2600004</v>
      </c>
      <c r="M20" s="309">
        <f>IF(L20=0,0,IF(N19=0,MAX(M$6:M19),M19-1))</f>
        <v>24</v>
      </c>
      <c r="N20" s="309">
        <f t="shared" si="3"/>
        <v>108334</v>
      </c>
      <c r="O20" s="175">
        <f>MAX(O$6:O19)-SUM(Q$6:Q19)</f>
        <v>0</v>
      </c>
      <c r="P20" s="309">
        <f>IF(O20=0,0,IF(Q19=0,MAX(P$6:P19),P19-1))</f>
        <v>0</v>
      </c>
      <c r="Q20" s="309">
        <f t="shared" si="4"/>
        <v>0</v>
      </c>
      <c r="R20" s="175">
        <f>MAX(R$6:R19)-SUM(T$6:T19)</f>
        <v>1000004</v>
      </c>
      <c r="S20" s="309">
        <f>IF(R20=0,0,IF(T19=0,MAX(S$6:S19),S19-1))</f>
        <v>48</v>
      </c>
      <c r="T20" s="309">
        <f t="shared" si="5"/>
        <v>20833</v>
      </c>
      <c r="U20" s="309">
        <f t="shared" si="6"/>
        <v>1603472</v>
      </c>
      <c r="V20" s="309">
        <f t="shared" si="7"/>
        <v>36408348</v>
      </c>
      <c r="W20" s="309">
        <f t="shared" si="8"/>
        <v>1603472</v>
      </c>
      <c r="X20" s="309">
        <f t="shared" si="9"/>
        <v>34804876</v>
      </c>
      <c r="Y20" s="309">
        <f>MAX(C$6:C20)+MAX(F$6:F20)+MAX(I$6:I20)+MAX(L$6:L20)+MAX(O$6:O20)+MAX(R$6:R20)</f>
        <v>70650000</v>
      </c>
      <c r="Z20" s="309">
        <f>SUM(E$6:E20)+SUM(H$6:H20)+SUM(K$6:K20)+SUM(N$6:N20)+SUM(Q$6:Q20)+SUM(T$6:T20)</f>
        <v>35845124</v>
      </c>
      <c r="AA20" s="309">
        <f t="shared" si="10"/>
        <v>34804876</v>
      </c>
      <c r="AB20" s="309">
        <f t="shared" si="11"/>
        <v>0</v>
      </c>
      <c r="AC20" s="309">
        <f>MAX(F$6:F20)+MAX(I$6:I20)+MAX(L$6:L20)</f>
        <v>34400000</v>
      </c>
      <c r="AD20" s="309">
        <f>SUM(H$6:H20)+SUM(K$6:K20)+SUM(N$6:N20)</f>
        <v>16240966</v>
      </c>
      <c r="AE20" s="309">
        <f t="shared" si="12"/>
        <v>18159034</v>
      </c>
      <c r="AF20" s="309">
        <f>MAX(C$6:C20)+MAX(O$6:O20)+MAX(R$6:R20)</f>
        <v>36250000</v>
      </c>
      <c r="AG20" s="309">
        <f>SUM(E$6:E20)+SUM(Q$6:Q20)+SUM(T$6:T20)</f>
        <v>19604158</v>
      </c>
      <c r="AH20" s="309">
        <f t="shared" si="13"/>
        <v>16645842</v>
      </c>
      <c r="AI20" s="309">
        <f t="shared" si="14"/>
        <v>70650000</v>
      </c>
      <c r="AJ20" s="309">
        <f t="shared" si="15"/>
        <v>35845124</v>
      </c>
      <c r="AK20" s="309">
        <f t="shared" si="16"/>
        <v>34804876</v>
      </c>
      <c r="AL20" s="309">
        <f t="shared" si="17"/>
        <v>0</v>
      </c>
      <c r="AM20" s="309">
        <f t="shared" si="18"/>
        <v>0</v>
      </c>
      <c r="AN20" s="309">
        <f t="shared" si="19"/>
        <v>0</v>
      </c>
    </row>
    <row r="21" spans="1:40" x14ac:dyDescent="0.35">
      <c r="A21" s="18">
        <v>14</v>
      </c>
      <c r="B21" s="184">
        <v>42429</v>
      </c>
      <c r="C21" s="175">
        <f>MAX(C$6:C20)-SUM(E$6:E20)</f>
        <v>15666671</v>
      </c>
      <c r="D21" s="309">
        <f>IF(C21=0,0,IF(E20=0,MAX(D$6:D20),D20-1))</f>
        <v>47</v>
      </c>
      <c r="E21" s="309">
        <f t="shared" si="0"/>
        <v>333333</v>
      </c>
      <c r="F21" s="175">
        <f>MAX(F$6:F20)-SUM(H$6:H20)</f>
        <v>9693750</v>
      </c>
      <c r="G21" s="309">
        <f>IF(F21=0,0,IF(H20=0,MAX(G$6:G20),G20-1))</f>
        <v>11</v>
      </c>
      <c r="H21" s="309">
        <f t="shared" si="1"/>
        <v>881250</v>
      </c>
      <c r="I21" s="175">
        <f>MAX(I$6:I20)-SUM(K$6:K20)</f>
        <v>5973614</v>
      </c>
      <c r="J21" s="309">
        <f>IF(I21=0,0,IF(K20=0,MAX(J$6:J20),J20-1))</f>
        <v>23</v>
      </c>
      <c r="K21" s="309">
        <f t="shared" si="2"/>
        <v>259722</v>
      </c>
      <c r="L21" s="175">
        <f>MAX(L$6:L20)-SUM(N$6:N20)</f>
        <v>2491670</v>
      </c>
      <c r="M21" s="309">
        <f>IF(L21=0,0,IF(N20=0,MAX(M$6:M20),M20-1))</f>
        <v>23</v>
      </c>
      <c r="N21" s="309">
        <f t="shared" si="3"/>
        <v>108333</v>
      </c>
      <c r="O21" s="175">
        <f>MAX(O$6:O20)-SUM(Q$6:Q20)</f>
        <v>0</v>
      </c>
      <c r="P21" s="309">
        <f>IF(O21=0,0,IF(Q20=0,MAX(P$6:P20),P20-1))</f>
        <v>0</v>
      </c>
      <c r="Q21" s="309">
        <f t="shared" si="4"/>
        <v>0</v>
      </c>
      <c r="R21" s="175">
        <f>MAX(R$6:R20)-SUM(T$6:T20)</f>
        <v>979171</v>
      </c>
      <c r="S21" s="309">
        <f>IF(R21=0,0,IF(T20=0,MAX(S$6:S20),S20-1))</f>
        <v>47</v>
      </c>
      <c r="T21" s="309">
        <f t="shared" si="5"/>
        <v>20833</v>
      </c>
      <c r="U21" s="309">
        <f t="shared" si="6"/>
        <v>1603471</v>
      </c>
      <c r="V21" s="309">
        <f t="shared" si="7"/>
        <v>34804876</v>
      </c>
      <c r="W21" s="309">
        <f t="shared" si="8"/>
        <v>1603471</v>
      </c>
      <c r="X21" s="309">
        <f t="shared" si="9"/>
        <v>33201405</v>
      </c>
      <c r="Y21" s="309">
        <f>MAX(C$6:C21)+MAX(F$6:F21)+MAX(I$6:I21)+MAX(L$6:L21)+MAX(O$6:O21)+MAX(R$6:R21)</f>
        <v>70650000</v>
      </c>
      <c r="Z21" s="309">
        <f>SUM(E$6:E21)+SUM(H$6:H21)+SUM(K$6:K21)+SUM(N$6:N21)+SUM(Q$6:Q21)+SUM(T$6:T21)</f>
        <v>37448595</v>
      </c>
      <c r="AA21" s="309">
        <f t="shared" si="10"/>
        <v>33201405</v>
      </c>
      <c r="AB21" s="309">
        <f t="shared" si="11"/>
        <v>0</v>
      </c>
      <c r="AC21" s="309">
        <f>MAX(F$6:F21)+MAX(I$6:I21)+MAX(L$6:L21)</f>
        <v>34400000</v>
      </c>
      <c r="AD21" s="309">
        <f>SUM(H$6:H21)+SUM(K$6:K21)+SUM(N$6:N21)</f>
        <v>17490271</v>
      </c>
      <c r="AE21" s="309">
        <f t="shared" si="12"/>
        <v>16909729</v>
      </c>
      <c r="AF21" s="309">
        <f>MAX(C$6:C21)+MAX(O$6:O21)+MAX(R$6:R21)</f>
        <v>36250000</v>
      </c>
      <c r="AG21" s="309">
        <f>SUM(E$6:E21)+SUM(Q$6:Q21)+SUM(T$6:T21)</f>
        <v>19958324</v>
      </c>
      <c r="AH21" s="309">
        <f t="shared" si="13"/>
        <v>16291676</v>
      </c>
      <c r="AI21" s="309">
        <f t="shared" si="14"/>
        <v>70650000</v>
      </c>
      <c r="AJ21" s="309">
        <f t="shared" si="15"/>
        <v>37448595</v>
      </c>
      <c r="AK21" s="309">
        <f t="shared" si="16"/>
        <v>33201405</v>
      </c>
      <c r="AL21" s="309">
        <f t="shared" si="17"/>
        <v>0</v>
      </c>
      <c r="AM21" s="309">
        <f t="shared" si="18"/>
        <v>0</v>
      </c>
      <c r="AN21" s="309">
        <f t="shared" si="19"/>
        <v>0</v>
      </c>
    </row>
    <row r="22" spans="1:40" x14ac:dyDescent="0.35">
      <c r="A22" s="18">
        <v>15</v>
      </c>
      <c r="B22" s="184">
        <v>42460</v>
      </c>
      <c r="C22" s="175">
        <f>MAX(C$6:C21)-SUM(E$6:E21)</f>
        <v>15333338</v>
      </c>
      <c r="D22" s="309">
        <f>IF(C22=0,0,IF(E21=0,MAX(D$6:D21),D21-1))</f>
        <v>46</v>
      </c>
      <c r="E22" s="309">
        <f t="shared" si="0"/>
        <v>333333</v>
      </c>
      <c r="F22" s="175">
        <f>MAX(F$6:F21)-SUM(H$6:H21)</f>
        <v>8812500</v>
      </c>
      <c r="G22" s="309">
        <f>IF(F22=0,0,IF(H21=0,MAX(G$6:G21),G21-1))</f>
        <v>10</v>
      </c>
      <c r="H22" s="309">
        <f t="shared" si="1"/>
        <v>881250</v>
      </c>
      <c r="I22" s="175">
        <f>MAX(I$6:I21)-SUM(K$6:K21)</f>
        <v>5713892</v>
      </c>
      <c r="J22" s="309">
        <f>IF(I22=0,0,IF(K21=0,MAX(J$6:J21),J21-1))</f>
        <v>22</v>
      </c>
      <c r="K22" s="309">
        <f t="shared" si="2"/>
        <v>259722</v>
      </c>
      <c r="L22" s="175">
        <f>MAX(L$6:L21)-SUM(N$6:N21)</f>
        <v>2383337</v>
      </c>
      <c r="M22" s="309">
        <f>IF(L22=0,0,IF(N21=0,MAX(M$6:M21),M21-1))</f>
        <v>22</v>
      </c>
      <c r="N22" s="309">
        <f t="shared" si="3"/>
        <v>108334</v>
      </c>
      <c r="O22" s="175">
        <f>MAX(O$6:O21)-SUM(Q$6:Q21)</f>
        <v>0</v>
      </c>
      <c r="P22" s="309">
        <f>IF(O22=0,0,IF(Q21=0,MAX(P$6:P21),P21-1))</f>
        <v>0</v>
      </c>
      <c r="Q22" s="309">
        <f t="shared" si="4"/>
        <v>0</v>
      </c>
      <c r="R22" s="175">
        <f>MAX(R$6:R21)-SUM(T$6:T21)</f>
        <v>958338</v>
      </c>
      <c r="S22" s="309">
        <f>IF(R22=0,0,IF(T21=0,MAX(S$6:S21),S21-1))</f>
        <v>46</v>
      </c>
      <c r="T22" s="309">
        <f t="shared" si="5"/>
        <v>20833</v>
      </c>
      <c r="U22" s="309">
        <f t="shared" si="6"/>
        <v>1603472</v>
      </c>
      <c r="V22" s="309">
        <f t="shared" si="7"/>
        <v>33201405</v>
      </c>
      <c r="W22" s="309">
        <f t="shared" si="8"/>
        <v>1603472</v>
      </c>
      <c r="X22" s="309">
        <f t="shared" si="9"/>
        <v>31597933</v>
      </c>
      <c r="Y22" s="309">
        <f>MAX(C$6:C22)+MAX(F$6:F22)+MAX(I$6:I22)+MAX(L$6:L22)+MAX(O$6:O22)+MAX(R$6:R22)</f>
        <v>70650000</v>
      </c>
      <c r="Z22" s="309">
        <f>SUM(E$6:E22)+SUM(H$6:H22)+SUM(K$6:K22)+SUM(N$6:N22)+SUM(Q$6:Q22)+SUM(T$6:T22)</f>
        <v>39052067</v>
      </c>
      <c r="AA22" s="309">
        <f t="shared" si="10"/>
        <v>31597933</v>
      </c>
      <c r="AB22" s="309">
        <f t="shared" si="11"/>
        <v>0</v>
      </c>
      <c r="AC22" s="309">
        <f>MAX(F$6:F22)+MAX(I$6:I22)+MAX(L$6:L22)</f>
        <v>34400000</v>
      </c>
      <c r="AD22" s="309">
        <f>SUM(H$6:H22)+SUM(K$6:K22)+SUM(N$6:N22)</f>
        <v>18739577</v>
      </c>
      <c r="AE22" s="309">
        <f t="shared" si="12"/>
        <v>15660423</v>
      </c>
      <c r="AF22" s="309">
        <f>MAX(C$6:C22)+MAX(O$6:O22)+MAX(R$6:R22)</f>
        <v>36250000</v>
      </c>
      <c r="AG22" s="309">
        <f>SUM(E$6:E22)+SUM(Q$6:Q22)+SUM(T$6:T22)</f>
        <v>20312490</v>
      </c>
      <c r="AH22" s="309">
        <f t="shared" si="13"/>
        <v>15937510</v>
      </c>
      <c r="AI22" s="309">
        <f t="shared" si="14"/>
        <v>70650000</v>
      </c>
      <c r="AJ22" s="309">
        <f t="shared" si="15"/>
        <v>39052067</v>
      </c>
      <c r="AK22" s="309">
        <f t="shared" si="16"/>
        <v>31597933</v>
      </c>
      <c r="AL22" s="309">
        <f t="shared" si="17"/>
        <v>0</v>
      </c>
      <c r="AM22" s="309">
        <f t="shared" si="18"/>
        <v>0</v>
      </c>
      <c r="AN22" s="309">
        <f t="shared" si="19"/>
        <v>0</v>
      </c>
    </row>
    <row r="23" spans="1:40" x14ac:dyDescent="0.35">
      <c r="A23" s="18">
        <v>16</v>
      </c>
      <c r="B23" s="184">
        <v>42490</v>
      </c>
      <c r="C23" s="175">
        <f>MAX(C$6:C22)-SUM(E$6:E22)</f>
        <v>15000005</v>
      </c>
      <c r="D23" s="309">
        <f>IF(C23=0,0,IF(E22=0,MAX(D$6:D22),D22-1))</f>
        <v>45</v>
      </c>
      <c r="E23" s="309">
        <f t="shared" si="0"/>
        <v>333333</v>
      </c>
      <c r="F23" s="175">
        <f>MAX(F$6:F22)-SUM(H$6:H22)</f>
        <v>7931250</v>
      </c>
      <c r="G23" s="309">
        <f>IF(F23=0,0,IF(H22=0,MAX(G$6:G22),G22-1))</f>
        <v>9</v>
      </c>
      <c r="H23" s="309">
        <f t="shared" si="1"/>
        <v>881250</v>
      </c>
      <c r="I23" s="175">
        <f>MAX(I$6:I22)-SUM(K$6:K22)</f>
        <v>5454170</v>
      </c>
      <c r="J23" s="309">
        <f>IF(I23=0,0,IF(K22=0,MAX(J$6:J22),J22-1))</f>
        <v>21</v>
      </c>
      <c r="K23" s="309">
        <f t="shared" si="2"/>
        <v>259722</v>
      </c>
      <c r="L23" s="175">
        <f>MAX(L$6:L22)-SUM(N$6:N22)</f>
        <v>2275003</v>
      </c>
      <c r="M23" s="309">
        <f>IF(L23=0,0,IF(N22=0,MAX(M$6:M22),M22-1))</f>
        <v>21</v>
      </c>
      <c r="N23" s="309">
        <f t="shared" si="3"/>
        <v>108333</v>
      </c>
      <c r="O23" s="175">
        <f>MAX(O$6:O22)-SUM(Q$6:Q22)</f>
        <v>0</v>
      </c>
      <c r="P23" s="309">
        <f>IF(O23=0,0,IF(Q22=0,MAX(P$6:P22),P22-1))</f>
        <v>0</v>
      </c>
      <c r="Q23" s="309">
        <f t="shared" si="4"/>
        <v>0</v>
      </c>
      <c r="R23" s="175">
        <f>MAX(R$6:R22)-SUM(T$6:T22)</f>
        <v>937505</v>
      </c>
      <c r="S23" s="309">
        <f>IF(R23=0,0,IF(T22=0,MAX(S$6:S22),S22-1))</f>
        <v>45</v>
      </c>
      <c r="T23" s="309">
        <f t="shared" si="5"/>
        <v>20833</v>
      </c>
      <c r="U23" s="309">
        <f t="shared" si="6"/>
        <v>1603471</v>
      </c>
      <c r="V23" s="309">
        <f t="shared" si="7"/>
        <v>31597933</v>
      </c>
      <c r="W23" s="309">
        <f t="shared" si="8"/>
        <v>1603471</v>
      </c>
      <c r="X23" s="309">
        <f t="shared" si="9"/>
        <v>29994462</v>
      </c>
      <c r="Y23" s="309">
        <f>MAX(C$6:C23)+MAX(F$6:F23)+MAX(I$6:I23)+MAX(L$6:L23)+MAX(O$6:O23)+MAX(R$6:R23)</f>
        <v>70650000</v>
      </c>
      <c r="Z23" s="309">
        <f>SUM(E$6:E23)+SUM(H$6:H23)+SUM(K$6:K23)+SUM(N$6:N23)+SUM(Q$6:Q23)+SUM(T$6:T23)</f>
        <v>40655538</v>
      </c>
      <c r="AA23" s="309">
        <f t="shared" si="10"/>
        <v>29994462</v>
      </c>
      <c r="AB23" s="309">
        <f t="shared" si="11"/>
        <v>0</v>
      </c>
      <c r="AC23" s="309">
        <f>MAX(F$6:F23)+MAX(I$6:I23)+MAX(L$6:L23)</f>
        <v>34400000</v>
      </c>
      <c r="AD23" s="309">
        <f>SUM(H$6:H23)+SUM(K$6:K23)+SUM(N$6:N23)</f>
        <v>19988882</v>
      </c>
      <c r="AE23" s="309">
        <f t="shared" si="12"/>
        <v>14411118</v>
      </c>
      <c r="AF23" s="309">
        <f>MAX(C$6:C23)+MAX(O$6:O23)+MAX(R$6:R23)</f>
        <v>36250000</v>
      </c>
      <c r="AG23" s="309">
        <f>SUM(E$6:E23)+SUM(Q$6:Q23)+SUM(T$6:T23)</f>
        <v>20666656</v>
      </c>
      <c r="AH23" s="309">
        <f t="shared" si="13"/>
        <v>15583344</v>
      </c>
      <c r="AI23" s="309">
        <f t="shared" si="14"/>
        <v>70650000</v>
      </c>
      <c r="AJ23" s="309">
        <f t="shared" si="15"/>
        <v>40655538</v>
      </c>
      <c r="AK23" s="309">
        <f t="shared" si="16"/>
        <v>29994462</v>
      </c>
      <c r="AL23" s="309">
        <f t="shared" si="17"/>
        <v>0</v>
      </c>
      <c r="AM23" s="309">
        <f t="shared" ref="AM23:AM67" si="20">AJ23-Z23</f>
        <v>0</v>
      </c>
      <c r="AN23" s="309">
        <f t="shared" ref="AN23:AN67" si="21">AK23-AA23</f>
        <v>0</v>
      </c>
    </row>
    <row r="24" spans="1:40" x14ac:dyDescent="0.35">
      <c r="A24" s="18">
        <v>17</v>
      </c>
      <c r="B24" s="184">
        <v>42521</v>
      </c>
      <c r="C24" s="175">
        <f>MAX(C$6:C23)-SUM(E$6:E23)</f>
        <v>14666672</v>
      </c>
      <c r="D24" s="309">
        <f>IF(C24=0,0,IF(E23=0,MAX(D$6:D23),D23-1))</f>
        <v>44</v>
      </c>
      <c r="E24" s="309">
        <f t="shared" si="0"/>
        <v>333333</v>
      </c>
      <c r="F24" s="175">
        <f>MAX(F$6:F23)-SUM(H$6:H23)</f>
        <v>7050000</v>
      </c>
      <c r="G24" s="309">
        <f>IF(F24=0,0,IF(H23=0,MAX(G$6:G23),G23-1))</f>
        <v>8</v>
      </c>
      <c r="H24" s="309">
        <f t="shared" si="1"/>
        <v>881250</v>
      </c>
      <c r="I24" s="175">
        <f>MAX(I$6:I23)-SUM(K$6:K23)</f>
        <v>5194448</v>
      </c>
      <c r="J24" s="309">
        <f>IF(I24=0,0,IF(K23=0,MAX(J$6:J23),J23-1))</f>
        <v>20</v>
      </c>
      <c r="K24" s="309">
        <f t="shared" si="2"/>
        <v>259722</v>
      </c>
      <c r="L24" s="175">
        <f>MAX(L$6:L23)-SUM(N$6:N23)</f>
        <v>2166670</v>
      </c>
      <c r="M24" s="309">
        <f>IF(L24=0,0,IF(N23=0,MAX(M$6:M23),M23-1))</f>
        <v>20</v>
      </c>
      <c r="N24" s="309">
        <f t="shared" si="3"/>
        <v>108334</v>
      </c>
      <c r="O24" s="175">
        <f>MAX(O$6:O23)-SUM(Q$6:Q23)</f>
        <v>0</v>
      </c>
      <c r="P24" s="309">
        <f>IF(O24=0,0,IF(Q23=0,MAX(P$6:P23),P23-1))</f>
        <v>0</v>
      </c>
      <c r="Q24" s="309">
        <f t="shared" si="4"/>
        <v>0</v>
      </c>
      <c r="R24" s="175">
        <f>MAX(R$6:R23)-SUM(T$6:T23)</f>
        <v>916672</v>
      </c>
      <c r="S24" s="309">
        <f>IF(R24=0,0,IF(T23=0,MAX(S$6:S23),S23-1))</f>
        <v>44</v>
      </c>
      <c r="T24" s="309">
        <f t="shared" si="5"/>
        <v>20833</v>
      </c>
      <c r="U24" s="309">
        <f t="shared" si="6"/>
        <v>1603472</v>
      </c>
      <c r="V24" s="309">
        <f t="shared" si="7"/>
        <v>29994462</v>
      </c>
      <c r="W24" s="309">
        <f t="shared" si="8"/>
        <v>1603472</v>
      </c>
      <c r="X24" s="309">
        <f t="shared" si="9"/>
        <v>28390990</v>
      </c>
      <c r="Y24" s="309">
        <f>MAX(C$6:C24)+MAX(F$6:F24)+MAX(I$6:I24)+MAX(L$6:L24)+MAX(O$6:O24)+MAX(R$6:R24)</f>
        <v>70650000</v>
      </c>
      <c r="Z24" s="309">
        <f>SUM(E$6:E24)+SUM(H$6:H24)+SUM(K$6:K24)+SUM(N$6:N24)+SUM(Q$6:Q24)+SUM(T$6:T24)</f>
        <v>42259010</v>
      </c>
      <c r="AA24" s="309">
        <f t="shared" si="10"/>
        <v>28390990</v>
      </c>
      <c r="AB24" s="309">
        <f t="shared" si="11"/>
        <v>0</v>
      </c>
      <c r="AC24" s="309">
        <f>MAX(F$6:F24)+MAX(I$6:I24)+MAX(L$6:L24)</f>
        <v>34400000</v>
      </c>
      <c r="AD24" s="309">
        <f>SUM(H$6:H24)+SUM(K$6:K24)+SUM(N$6:N24)</f>
        <v>21238188</v>
      </c>
      <c r="AE24" s="309">
        <f t="shared" si="12"/>
        <v>13161812</v>
      </c>
      <c r="AF24" s="309">
        <f>MAX(C$6:C24)+MAX(O$6:O24)+MAX(R$6:R24)</f>
        <v>36250000</v>
      </c>
      <c r="AG24" s="309">
        <f>SUM(E$6:E24)+SUM(Q$6:Q24)+SUM(T$6:T24)</f>
        <v>21020822</v>
      </c>
      <c r="AH24" s="309">
        <f t="shared" si="13"/>
        <v>15229178</v>
      </c>
      <c r="AI24" s="309">
        <f t="shared" si="14"/>
        <v>70650000</v>
      </c>
      <c r="AJ24" s="309">
        <f t="shared" si="15"/>
        <v>42259010</v>
      </c>
      <c r="AK24" s="309">
        <f t="shared" si="16"/>
        <v>28390990</v>
      </c>
      <c r="AL24" s="309">
        <f t="shared" si="17"/>
        <v>0</v>
      </c>
      <c r="AM24" s="309">
        <f t="shared" si="20"/>
        <v>0</v>
      </c>
      <c r="AN24" s="309">
        <f t="shared" si="21"/>
        <v>0</v>
      </c>
    </row>
    <row r="25" spans="1:40" x14ac:dyDescent="0.35">
      <c r="A25" s="18">
        <v>18</v>
      </c>
      <c r="B25" s="184">
        <v>42551</v>
      </c>
      <c r="C25" s="175">
        <f>MAX(C$6:C24)-SUM(E$6:E24)</f>
        <v>14333339</v>
      </c>
      <c r="D25" s="309">
        <f>IF(C25=0,0,IF(E24=0,MAX(D$6:D24),D24-1))</f>
        <v>43</v>
      </c>
      <c r="E25" s="309">
        <f t="shared" si="0"/>
        <v>333333</v>
      </c>
      <c r="F25" s="175">
        <f>MAX(F$6:F24)-SUM(H$6:H24)</f>
        <v>6168750</v>
      </c>
      <c r="G25" s="309">
        <f>IF(F25=0,0,IF(H24=0,MAX(G$6:G24),G24-1))</f>
        <v>7</v>
      </c>
      <c r="H25" s="309">
        <f t="shared" si="1"/>
        <v>881250</v>
      </c>
      <c r="I25" s="175">
        <f>MAX(I$6:I24)-SUM(K$6:K24)</f>
        <v>4934726</v>
      </c>
      <c r="J25" s="309">
        <f>IF(I25=0,0,IF(K24=0,MAX(J$6:J24),J24-1))</f>
        <v>19</v>
      </c>
      <c r="K25" s="309">
        <f t="shared" si="2"/>
        <v>259722</v>
      </c>
      <c r="L25" s="175">
        <f>MAX(L$6:L24)-SUM(N$6:N24)</f>
        <v>2058336</v>
      </c>
      <c r="M25" s="309">
        <f>IF(L25=0,0,IF(N24=0,MAX(M$6:M24),M24-1))</f>
        <v>19</v>
      </c>
      <c r="N25" s="309">
        <f t="shared" si="3"/>
        <v>108333</v>
      </c>
      <c r="O25" s="175">
        <f>MAX(O$6:O24)-SUM(Q$6:Q24)</f>
        <v>0</v>
      </c>
      <c r="P25" s="309">
        <f>IF(O25=0,0,IF(Q24=0,MAX(P$6:P24),P24-1))</f>
        <v>0</v>
      </c>
      <c r="Q25" s="309">
        <f t="shared" si="4"/>
        <v>0</v>
      </c>
      <c r="R25" s="175">
        <f>MAX(R$6:R24)-SUM(T$6:T24)</f>
        <v>895839</v>
      </c>
      <c r="S25" s="309">
        <f>IF(R25=0,0,IF(T24=0,MAX(S$6:S24),S24-1))</f>
        <v>43</v>
      </c>
      <c r="T25" s="309">
        <f t="shared" si="5"/>
        <v>20833</v>
      </c>
      <c r="U25" s="309">
        <f t="shared" si="6"/>
        <v>1603471</v>
      </c>
      <c r="V25" s="309">
        <f t="shared" si="7"/>
        <v>28390990</v>
      </c>
      <c r="W25" s="309">
        <f t="shared" si="8"/>
        <v>1603471</v>
      </c>
      <c r="X25" s="309">
        <f t="shared" si="9"/>
        <v>26787519</v>
      </c>
      <c r="Y25" s="309">
        <f>MAX(C$6:C25)+MAX(F$6:F25)+MAX(I$6:I25)+MAX(L$6:L25)+MAX(O$6:O25)+MAX(R$6:R25)</f>
        <v>70650000</v>
      </c>
      <c r="Z25" s="309">
        <f>SUM(E$6:E25)+SUM(H$6:H25)+SUM(K$6:K25)+SUM(N$6:N25)+SUM(Q$6:Q25)+SUM(T$6:T25)</f>
        <v>43862481</v>
      </c>
      <c r="AA25" s="309">
        <f t="shared" si="10"/>
        <v>26787519</v>
      </c>
      <c r="AB25" s="309">
        <f t="shared" si="11"/>
        <v>0</v>
      </c>
      <c r="AC25" s="309">
        <f>MAX(F$6:F25)+MAX(I$6:I25)+MAX(L$6:L25)</f>
        <v>34400000</v>
      </c>
      <c r="AD25" s="309">
        <f>SUM(H$6:H25)+SUM(K$6:K25)+SUM(N$6:N25)</f>
        <v>22487493</v>
      </c>
      <c r="AE25" s="309">
        <f t="shared" si="12"/>
        <v>11912507</v>
      </c>
      <c r="AF25" s="309">
        <f>MAX(C$6:C25)+MAX(O$6:O25)+MAX(R$6:R25)</f>
        <v>36250000</v>
      </c>
      <c r="AG25" s="309">
        <f>SUM(E$6:E25)+SUM(Q$6:Q25)+SUM(T$6:T25)</f>
        <v>21374988</v>
      </c>
      <c r="AH25" s="309">
        <f t="shared" si="13"/>
        <v>14875012</v>
      </c>
      <c r="AI25" s="309">
        <f t="shared" si="14"/>
        <v>70650000</v>
      </c>
      <c r="AJ25" s="309">
        <f t="shared" si="15"/>
        <v>43862481</v>
      </c>
      <c r="AK25" s="309">
        <f t="shared" si="16"/>
        <v>26787519</v>
      </c>
      <c r="AL25" s="309">
        <f t="shared" si="17"/>
        <v>0</v>
      </c>
      <c r="AM25" s="309">
        <f t="shared" si="20"/>
        <v>0</v>
      </c>
      <c r="AN25" s="309">
        <f t="shared" si="21"/>
        <v>0</v>
      </c>
    </row>
    <row r="26" spans="1:40" x14ac:dyDescent="0.35">
      <c r="A26" s="18">
        <v>19</v>
      </c>
      <c r="B26" s="184">
        <v>42582</v>
      </c>
      <c r="C26" s="175">
        <f>MAX(C$6:C25)-SUM(E$6:E25)</f>
        <v>14000006</v>
      </c>
      <c r="D26" s="309">
        <f>IF(C26=0,0,IF(E25=0,MAX(D$6:D25),D25-1))</f>
        <v>42</v>
      </c>
      <c r="E26" s="309">
        <f t="shared" si="0"/>
        <v>333333</v>
      </c>
      <c r="F26" s="175">
        <f>MAX(F$6:F25)-SUM(H$6:H25)</f>
        <v>5287500</v>
      </c>
      <c r="G26" s="309">
        <f>IF(F26=0,0,IF(H25=0,MAX(G$6:G25),G25-1))</f>
        <v>6</v>
      </c>
      <c r="H26" s="309">
        <f t="shared" si="1"/>
        <v>881250</v>
      </c>
      <c r="I26" s="175">
        <f>MAX(I$6:I25)-SUM(K$6:K25)</f>
        <v>4675004</v>
      </c>
      <c r="J26" s="309">
        <f>IF(I26=0,0,IF(K25=0,MAX(J$6:J25),J25-1))</f>
        <v>18</v>
      </c>
      <c r="K26" s="309">
        <f t="shared" si="2"/>
        <v>259722</v>
      </c>
      <c r="L26" s="175">
        <f>MAX(L$6:L25)-SUM(N$6:N25)</f>
        <v>1950003</v>
      </c>
      <c r="M26" s="309">
        <f>IF(L26=0,0,IF(N25=0,MAX(M$6:M25),M25-1))</f>
        <v>18</v>
      </c>
      <c r="N26" s="309">
        <f t="shared" si="3"/>
        <v>108334</v>
      </c>
      <c r="O26" s="175">
        <f>MAX(O$6:O25)-SUM(Q$6:Q25)</f>
        <v>0</v>
      </c>
      <c r="P26" s="309">
        <f>IF(O26=0,0,IF(Q25=0,MAX(P$6:P25),P25-1))</f>
        <v>0</v>
      </c>
      <c r="Q26" s="309">
        <f t="shared" si="4"/>
        <v>0</v>
      </c>
      <c r="R26" s="175">
        <f>MAX(R$6:R25)-SUM(T$6:T25)</f>
        <v>875006</v>
      </c>
      <c r="S26" s="309">
        <f>IF(R26=0,0,IF(T25=0,MAX(S$6:S25),S25-1))</f>
        <v>42</v>
      </c>
      <c r="T26" s="309">
        <f t="shared" si="5"/>
        <v>20833</v>
      </c>
      <c r="U26" s="309">
        <f t="shared" si="6"/>
        <v>1603472</v>
      </c>
      <c r="V26" s="309">
        <f t="shared" si="7"/>
        <v>26787519</v>
      </c>
      <c r="W26" s="309">
        <f t="shared" si="8"/>
        <v>1603472</v>
      </c>
      <c r="X26" s="309">
        <f t="shared" si="9"/>
        <v>25184047</v>
      </c>
      <c r="Y26" s="309">
        <f>MAX(C$6:C26)+MAX(F$6:F26)+MAX(I$6:I26)+MAX(L$6:L26)+MAX(O$6:O26)+MAX(R$6:R26)</f>
        <v>70650000</v>
      </c>
      <c r="Z26" s="309">
        <f>SUM(E$6:E26)+SUM(H$6:H26)+SUM(K$6:K26)+SUM(N$6:N26)+SUM(Q$6:Q26)+SUM(T$6:T26)</f>
        <v>45465953</v>
      </c>
      <c r="AA26" s="309">
        <f t="shared" si="10"/>
        <v>25184047</v>
      </c>
      <c r="AB26" s="309">
        <f t="shared" si="11"/>
        <v>0</v>
      </c>
      <c r="AC26" s="309">
        <f>MAX(F$6:F26)+MAX(I$6:I26)+MAX(L$6:L26)</f>
        <v>34400000</v>
      </c>
      <c r="AD26" s="309">
        <f>SUM(H$6:H26)+SUM(K$6:K26)+SUM(N$6:N26)</f>
        <v>23736799</v>
      </c>
      <c r="AE26" s="309">
        <f t="shared" si="12"/>
        <v>10663201</v>
      </c>
      <c r="AF26" s="309">
        <f>MAX(C$6:C26)+MAX(O$6:O26)+MAX(R$6:R26)</f>
        <v>36250000</v>
      </c>
      <c r="AG26" s="309">
        <f>SUM(E$6:E26)+SUM(Q$6:Q26)+SUM(T$6:T26)</f>
        <v>21729154</v>
      </c>
      <c r="AH26" s="309">
        <f t="shared" si="13"/>
        <v>14520846</v>
      </c>
      <c r="AI26" s="309">
        <f t="shared" si="14"/>
        <v>70650000</v>
      </c>
      <c r="AJ26" s="309">
        <f t="shared" si="15"/>
        <v>45465953</v>
      </c>
      <c r="AK26" s="309">
        <f t="shared" si="16"/>
        <v>25184047</v>
      </c>
      <c r="AL26" s="309">
        <f t="shared" si="17"/>
        <v>0</v>
      </c>
      <c r="AM26" s="309">
        <f t="shared" si="20"/>
        <v>0</v>
      </c>
      <c r="AN26" s="309">
        <f t="shared" si="21"/>
        <v>0</v>
      </c>
    </row>
    <row r="27" spans="1:40" x14ac:dyDescent="0.35">
      <c r="A27" s="18">
        <v>20</v>
      </c>
      <c r="B27" s="184">
        <v>42613</v>
      </c>
      <c r="C27" s="175">
        <f>MAX(C$6:C26)-SUM(E$6:E26)</f>
        <v>13666673</v>
      </c>
      <c r="D27" s="309">
        <f>IF(C27=0,0,IF(E26=0,MAX(D$6:D26),D26-1))</f>
        <v>41</v>
      </c>
      <c r="E27" s="309">
        <f t="shared" si="0"/>
        <v>333333</v>
      </c>
      <c r="F27" s="175">
        <f>MAX(F$6:F26)-SUM(H$6:H26)</f>
        <v>4406250</v>
      </c>
      <c r="G27" s="309">
        <f>IF(F27=0,0,IF(H26=0,MAX(G$6:G26),G26-1))</f>
        <v>5</v>
      </c>
      <c r="H27" s="309">
        <f t="shared" si="1"/>
        <v>881250</v>
      </c>
      <c r="I27" s="175">
        <f>MAX(I$6:I26)-SUM(K$6:K26)</f>
        <v>4415282</v>
      </c>
      <c r="J27" s="309">
        <f>IF(I27=0,0,IF(K26=0,MAX(J$6:J26),J26-1))</f>
        <v>17</v>
      </c>
      <c r="K27" s="309">
        <f t="shared" si="2"/>
        <v>259722</v>
      </c>
      <c r="L27" s="175">
        <f>MAX(L$6:L26)-SUM(N$6:N26)</f>
        <v>1841669</v>
      </c>
      <c r="M27" s="309">
        <f>IF(L27=0,0,IF(N26=0,MAX(M$6:M26),M26-1))</f>
        <v>17</v>
      </c>
      <c r="N27" s="309">
        <f t="shared" si="3"/>
        <v>108333</v>
      </c>
      <c r="O27" s="175">
        <f>MAX(O$6:O26)-SUM(Q$6:Q26)</f>
        <v>0</v>
      </c>
      <c r="P27" s="309">
        <f>IF(O27=0,0,IF(Q26=0,MAX(P$6:P26),P26-1))</f>
        <v>0</v>
      </c>
      <c r="Q27" s="309">
        <f t="shared" si="4"/>
        <v>0</v>
      </c>
      <c r="R27" s="175">
        <f>MAX(R$6:R26)-SUM(T$6:T26)</f>
        <v>854173</v>
      </c>
      <c r="S27" s="309">
        <f>IF(R27=0,0,IF(T26=0,MAX(S$6:S26),S26-1))</f>
        <v>41</v>
      </c>
      <c r="T27" s="309">
        <f t="shared" si="5"/>
        <v>20833</v>
      </c>
      <c r="U27" s="309">
        <f t="shared" si="6"/>
        <v>1603471</v>
      </c>
      <c r="V27" s="309">
        <f t="shared" si="7"/>
        <v>25184047</v>
      </c>
      <c r="W27" s="309">
        <f t="shared" si="8"/>
        <v>1603471</v>
      </c>
      <c r="X27" s="309">
        <f t="shared" si="9"/>
        <v>23580576</v>
      </c>
      <c r="Y27" s="309">
        <f>MAX(C$6:C27)+MAX(F$6:F27)+MAX(I$6:I27)+MAX(L$6:L27)+MAX(O$6:O27)+MAX(R$6:R27)</f>
        <v>70650000</v>
      </c>
      <c r="Z27" s="309">
        <f>SUM(E$6:E27)+SUM(H$6:H27)+SUM(K$6:K27)+SUM(N$6:N27)+SUM(Q$6:Q27)+SUM(T$6:T27)</f>
        <v>47069424</v>
      </c>
      <c r="AA27" s="309">
        <f t="shared" si="10"/>
        <v>23580576</v>
      </c>
      <c r="AB27" s="309">
        <f t="shared" si="11"/>
        <v>0</v>
      </c>
      <c r="AC27" s="309">
        <f>MAX(F$6:F27)+MAX(I$6:I27)+MAX(L$6:L27)</f>
        <v>34400000</v>
      </c>
      <c r="AD27" s="309">
        <f>SUM(H$6:H27)+SUM(K$6:K27)+SUM(N$6:N27)</f>
        <v>24986104</v>
      </c>
      <c r="AE27" s="309">
        <f t="shared" si="12"/>
        <v>9413896</v>
      </c>
      <c r="AF27" s="309">
        <f>MAX(C$6:C27)+MAX(O$6:O27)+MAX(R$6:R27)</f>
        <v>36250000</v>
      </c>
      <c r="AG27" s="309">
        <f>SUM(E$6:E27)+SUM(Q$6:Q27)+SUM(T$6:T27)</f>
        <v>22083320</v>
      </c>
      <c r="AH27" s="309">
        <f t="shared" si="13"/>
        <v>14166680</v>
      </c>
      <c r="AI27" s="309">
        <f t="shared" si="14"/>
        <v>70650000</v>
      </c>
      <c r="AJ27" s="309">
        <f t="shared" si="15"/>
        <v>47069424</v>
      </c>
      <c r="AK27" s="309">
        <f t="shared" si="16"/>
        <v>23580576</v>
      </c>
      <c r="AL27" s="309">
        <f t="shared" si="17"/>
        <v>0</v>
      </c>
      <c r="AM27" s="309">
        <f t="shared" si="20"/>
        <v>0</v>
      </c>
      <c r="AN27" s="309">
        <f t="shared" si="21"/>
        <v>0</v>
      </c>
    </row>
    <row r="28" spans="1:40" x14ac:dyDescent="0.35">
      <c r="A28" s="18">
        <v>21</v>
      </c>
      <c r="B28" s="184">
        <v>42643</v>
      </c>
      <c r="C28" s="175">
        <f>MAX(C$6:C27)-SUM(E$6:E27)</f>
        <v>13333340</v>
      </c>
      <c r="D28" s="309">
        <f>IF(C28=0,0,IF(E27=0,MAX(D$6:D27),D27-1))</f>
        <v>40</v>
      </c>
      <c r="E28" s="309">
        <f t="shared" si="0"/>
        <v>333334</v>
      </c>
      <c r="F28" s="175">
        <f>MAX(F$6:F27)-SUM(H$6:H27)</f>
        <v>3525000</v>
      </c>
      <c r="G28" s="309">
        <f>IF(F28=0,0,IF(H27=0,MAX(G$6:G27),G27-1))</f>
        <v>4</v>
      </c>
      <c r="H28" s="309">
        <f t="shared" si="1"/>
        <v>881250</v>
      </c>
      <c r="I28" s="175">
        <f>MAX(I$6:I27)-SUM(K$6:K27)</f>
        <v>4155560</v>
      </c>
      <c r="J28" s="309">
        <f>IF(I28=0,0,IF(K27=0,MAX(J$6:J27),J27-1))</f>
        <v>16</v>
      </c>
      <c r="K28" s="309">
        <f t="shared" si="2"/>
        <v>259723</v>
      </c>
      <c r="L28" s="175">
        <f>MAX(L$6:L27)-SUM(N$6:N27)</f>
        <v>1733336</v>
      </c>
      <c r="M28" s="309">
        <f>IF(L28=0,0,IF(N27=0,MAX(M$6:M27),M27-1))</f>
        <v>16</v>
      </c>
      <c r="N28" s="309">
        <f t="shared" si="3"/>
        <v>108334</v>
      </c>
      <c r="O28" s="175">
        <f>MAX(O$6:O27)-SUM(Q$6:Q27)</f>
        <v>0</v>
      </c>
      <c r="P28" s="309">
        <f>IF(O28=0,0,IF(Q27=0,MAX(P$6:P27),P27-1))</f>
        <v>0</v>
      </c>
      <c r="Q28" s="309">
        <f t="shared" si="4"/>
        <v>0</v>
      </c>
      <c r="R28" s="175">
        <f>MAX(R$6:R27)-SUM(T$6:T27)</f>
        <v>833340</v>
      </c>
      <c r="S28" s="309">
        <f>IF(R28=0,0,IF(T27=0,MAX(S$6:S27),S27-1))</f>
        <v>40</v>
      </c>
      <c r="T28" s="309">
        <f t="shared" si="5"/>
        <v>20834</v>
      </c>
      <c r="U28" s="309">
        <f t="shared" si="6"/>
        <v>1603475</v>
      </c>
      <c r="V28" s="309">
        <f t="shared" si="7"/>
        <v>23580576</v>
      </c>
      <c r="W28" s="309">
        <f t="shared" si="8"/>
        <v>1603475</v>
      </c>
      <c r="X28" s="309">
        <f t="shared" si="9"/>
        <v>21977101</v>
      </c>
      <c r="Y28" s="309">
        <f>MAX(C$6:C28)+MAX(F$6:F28)+MAX(I$6:I28)+MAX(L$6:L28)+MAX(O$6:O28)+MAX(R$6:R28)</f>
        <v>70650000</v>
      </c>
      <c r="Z28" s="309">
        <f>SUM(E$6:E28)+SUM(H$6:H28)+SUM(K$6:K28)+SUM(N$6:N28)+SUM(Q$6:Q28)+SUM(T$6:T28)</f>
        <v>48672899</v>
      </c>
      <c r="AA28" s="309">
        <f t="shared" si="10"/>
        <v>21977101</v>
      </c>
      <c r="AB28" s="309">
        <f t="shared" si="11"/>
        <v>0</v>
      </c>
      <c r="AC28" s="309">
        <f>MAX(F$6:F28)+MAX(I$6:I28)+MAX(L$6:L28)</f>
        <v>34400000</v>
      </c>
      <c r="AD28" s="309">
        <f>SUM(H$6:H28)+SUM(K$6:K28)+SUM(N$6:N28)</f>
        <v>26235411</v>
      </c>
      <c r="AE28" s="309">
        <f t="shared" si="12"/>
        <v>8164589</v>
      </c>
      <c r="AF28" s="309">
        <f>MAX(C$6:C28)+MAX(O$6:O28)+MAX(R$6:R28)</f>
        <v>36250000</v>
      </c>
      <c r="AG28" s="309">
        <f>SUM(E$6:E28)+SUM(Q$6:Q28)+SUM(T$6:T28)</f>
        <v>22437488</v>
      </c>
      <c r="AH28" s="309">
        <f t="shared" si="13"/>
        <v>13812512</v>
      </c>
      <c r="AI28" s="309">
        <f t="shared" si="14"/>
        <v>70650000</v>
      </c>
      <c r="AJ28" s="309">
        <f t="shared" si="15"/>
        <v>48672899</v>
      </c>
      <c r="AK28" s="309">
        <f t="shared" si="16"/>
        <v>21977101</v>
      </c>
      <c r="AL28" s="309">
        <f t="shared" si="17"/>
        <v>0</v>
      </c>
      <c r="AM28" s="309">
        <f t="shared" si="20"/>
        <v>0</v>
      </c>
      <c r="AN28" s="309">
        <f t="shared" si="21"/>
        <v>0</v>
      </c>
    </row>
    <row r="29" spans="1:40" x14ac:dyDescent="0.35">
      <c r="A29" s="18">
        <v>22</v>
      </c>
      <c r="B29" s="184">
        <v>42674</v>
      </c>
      <c r="C29" s="175">
        <f>MAX(C$6:C28)-SUM(E$6:E28)</f>
        <v>13000006</v>
      </c>
      <c r="D29" s="309">
        <f>IF(C29=0,0,IF(E28=0,MAX(D$6:D28),D28-1))</f>
        <v>39</v>
      </c>
      <c r="E29" s="309">
        <f t="shared" si="0"/>
        <v>333333</v>
      </c>
      <c r="F29" s="175">
        <f>MAX(F$6:F28)-SUM(H$6:H28)</f>
        <v>2643750</v>
      </c>
      <c r="G29" s="309">
        <f>IF(F29=0,0,IF(H28=0,MAX(G$6:G28),G28-1))</f>
        <v>3</v>
      </c>
      <c r="H29" s="309">
        <f t="shared" si="1"/>
        <v>881250</v>
      </c>
      <c r="I29" s="175">
        <f>MAX(I$6:I28)-SUM(K$6:K28)</f>
        <v>3895837</v>
      </c>
      <c r="J29" s="309">
        <f>IF(I29=0,0,IF(K28=0,MAX(J$6:J28),J28-1))</f>
        <v>15</v>
      </c>
      <c r="K29" s="309">
        <f t="shared" si="2"/>
        <v>259722</v>
      </c>
      <c r="L29" s="175">
        <f>MAX(L$6:L28)-SUM(N$6:N28)</f>
        <v>1625002</v>
      </c>
      <c r="M29" s="309">
        <f>IF(L29=0,0,IF(N28=0,MAX(M$6:M28),M28-1))</f>
        <v>15</v>
      </c>
      <c r="N29" s="309">
        <f t="shared" si="3"/>
        <v>108333</v>
      </c>
      <c r="O29" s="175">
        <f>MAX(O$6:O28)-SUM(Q$6:Q28)</f>
        <v>0</v>
      </c>
      <c r="P29" s="309">
        <f>IF(O29=0,0,IF(Q28=0,MAX(P$6:P28),P28-1))</f>
        <v>0</v>
      </c>
      <c r="Q29" s="309">
        <f t="shared" si="4"/>
        <v>0</v>
      </c>
      <c r="R29" s="175">
        <f>MAX(R$6:R28)-SUM(T$6:T28)</f>
        <v>812506</v>
      </c>
      <c r="S29" s="309">
        <f>IF(R29=0,0,IF(T28=0,MAX(S$6:S28),S28-1))</f>
        <v>39</v>
      </c>
      <c r="T29" s="309">
        <f t="shared" si="5"/>
        <v>20833</v>
      </c>
      <c r="U29" s="309">
        <f t="shared" si="6"/>
        <v>1603471</v>
      </c>
      <c r="V29" s="309">
        <f t="shared" si="7"/>
        <v>21977101</v>
      </c>
      <c r="W29" s="309">
        <f t="shared" si="8"/>
        <v>1603471</v>
      </c>
      <c r="X29" s="309">
        <f t="shared" si="9"/>
        <v>20373630</v>
      </c>
      <c r="Y29" s="309">
        <f>MAX(C$6:C29)+MAX(F$6:F29)+MAX(I$6:I29)+MAX(L$6:L29)+MAX(O$6:O29)+MAX(R$6:R29)</f>
        <v>70650000</v>
      </c>
      <c r="Z29" s="309">
        <f>SUM(E$6:E29)+SUM(H$6:H29)+SUM(K$6:K29)+SUM(N$6:N29)+SUM(Q$6:Q29)+SUM(T$6:T29)</f>
        <v>50276370</v>
      </c>
      <c r="AA29" s="309">
        <f t="shared" si="10"/>
        <v>20373630</v>
      </c>
      <c r="AB29" s="309">
        <f t="shared" si="11"/>
        <v>0</v>
      </c>
      <c r="AC29" s="309">
        <f>MAX(F$6:F29)+MAX(I$6:I29)+MAX(L$6:L29)</f>
        <v>34400000</v>
      </c>
      <c r="AD29" s="309">
        <f>SUM(H$6:H29)+SUM(K$6:K29)+SUM(N$6:N29)</f>
        <v>27484716</v>
      </c>
      <c r="AE29" s="309">
        <f t="shared" si="12"/>
        <v>6915284</v>
      </c>
      <c r="AF29" s="309">
        <f>MAX(C$6:C29)+MAX(O$6:O29)+MAX(R$6:R29)</f>
        <v>36250000</v>
      </c>
      <c r="AG29" s="309">
        <f>SUM(E$6:E29)+SUM(Q$6:Q29)+SUM(T$6:T29)</f>
        <v>22791654</v>
      </c>
      <c r="AH29" s="309">
        <f t="shared" si="13"/>
        <v>13458346</v>
      </c>
      <c r="AI29" s="309">
        <f t="shared" si="14"/>
        <v>70650000</v>
      </c>
      <c r="AJ29" s="309">
        <f t="shared" si="15"/>
        <v>50276370</v>
      </c>
      <c r="AK29" s="309">
        <f t="shared" si="16"/>
        <v>20373630</v>
      </c>
      <c r="AL29" s="309">
        <f t="shared" si="17"/>
        <v>0</v>
      </c>
      <c r="AM29" s="309">
        <f t="shared" si="20"/>
        <v>0</v>
      </c>
      <c r="AN29" s="309">
        <f t="shared" si="21"/>
        <v>0</v>
      </c>
    </row>
    <row r="30" spans="1:40" x14ac:dyDescent="0.35">
      <c r="A30" s="18">
        <v>23</v>
      </c>
      <c r="B30" s="184">
        <v>42704</v>
      </c>
      <c r="C30" s="175">
        <f>MAX(C$6:C29)-SUM(E$6:E29)</f>
        <v>12666673</v>
      </c>
      <c r="D30" s="309">
        <f>IF(C30=0,0,IF(E29=0,MAX(D$6:D29),D29-1))</f>
        <v>38</v>
      </c>
      <c r="E30" s="309">
        <f t="shared" si="0"/>
        <v>333334</v>
      </c>
      <c r="F30" s="175">
        <f>MAX(F$6:F29)-SUM(H$6:H29)</f>
        <v>1762500</v>
      </c>
      <c r="G30" s="309">
        <f>IF(F30=0,0,IF(H29=0,MAX(G$6:G29),G29-1))</f>
        <v>2</v>
      </c>
      <c r="H30" s="309">
        <f t="shared" si="1"/>
        <v>881250</v>
      </c>
      <c r="I30" s="175">
        <f>MAX(I$6:I29)-SUM(K$6:K29)</f>
        <v>3636115</v>
      </c>
      <c r="J30" s="309">
        <f>IF(I30=0,0,IF(K29=0,MAX(J$6:J29),J29-1))</f>
        <v>14</v>
      </c>
      <c r="K30" s="309">
        <f t="shared" si="2"/>
        <v>259723</v>
      </c>
      <c r="L30" s="175">
        <f>MAX(L$6:L29)-SUM(N$6:N29)</f>
        <v>1516669</v>
      </c>
      <c r="M30" s="309">
        <f>IF(L30=0,0,IF(N29=0,MAX(M$6:M29),M29-1))</f>
        <v>14</v>
      </c>
      <c r="N30" s="309">
        <f t="shared" si="3"/>
        <v>108334</v>
      </c>
      <c r="O30" s="175">
        <f>MAX(O$6:O29)-SUM(Q$6:Q29)</f>
        <v>0</v>
      </c>
      <c r="P30" s="309">
        <f>IF(O30=0,0,IF(Q29=0,MAX(P$6:P29),P29-1))</f>
        <v>0</v>
      </c>
      <c r="Q30" s="309">
        <f t="shared" si="4"/>
        <v>0</v>
      </c>
      <c r="R30" s="175">
        <f>MAX(R$6:R29)-SUM(T$6:T29)</f>
        <v>791673</v>
      </c>
      <c r="S30" s="309">
        <f>IF(R30=0,0,IF(T29=0,MAX(S$6:S29),S29-1))</f>
        <v>38</v>
      </c>
      <c r="T30" s="309">
        <f t="shared" si="5"/>
        <v>20834</v>
      </c>
      <c r="U30" s="309">
        <f t="shared" si="6"/>
        <v>1603475</v>
      </c>
      <c r="V30" s="309">
        <f t="shared" si="7"/>
        <v>20373630</v>
      </c>
      <c r="W30" s="309">
        <f t="shared" si="8"/>
        <v>1603475</v>
      </c>
      <c r="X30" s="309">
        <f t="shared" si="9"/>
        <v>18770155</v>
      </c>
      <c r="Y30" s="309">
        <f>MAX(C$6:C30)+MAX(F$6:F30)+MAX(I$6:I30)+MAX(L$6:L30)+MAX(O$6:O30)+MAX(R$6:R30)</f>
        <v>70650000</v>
      </c>
      <c r="Z30" s="309">
        <f>SUM(E$6:E30)+SUM(H$6:H30)+SUM(K$6:K30)+SUM(N$6:N30)+SUM(Q$6:Q30)+SUM(T$6:T30)</f>
        <v>51879845</v>
      </c>
      <c r="AA30" s="309">
        <f t="shared" si="10"/>
        <v>18770155</v>
      </c>
      <c r="AB30" s="309">
        <f t="shared" si="11"/>
        <v>0</v>
      </c>
      <c r="AC30" s="309">
        <f>MAX(F$6:F30)+MAX(I$6:I30)+MAX(L$6:L30)</f>
        <v>34400000</v>
      </c>
      <c r="AD30" s="309">
        <f>SUM(H$6:H30)+SUM(K$6:K30)+SUM(N$6:N30)</f>
        <v>28734023</v>
      </c>
      <c r="AE30" s="309">
        <f t="shared" si="12"/>
        <v>5665977</v>
      </c>
      <c r="AF30" s="309">
        <f>MAX(C$6:C30)+MAX(O$6:O30)+MAX(R$6:R30)</f>
        <v>36250000</v>
      </c>
      <c r="AG30" s="309">
        <f>SUM(E$6:E30)+SUM(Q$6:Q30)+SUM(T$6:T30)</f>
        <v>23145822</v>
      </c>
      <c r="AH30" s="309">
        <f t="shared" si="13"/>
        <v>13104178</v>
      </c>
      <c r="AI30" s="309">
        <f t="shared" si="14"/>
        <v>70650000</v>
      </c>
      <c r="AJ30" s="309">
        <f t="shared" si="15"/>
        <v>51879845</v>
      </c>
      <c r="AK30" s="309">
        <f t="shared" si="16"/>
        <v>18770155</v>
      </c>
      <c r="AL30" s="309">
        <f t="shared" si="17"/>
        <v>0</v>
      </c>
      <c r="AM30" s="309">
        <f t="shared" si="20"/>
        <v>0</v>
      </c>
      <c r="AN30" s="309">
        <f t="shared" si="21"/>
        <v>0</v>
      </c>
    </row>
    <row r="31" spans="1:40" x14ac:dyDescent="0.35">
      <c r="A31" s="18">
        <v>24</v>
      </c>
      <c r="B31" s="184">
        <v>42735</v>
      </c>
      <c r="C31" s="175">
        <f>MAX(C$6:C30)-SUM(E$6:E30)</f>
        <v>12333339</v>
      </c>
      <c r="D31" s="309">
        <f>IF(C31=0,0,IF(E30=0,MAX(D$6:D30),D30-1))</f>
        <v>37</v>
      </c>
      <c r="E31" s="309">
        <f t="shared" si="0"/>
        <v>333333</v>
      </c>
      <c r="F31" s="175">
        <f>MAX(F$6:F30)-SUM(H$6:H30)</f>
        <v>881250</v>
      </c>
      <c r="G31" s="309">
        <f>IF(F31=0,0,IF(H30=0,MAX(G$6:G30),G30-1))</f>
        <v>1</v>
      </c>
      <c r="H31" s="309">
        <f t="shared" si="1"/>
        <v>881250</v>
      </c>
      <c r="I31" s="175">
        <f>MAX(I$6:I30)-SUM(K$6:K30)</f>
        <v>3376392</v>
      </c>
      <c r="J31" s="309">
        <f>IF(I31=0,0,IF(K30=0,MAX(J$6:J30),J30-1))</f>
        <v>13</v>
      </c>
      <c r="K31" s="309">
        <f t="shared" si="2"/>
        <v>259722</v>
      </c>
      <c r="L31" s="175">
        <f>MAX(L$6:L30)-SUM(N$6:N30)</f>
        <v>1408335</v>
      </c>
      <c r="M31" s="309">
        <f>IF(L31=0,0,IF(N30=0,MAX(M$6:M30),M30-1))</f>
        <v>13</v>
      </c>
      <c r="N31" s="309">
        <f t="shared" si="3"/>
        <v>108333</v>
      </c>
      <c r="O31" s="175">
        <f>MAX(O$6:O30)-SUM(Q$6:Q30)</f>
        <v>0</v>
      </c>
      <c r="P31" s="309">
        <f>IF(O31=0,0,IF(Q30=0,MAX(P$6:P30),P30-1))</f>
        <v>0</v>
      </c>
      <c r="Q31" s="309">
        <f t="shared" si="4"/>
        <v>0</v>
      </c>
      <c r="R31" s="175">
        <f>MAX(R$6:R30)-SUM(T$6:T30)</f>
        <v>770839</v>
      </c>
      <c r="S31" s="309">
        <f>IF(R31=0,0,IF(T30=0,MAX(S$6:S30),S30-1))</f>
        <v>37</v>
      </c>
      <c r="T31" s="309">
        <f t="shared" si="5"/>
        <v>20833</v>
      </c>
      <c r="U31" s="309">
        <f t="shared" si="6"/>
        <v>1603471</v>
      </c>
      <c r="V31" s="309">
        <f t="shared" si="7"/>
        <v>18770155</v>
      </c>
      <c r="W31" s="309">
        <f t="shared" si="8"/>
        <v>1603471</v>
      </c>
      <c r="X31" s="309">
        <f t="shared" si="9"/>
        <v>17166684</v>
      </c>
      <c r="Y31" s="309">
        <f>MAX(C$6:C31)+MAX(F$6:F31)+MAX(I$6:I31)+MAX(L$6:L31)+MAX(O$6:O31)+MAX(R$6:R31)</f>
        <v>70650000</v>
      </c>
      <c r="Z31" s="309">
        <f>SUM(E$6:E31)+SUM(H$6:H31)+SUM(K$6:K31)+SUM(N$6:N31)+SUM(Q$6:Q31)+SUM(T$6:T31)</f>
        <v>53483316</v>
      </c>
      <c r="AA31" s="309">
        <f t="shared" si="10"/>
        <v>17166684</v>
      </c>
      <c r="AB31" s="309">
        <f t="shared" si="11"/>
        <v>0</v>
      </c>
      <c r="AC31" s="309">
        <f>MAX(F$6:F31)+MAX(I$6:I31)+MAX(L$6:L31)</f>
        <v>34400000</v>
      </c>
      <c r="AD31" s="309">
        <f>SUM(H$6:H31)+SUM(K$6:K31)+SUM(N$6:N31)</f>
        <v>29983328</v>
      </c>
      <c r="AE31" s="309">
        <f t="shared" si="12"/>
        <v>4416672</v>
      </c>
      <c r="AF31" s="309">
        <f>MAX(C$6:C31)+MAX(O$6:O31)+MAX(R$6:R31)</f>
        <v>36250000</v>
      </c>
      <c r="AG31" s="309">
        <f>SUM(E$6:E31)+SUM(Q$6:Q31)+SUM(T$6:T31)</f>
        <v>23499988</v>
      </c>
      <c r="AH31" s="309">
        <f t="shared" si="13"/>
        <v>12750012</v>
      </c>
      <c r="AI31" s="309">
        <f t="shared" si="14"/>
        <v>70650000</v>
      </c>
      <c r="AJ31" s="309">
        <f t="shared" si="15"/>
        <v>53483316</v>
      </c>
      <c r="AK31" s="309">
        <f t="shared" si="16"/>
        <v>17166684</v>
      </c>
      <c r="AL31" s="309">
        <f t="shared" si="17"/>
        <v>0</v>
      </c>
      <c r="AM31" s="309">
        <f t="shared" si="20"/>
        <v>0</v>
      </c>
      <c r="AN31" s="309">
        <f t="shared" si="21"/>
        <v>0</v>
      </c>
    </row>
    <row r="32" spans="1:40" x14ac:dyDescent="0.35">
      <c r="A32" s="18">
        <v>25</v>
      </c>
      <c r="B32" s="184">
        <v>42766</v>
      </c>
      <c r="C32" s="175">
        <f>MAX(C$6:C31)-SUM(E$6:E31)</f>
        <v>12000006</v>
      </c>
      <c r="D32" s="309">
        <f>IF(C32=0,0,IF(E31=0,MAX(D$6:D31),D31-1))</f>
        <v>36</v>
      </c>
      <c r="E32" s="309">
        <f t="shared" si="0"/>
        <v>333334</v>
      </c>
      <c r="F32" s="175">
        <f>MAX(F$6:F31)-SUM(H$6:H31)</f>
        <v>0</v>
      </c>
      <c r="G32" s="309">
        <f>IF(F32=0,0,IF(H31=0,MAX(G$6:G31),G31-1))</f>
        <v>0</v>
      </c>
      <c r="H32" s="309">
        <f t="shared" si="1"/>
        <v>0</v>
      </c>
      <c r="I32" s="175">
        <f>MAX(I$6:I31)-SUM(K$6:K31)</f>
        <v>3116670</v>
      </c>
      <c r="J32" s="309">
        <f>IF(I32=0,0,IF(K31=0,MAX(J$6:J31),J31-1))</f>
        <v>12</v>
      </c>
      <c r="K32" s="309">
        <f t="shared" si="2"/>
        <v>259723</v>
      </c>
      <c r="L32" s="175">
        <f>MAX(L$6:L31)-SUM(N$6:N31)</f>
        <v>1300002</v>
      </c>
      <c r="M32" s="309">
        <f>IF(L32=0,0,IF(N31=0,MAX(M$6:M31),M31-1))</f>
        <v>12</v>
      </c>
      <c r="N32" s="309">
        <f t="shared" si="3"/>
        <v>108334</v>
      </c>
      <c r="O32" s="175">
        <f>MAX(O$6:O31)-SUM(Q$6:Q31)</f>
        <v>0</v>
      </c>
      <c r="P32" s="309">
        <f>IF(O32=0,0,IF(Q31=0,MAX(P$6:P31),P31-1))</f>
        <v>0</v>
      </c>
      <c r="Q32" s="309">
        <f t="shared" si="4"/>
        <v>0</v>
      </c>
      <c r="R32" s="175">
        <f>MAX(R$6:R31)-SUM(T$6:T31)</f>
        <v>750006</v>
      </c>
      <c r="S32" s="309">
        <f>IF(R32=0,0,IF(T31=0,MAX(S$6:S31),S31-1))</f>
        <v>36</v>
      </c>
      <c r="T32" s="309">
        <f t="shared" si="5"/>
        <v>20834</v>
      </c>
      <c r="U32" s="309">
        <f t="shared" si="6"/>
        <v>722225</v>
      </c>
      <c r="V32" s="309">
        <f t="shared" si="7"/>
        <v>17166684</v>
      </c>
      <c r="W32" s="309">
        <f t="shared" si="8"/>
        <v>722225</v>
      </c>
      <c r="X32" s="309">
        <f t="shared" si="9"/>
        <v>16444459</v>
      </c>
      <c r="Y32" s="309">
        <f>MAX(C$6:C32)+MAX(F$6:F32)+MAX(I$6:I32)+MAX(L$6:L32)+MAX(O$6:O32)+MAX(R$6:R32)</f>
        <v>70650000</v>
      </c>
      <c r="Z32" s="309">
        <f>SUM(E$6:E32)+SUM(H$6:H32)+SUM(K$6:K32)+SUM(N$6:N32)+SUM(Q$6:Q32)+SUM(T$6:T32)</f>
        <v>54205541</v>
      </c>
      <c r="AA32" s="309">
        <f t="shared" si="10"/>
        <v>16444459</v>
      </c>
      <c r="AB32" s="309">
        <f t="shared" si="11"/>
        <v>0</v>
      </c>
      <c r="AC32" s="309">
        <f>MAX(F$6:F32)+MAX(I$6:I32)+MAX(L$6:L32)</f>
        <v>34400000</v>
      </c>
      <c r="AD32" s="309">
        <f>SUM(H$6:H32)+SUM(K$6:K32)+SUM(N$6:N32)</f>
        <v>30351385</v>
      </c>
      <c r="AE32" s="309">
        <f t="shared" si="12"/>
        <v>4048615</v>
      </c>
      <c r="AF32" s="309">
        <f>MAX(C$6:C32)+MAX(O$6:O32)+MAX(R$6:R32)</f>
        <v>36250000</v>
      </c>
      <c r="AG32" s="309">
        <f>SUM(E$6:E32)+SUM(Q$6:Q32)+SUM(T$6:T32)</f>
        <v>23854156</v>
      </c>
      <c r="AH32" s="309">
        <f t="shared" si="13"/>
        <v>12395844</v>
      </c>
      <c r="AI32" s="309">
        <f t="shared" si="14"/>
        <v>70650000</v>
      </c>
      <c r="AJ32" s="309">
        <f t="shared" si="15"/>
        <v>54205541</v>
      </c>
      <c r="AK32" s="309">
        <f t="shared" si="16"/>
        <v>16444459</v>
      </c>
      <c r="AL32" s="309">
        <f t="shared" si="17"/>
        <v>0</v>
      </c>
      <c r="AM32" s="309">
        <f t="shared" si="20"/>
        <v>0</v>
      </c>
      <c r="AN32" s="309">
        <f t="shared" si="21"/>
        <v>0</v>
      </c>
    </row>
    <row r="33" spans="1:40" x14ac:dyDescent="0.35">
      <c r="A33" s="18">
        <v>26</v>
      </c>
      <c r="B33" s="184">
        <v>42794</v>
      </c>
      <c r="C33" s="175">
        <f>MAX(C$6:C32)-SUM(E$6:E32)</f>
        <v>11666672</v>
      </c>
      <c r="D33" s="309">
        <f>IF(C33=0,0,IF(E32=0,MAX(D$6:D32),D32-1))</f>
        <v>35</v>
      </c>
      <c r="E33" s="309">
        <f t="shared" si="0"/>
        <v>333333</v>
      </c>
      <c r="F33" s="175">
        <f>MAX(F$6:F32)-SUM(H$6:H32)</f>
        <v>0</v>
      </c>
      <c r="G33" s="309">
        <f>IF(F33=0,0,IF(H32=0,MAX(G$6:G32),G32-1))</f>
        <v>0</v>
      </c>
      <c r="H33" s="309">
        <f t="shared" si="1"/>
        <v>0</v>
      </c>
      <c r="I33" s="175">
        <f>MAX(I$6:I32)-SUM(K$6:K32)</f>
        <v>2856947</v>
      </c>
      <c r="J33" s="309">
        <f>IF(I33=0,0,IF(K32=0,MAX(J$6:J32),J32-1))</f>
        <v>11</v>
      </c>
      <c r="K33" s="309">
        <f t="shared" si="2"/>
        <v>259722</v>
      </c>
      <c r="L33" s="175">
        <f>MAX(L$6:L32)-SUM(N$6:N32)</f>
        <v>1191668</v>
      </c>
      <c r="M33" s="309">
        <f>IF(L33=0,0,IF(N32=0,MAX(M$6:M32),M32-1))</f>
        <v>11</v>
      </c>
      <c r="N33" s="309">
        <f t="shared" si="3"/>
        <v>108333</v>
      </c>
      <c r="O33" s="175">
        <f>MAX(O$6:O32)-SUM(Q$6:Q32)</f>
        <v>0</v>
      </c>
      <c r="P33" s="309">
        <f>IF(O33=0,0,IF(Q32=0,MAX(P$6:P32),P32-1))</f>
        <v>0</v>
      </c>
      <c r="Q33" s="309">
        <f t="shared" si="4"/>
        <v>0</v>
      </c>
      <c r="R33" s="175">
        <f>MAX(R$6:R32)-SUM(T$6:T32)</f>
        <v>729172</v>
      </c>
      <c r="S33" s="309">
        <f>IF(R33=0,0,IF(T32=0,MAX(S$6:S32),S32-1))</f>
        <v>35</v>
      </c>
      <c r="T33" s="309">
        <f t="shared" si="5"/>
        <v>20833</v>
      </c>
      <c r="U33" s="309">
        <f t="shared" si="6"/>
        <v>722221</v>
      </c>
      <c r="V33" s="309">
        <f t="shared" si="7"/>
        <v>16444459</v>
      </c>
      <c r="W33" s="309">
        <f t="shared" si="8"/>
        <v>722221</v>
      </c>
      <c r="X33" s="309">
        <f t="shared" si="9"/>
        <v>15722238</v>
      </c>
      <c r="Y33" s="309">
        <f>MAX(C$6:C33)+MAX(F$6:F33)+MAX(I$6:I33)+MAX(L$6:L33)+MAX(O$6:O33)+MAX(R$6:R33)</f>
        <v>70650000</v>
      </c>
      <c r="Z33" s="309">
        <f>SUM(E$6:E33)+SUM(H$6:H33)+SUM(K$6:K33)+SUM(N$6:N33)+SUM(Q$6:Q33)+SUM(T$6:T33)</f>
        <v>54927762</v>
      </c>
      <c r="AA33" s="309">
        <f t="shared" si="10"/>
        <v>15722238</v>
      </c>
      <c r="AB33" s="309">
        <f t="shared" si="11"/>
        <v>0</v>
      </c>
      <c r="AC33" s="309">
        <f>MAX(F$6:F33)+MAX(I$6:I33)+MAX(L$6:L33)</f>
        <v>34400000</v>
      </c>
      <c r="AD33" s="309">
        <f>SUM(H$6:H33)+SUM(K$6:K33)+SUM(N$6:N33)</f>
        <v>30719440</v>
      </c>
      <c r="AE33" s="309">
        <f t="shared" si="12"/>
        <v>3680560</v>
      </c>
      <c r="AF33" s="309">
        <f>MAX(C$6:C33)+MAX(O$6:O33)+MAX(R$6:R33)</f>
        <v>36250000</v>
      </c>
      <c r="AG33" s="309">
        <f>SUM(E$6:E33)+SUM(Q$6:Q33)+SUM(T$6:T33)</f>
        <v>24208322</v>
      </c>
      <c r="AH33" s="309">
        <f t="shared" si="13"/>
        <v>12041678</v>
      </c>
      <c r="AI33" s="309">
        <f t="shared" si="14"/>
        <v>70650000</v>
      </c>
      <c r="AJ33" s="309">
        <f t="shared" si="15"/>
        <v>54927762</v>
      </c>
      <c r="AK33" s="309">
        <f t="shared" si="16"/>
        <v>15722238</v>
      </c>
      <c r="AL33" s="309">
        <f t="shared" si="17"/>
        <v>0</v>
      </c>
      <c r="AM33" s="309">
        <f t="shared" si="20"/>
        <v>0</v>
      </c>
      <c r="AN33" s="309">
        <f t="shared" si="21"/>
        <v>0</v>
      </c>
    </row>
    <row r="34" spans="1:40" x14ac:dyDescent="0.35">
      <c r="A34" s="18">
        <v>27</v>
      </c>
      <c r="B34" s="184">
        <v>42825</v>
      </c>
      <c r="C34" s="175">
        <f>MAX(C$6:C33)-SUM(E$6:E33)</f>
        <v>11333339</v>
      </c>
      <c r="D34" s="309">
        <f>IF(C34=0,0,IF(E33=0,MAX(D$6:D33),D33-1))</f>
        <v>34</v>
      </c>
      <c r="E34" s="309">
        <f t="shared" si="0"/>
        <v>333334</v>
      </c>
      <c r="F34" s="175">
        <f>MAX(F$6:F33)-SUM(H$6:H33)</f>
        <v>0</v>
      </c>
      <c r="G34" s="309">
        <f>IF(F34=0,0,IF(H33=0,MAX(G$6:G33),G33-1))</f>
        <v>0</v>
      </c>
      <c r="H34" s="309">
        <f t="shared" si="1"/>
        <v>0</v>
      </c>
      <c r="I34" s="175">
        <f>MAX(I$6:I33)-SUM(K$6:K33)</f>
        <v>2597225</v>
      </c>
      <c r="J34" s="309">
        <f>IF(I34=0,0,IF(K33=0,MAX(J$6:J33),J33-1))</f>
        <v>10</v>
      </c>
      <c r="K34" s="309">
        <f t="shared" si="2"/>
        <v>259723</v>
      </c>
      <c r="L34" s="175">
        <f>MAX(L$6:L33)-SUM(N$6:N33)</f>
        <v>1083335</v>
      </c>
      <c r="M34" s="309">
        <f>IF(L34=0,0,IF(N33=0,MAX(M$6:M33),M33-1))</f>
        <v>10</v>
      </c>
      <c r="N34" s="309">
        <f t="shared" si="3"/>
        <v>108334</v>
      </c>
      <c r="O34" s="175">
        <f>MAX(O$6:O33)-SUM(Q$6:Q33)</f>
        <v>0</v>
      </c>
      <c r="P34" s="309">
        <f>IF(O34=0,0,IF(Q33=0,MAX(P$6:P33),P33-1))</f>
        <v>0</v>
      </c>
      <c r="Q34" s="309">
        <f t="shared" si="4"/>
        <v>0</v>
      </c>
      <c r="R34" s="175">
        <f>MAX(R$6:R33)-SUM(T$6:T33)</f>
        <v>708339</v>
      </c>
      <c r="S34" s="309">
        <f>IF(R34=0,0,IF(T33=0,MAX(S$6:S33),S33-1))</f>
        <v>34</v>
      </c>
      <c r="T34" s="309">
        <f t="shared" si="5"/>
        <v>20834</v>
      </c>
      <c r="U34" s="309">
        <f t="shared" si="6"/>
        <v>722225</v>
      </c>
      <c r="V34" s="309">
        <f t="shared" si="7"/>
        <v>15722238</v>
      </c>
      <c r="W34" s="309">
        <f t="shared" si="8"/>
        <v>722225</v>
      </c>
      <c r="X34" s="309">
        <f t="shared" si="9"/>
        <v>15000013</v>
      </c>
      <c r="Y34" s="309">
        <f>MAX(C$6:C34)+MAX(F$6:F34)+MAX(I$6:I34)+MAX(L$6:L34)+MAX(O$6:O34)+MAX(R$6:R34)</f>
        <v>70650000</v>
      </c>
      <c r="Z34" s="309">
        <f>SUM(E$6:E34)+SUM(H$6:H34)+SUM(K$6:K34)+SUM(N$6:N34)+SUM(Q$6:Q34)+SUM(T$6:T34)</f>
        <v>55649987</v>
      </c>
      <c r="AA34" s="309">
        <f t="shared" si="10"/>
        <v>15000013</v>
      </c>
      <c r="AB34" s="309">
        <f t="shared" si="11"/>
        <v>0</v>
      </c>
      <c r="AC34" s="309">
        <f>MAX(F$6:F34)+MAX(I$6:I34)+MAX(L$6:L34)</f>
        <v>34400000</v>
      </c>
      <c r="AD34" s="309">
        <f>SUM(H$6:H34)+SUM(K$6:K34)+SUM(N$6:N34)</f>
        <v>31087497</v>
      </c>
      <c r="AE34" s="309">
        <f t="shared" si="12"/>
        <v>3312503</v>
      </c>
      <c r="AF34" s="309">
        <f>MAX(C$6:C34)+MAX(O$6:O34)+MAX(R$6:R34)</f>
        <v>36250000</v>
      </c>
      <c r="AG34" s="309">
        <f>SUM(E$6:E34)+SUM(Q$6:Q34)+SUM(T$6:T34)</f>
        <v>24562490</v>
      </c>
      <c r="AH34" s="309">
        <f t="shared" si="13"/>
        <v>11687510</v>
      </c>
      <c r="AI34" s="309">
        <f t="shared" si="14"/>
        <v>70650000</v>
      </c>
      <c r="AJ34" s="309">
        <f t="shared" si="15"/>
        <v>55649987</v>
      </c>
      <c r="AK34" s="309">
        <f t="shared" si="16"/>
        <v>15000013</v>
      </c>
      <c r="AL34" s="309">
        <f t="shared" si="17"/>
        <v>0</v>
      </c>
      <c r="AM34" s="309">
        <f t="shared" si="20"/>
        <v>0</v>
      </c>
      <c r="AN34" s="309">
        <f t="shared" si="21"/>
        <v>0</v>
      </c>
    </row>
    <row r="35" spans="1:40" x14ac:dyDescent="0.35">
      <c r="A35" s="18">
        <v>28</v>
      </c>
      <c r="B35" s="184">
        <v>42855</v>
      </c>
      <c r="C35" s="175">
        <f>MAX(C$6:C34)-SUM(E$6:E34)</f>
        <v>11000005</v>
      </c>
      <c r="D35" s="309">
        <f>IF(C35=0,0,IF(E34=0,MAX(D$6:D34),D34-1))</f>
        <v>33</v>
      </c>
      <c r="E35" s="309">
        <f t="shared" si="0"/>
        <v>333333</v>
      </c>
      <c r="F35" s="175">
        <f>MAX(F$6:F34)-SUM(H$6:H34)</f>
        <v>0</v>
      </c>
      <c r="G35" s="309">
        <f>IF(F35=0,0,IF(H34=0,MAX(G$6:G34),G34-1))</f>
        <v>0</v>
      </c>
      <c r="H35" s="309">
        <f t="shared" si="1"/>
        <v>0</v>
      </c>
      <c r="I35" s="175">
        <f>MAX(I$6:I34)-SUM(K$6:K34)</f>
        <v>2337502</v>
      </c>
      <c r="J35" s="309">
        <f>IF(I35=0,0,IF(K34=0,MAX(J$6:J34),J34-1))</f>
        <v>9</v>
      </c>
      <c r="K35" s="309">
        <f t="shared" si="2"/>
        <v>259722</v>
      </c>
      <c r="L35" s="175">
        <f>MAX(L$6:L34)-SUM(N$6:N34)</f>
        <v>975001</v>
      </c>
      <c r="M35" s="309">
        <f>IF(L35=0,0,IF(N34=0,MAX(M$6:M34),M34-1))</f>
        <v>9</v>
      </c>
      <c r="N35" s="309">
        <f t="shared" si="3"/>
        <v>108333</v>
      </c>
      <c r="O35" s="175">
        <f>MAX(O$6:O34)-SUM(Q$6:Q34)</f>
        <v>0</v>
      </c>
      <c r="P35" s="309">
        <f>IF(O35=0,0,IF(Q34=0,MAX(P$6:P34),P34-1))</f>
        <v>0</v>
      </c>
      <c r="Q35" s="309">
        <f t="shared" si="4"/>
        <v>0</v>
      </c>
      <c r="R35" s="175">
        <f>MAX(R$6:R34)-SUM(T$6:T34)</f>
        <v>687505</v>
      </c>
      <c r="S35" s="309">
        <f>IF(R35=0,0,IF(T34=0,MAX(S$6:S34),S34-1))</f>
        <v>33</v>
      </c>
      <c r="T35" s="309">
        <f t="shared" si="5"/>
        <v>20833</v>
      </c>
      <c r="U35" s="309">
        <f t="shared" si="6"/>
        <v>722221</v>
      </c>
      <c r="V35" s="309">
        <f t="shared" si="7"/>
        <v>15000013</v>
      </c>
      <c r="W35" s="309">
        <f t="shared" si="8"/>
        <v>722221</v>
      </c>
      <c r="X35" s="309">
        <f t="shared" si="9"/>
        <v>14277792</v>
      </c>
      <c r="Y35" s="309">
        <f>MAX(C$6:C35)+MAX(F$6:F35)+MAX(I$6:I35)+MAX(L$6:L35)+MAX(O$6:O35)+MAX(R$6:R35)</f>
        <v>70650000</v>
      </c>
      <c r="Z35" s="309">
        <f>SUM(E$6:E35)+SUM(H$6:H35)+SUM(K$6:K35)+SUM(N$6:N35)+SUM(Q$6:Q35)+SUM(T$6:T35)</f>
        <v>56372208</v>
      </c>
      <c r="AA35" s="309">
        <f t="shared" si="10"/>
        <v>14277792</v>
      </c>
      <c r="AB35" s="309">
        <f t="shared" si="11"/>
        <v>0</v>
      </c>
      <c r="AC35" s="309">
        <f>MAX(F$6:F35)+MAX(I$6:I35)+MAX(L$6:L35)</f>
        <v>34400000</v>
      </c>
      <c r="AD35" s="309">
        <f>SUM(H$6:H35)+SUM(K$6:K35)+SUM(N$6:N35)</f>
        <v>31455552</v>
      </c>
      <c r="AE35" s="309">
        <f t="shared" si="12"/>
        <v>2944448</v>
      </c>
      <c r="AF35" s="309">
        <f>MAX(C$6:C35)+MAX(O$6:O35)+MAX(R$6:R35)</f>
        <v>36250000</v>
      </c>
      <c r="AG35" s="309">
        <f>SUM(E$6:E35)+SUM(Q$6:Q35)+SUM(T$6:T35)</f>
        <v>24916656</v>
      </c>
      <c r="AH35" s="309">
        <f t="shared" si="13"/>
        <v>11333344</v>
      </c>
      <c r="AI35" s="309">
        <f t="shared" si="14"/>
        <v>70650000</v>
      </c>
      <c r="AJ35" s="309">
        <f t="shared" si="15"/>
        <v>56372208</v>
      </c>
      <c r="AK35" s="309">
        <f t="shared" si="16"/>
        <v>14277792</v>
      </c>
      <c r="AL35" s="309">
        <f t="shared" si="17"/>
        <v>0</v>
      </c>
      <c r="AM35" s="309">
        <f t="shared" si="20"/>
        <v>0</v>
      </c>
      <c r="AN35" s="309">
        <f t="shared" si="21"/>
        <v>0</v>
      </c>
    </row>
    <row r="36" spans="1:40" x14ac:dyDescent="0.35">
      <c r="A36" s="18">
        <v>29</v>
      </c>
      <c r="B36" s="184">
        <v>42886</v>
      </c>
      <c r="C36" s="175">
        <f>MAX(C$6:C35)-SUM(E$6:E35)</f>
        <v>10666672</v>
      </c>
      <c r="D36" s="309">
        <f>IF(C36=0,0,IF(E35=0,MAX(D$6:D35),D35-1))</f>
        <v>32</v>
      </c>
      <c r="E36" s="309">
        <f t="shared" si="0"/>
        <v>333334</v>
      </c>
      <c r="F36" s="175">
        <f>MAX(F$6:F35)-SUM(H$6:H35)</f>
        <v>0</v>
      </c>
      <c r="G36" s="309">
        <f>IF(F36=0,0,IF(H35=0,MAX(G$6:G35),G35-1))</f>
        <v>0</v>
      </c>
      <c r="H36" s="309">
        <f t="shared" si="1"/>
        <v>0</v>
      </c>
      <c r="I36" s="175">
        <f>MAX(I$6:I35)-SUM(K$6:K35)</f>
        <v>2077780</v>
      </c>
      <c r="J36" s="309">
        <f>IF(I36=0,0,IF(K35=0,MAX(J$6:J35),J35-1))</f>
        <v>8</v>
      </c>
      <c r="K36" s="309">
        <f t="shared" si="2"/>
        <v>259723</v>
      </c>
      <c r="L36" s="175">
        <f>MAX(L$6:L35)-SUM(N$6:N35)</f>
        <v>866668</v>
      </c>
      <c r="M36" s="309">
        <f>IF(L36=0,0,IF(N35=0,MAX(M$6:M35),M35-1))</f>
        <v>8</v>
      </c>
      <c r="N36" s="309">
        <f t="shared" si="3"/>
        <v>108334</v>
      </c>
      <c r="O36" s="175">
        <f>MAX(O$6:O35)-SUM(Q$6:Q35)</f>
        <v>0</v>
      </c>
      <c r="P36" s="309">
        <f>IF(O36=0,0,IF(Q35=0,MAX(P$6:P35),P35-1))</f>
        <v>0</v>
      </c>
      <c r="Q36" s="309">
        <f t="shared" si="4"/>
        <v>0</v>
      </c>
      <c r="R36" s="175">
        <f>MAX(R$6:R35)-SUM(T$6:T35)</f>
        <v>666672</v>
      </c>
      <c r="S36" s="309">
        <f>IF(R36=0,0,IF(T35=0,MAX(S$6:S35),S35-1))</f>
        <v>32</v>
      </c>
      <c r="T36" s="309">
        <f t="shared" si="5"/>
        <v>20834</v>
      </c>
      <c r="U36" s="309">
        <f t="shared" si="6"/>
        <v>722225</v>
      </c>
      <c r="V36" s="309">
        <f t="shared" si="7"/>
        <v>14277792</v>
      </c>
      <c r="W36" s="309">
        <f t="shared" si="8"/>
        <v>722225</v>
      </c>
      <c r="X36" s="309">
        <f t="shared" si="9"/>
        <v>13555567</v>
      </c>
      <c r="Y36" s="309">
        <f>MAX(C$6:C36)+MAX(F$6:F36)+MAX(I$6:I36)+MAX(L$6:L36)+MAX(O$6:O36)+MAX(R$6:R36)</f>
        <v>70650000</v>
      </c>
      <c r="Z36" s="309">
        <f>SUM(E$6:E36)+SUM(H$6:H36)+SUM(K$6:K36)+SUM(N$6:N36)+SUM(Q$6:Q36)+SUM(T$6:T36)</f>
        <v>57094433</v>
      </c>
      <c r="AA36" s="309">
        <f t="shared" si="10"/>
        <v>13555567</v>
      </c>
      <c r="AB36" s="309">
        <f t="shared" si="11"/>
        <v>0</v>
      </c>
      <c r="AC36" s="309">
        <f>MAX(F$6:F36)+MAX(I$6:I36)+MAX(L$6:L36)</f>
        <v>34400000</v>
      </c>
      <c r="AD36" s="309">
        <f>SUM(H$6:H36)+SUM(K$6:K36)+SUM(N$6:N36)</f>
        <v>31823609</v>
      </c>
      <c r="AE36" s="309">
        <f t="shared" si="12"/>
        <v>2576391</v>
      </c>
      <c r="AF36" s="309">
        <f>MAX(C$6:C36)+MAX(O$6:O36)+MAX(R$6:R36)</f>
        <v>36250000</v>
      </c>
      <c r="AG36" s="309">
        <f>SUM(E$6:E36)+SUM(Q$6:Q36)+SUM(T$6:T36)</f>
        <v>25270824</v>
      </c>
      <c r="AH36" s="309">
        <f t="shared" si="13"/>
        <v>10979176</v>
      </c>
      <c r="AI36" s="309">
        <f t="shared" si="14"/>
        <v>70650000</v>
      </c>
      <c r="AJ36" s="309">
        <f t="shared" si="15"/>
        <v>57094433</v>
      </c>
      <c r="AK36" s="309">
        <f t="shared" si="16"/>
        <v>13555567</v>
      </c>
      <c r="AL36" s="309">
        <f t="shared" si="17"/>
        <v>0</v>
      </c>
      <c r="AM36" s="309">
        <f t="shared" si="20"/>
        <v>0</v>
      </c>
      <c r="AN36" s="309">
        <f t="shared" si="21"/>
        <v>0</v>
      </c>
    </row>
    <row r="37" spans="1:40" x14ac:dyDescent="0.35">
      <c r="A37" s="18">
        <v>30</v>
      </c>
      <c r="B37" s="184">
        <v>42916</v>
      </c>
      <c r="C37" s="175">
        <f>MAX(C$6:C36)-SUM(E$6:E36)</f>
        <v>10333338</v>
      </c>
      <c r="D37" s="309">
        <f>IF(C37=0,0,IF(E36=0,MAX(D$6:D36),D36-1))</f>
        <v>31</v>
      </c>
      <c r="E37" s="309">
        <f t="shared" si="0"/>
        <v>333333</v>
      </c>
      <c r="F37" s="175">
        <f>MAX(F$6:F36)-SUM(H$6:H36)</f>
        <v>0</v>
      </c>
      <c r="G37" s="309">
        <f>IF(F37=0,0,IF(H36=0,MAX(G$6:G36),G36-1))</f>
        <v>0</v>
      </c>
      <c r="H37" s="309">
        <f t="shared" si="1"/>
        <v>0</v>
      </c>
      <c r="I37" s="175">
        <f>MAX(I$6:I36)-SUM(K$6:K36)</f>
        <v>1818057</v>
      </c>
      <c r="J37" s="309">
        <f>IF(I37=0,0,IF(K36=0,MAX(J$6:J36),J36-1))</f>
        <v>7</v>
      </c>
      <c r="K37" s="309">
        <f t="shared" si="2"/>
        <v>259722</v>
      </c>
      <c r="L37" s="175">
        <f>MAX(L$6:L36)-SUM(N$6:N36)</f>
        <v>758334</v>
      </c>
      <c r="M37" s="309">
        <f>IF(L37=0,0,IF(N36=0,MAX(M$6:M36),M36-1))</f>
        <v>7</v>
      </c>
      <c r="N37" s="309">
        <f t="shared" si="3"/>
        <v>108333</v>
      </c>
      <c r="O37" s="175">
        <f>MAX(O$6:O36)-SUM(Q$6:Q36)</f>
        <v>0</v>
      </c>
      <c r="P37" s="309">
        <f>IF(O37=0,0,IF(Q36=0,MAX(P$6:P36),P36-1))</f>
        <v>0</v>
      </c>
      <c r="Q37" s="309">
        <f t="shared" si="4"/>
        <v>0</v>
      </c>
      <c r="R37" s="175">
        <f>MAX(R$6:R36)-SUM(T$6:T36)</f>
        <v>645838</v>
      </c>
      <c r="S37" s="309">
        <f>IF(R37=0,0,IF(T36=0,MAX(S$6:S36),S36-1))</f>
        <v>31</v>
      </c>
      <c r="T37" s="309">
        <f t="shared" si="5"/>
        <v>20833</v>
      </c>
      <c r="U37" s="309">
        <f t="shared" si="6"/>
        <v>722221</v>
      </c>
      <c r="V37" s="309">
        <f t="shared" si="7"/>
        <v>13555567</v>
      </c>
      <c r="W37" s="309">
        <f t="shared" si="8"/>
        <v>722221</v>
      </c>
      <c r="X37" s="309">
        <f t="shared" si="9"/>
        <v>12833346</v>
      </c>
      <c r="Y37" s="309">
        <f>MAX(C$6:C37)+MAX(F$6:F37)+MAX(I$6:I37)+MAX(L$6:L37)+MAX(O$6:O37)+MAX(R$6:R37)</f>
        <v>70650000</v>
      </c>
      <c r="Z37" s="309">
        <f>SUM(E$6:E37)+SUM(H$6:H37)+SUM(K$6:K37)+SUM(N$6:N37)+SUM(Q$6:Q37)+SUM(T$6:T37)</f>
        <v>57816654</v>
      </c>
      <c r="AA37" s="309">
        <f t="shared" si="10"/>
        <v>12833346</v>
      </c>
      <c r="AB37" s="309">
        <f t="shared" si="11"/>
        <v>0</v>
      </c>
      <c r="AC37" s="309">
        <f>MAX(F$6:F37)+MAX(I$6:I37)+MAX(L$6:L37)</f>
        <v>34400000</v>
      </c>
      <c r="AD37" s="309">
        <f>SUM(H$6:H37)+SUM(K$6:K37)+SUM(N$6:N37)</f>
        <v>32191664</v>
      </c>
      <c r="AE37" s="309">
        <f t="shared" si="12"/>
        <v>2208336</v>
      </c>
      <c r="AF37" s="309">
        <f>MAX(C$6:C37)+MAX(O$6:O37)+MAX(R$6:R37)</f>
        <v>36250000</v>
      </c>
      <c r="AG37" s="309">
        <f>SUM(E$6:E37)+SUM(Q$6:Q37)+SUM(T$6:T37)</f>
        <v>25624990</v>
      </c>
      <c r="AH37" s="309">
        <f t="shared" si="13"/>
        <v>10625010</v>
      </c>
      <c r="AI37" s="309">
        <f t="shared" si="14"/>
        <v>70650000</v>
      </c>
      <c r="AJ37" s="309">
        <f t="shared" si="15"/>
        <v>57816654</v>
      </c>
      <c r="AK37" s="309">
        <f t="shared" si="16"/>
        <v>12833346</v>
      </c>
      <c r="AL37" s="309">
        <f t="shared" si="17"/>
        <v>0</v>
      </c>
      <c r="AM37" s="309">
        <f t="shared" si="20"/>
        <v>0</v>
      </c>
      <c r="AN37" s="309">
        <f t="shared" si="21"/>
        <v>0</v>
      </c>
    </row>
    <row r="38" spans="1:40" x14ac:dyDescent="0.35">
      <c r="A38" s="18">
        <v>31</v>
      </c>
      <c r="B38" s="184">
        <v>42947</v>
      </c>
      <c r="C38" s="175">
        <f>MAX(C$6:C37)-SUM(E$6:E37)</f>
        <v>10000005</v>
      </c>
      <c r="D38" s="309">
        <f>IF(C38=0,0,IF(E37=0,MAX(D$6:D37),D37-1))</f>
        <v>30</v>
      </c>
      <c r="E38" s="309">
        <f t="shared" si="0"/>
        <v>333334</v>
      </c>
      <c r="F38" s="175">
        <f>MAX(F$6:F37)-SUM(H$6:H37)</f>
        <v>0</v>
      </c>
      <c r="G38" s="309">
        <f>IF(F38=0,0,IF(H37=0,MAX(G$6:G37),G37-1))</f>
        <v>0</v>
      </c>
      <c r="H38" s="309">
        <f t="shared" si="1"/>
        <v>0</v>
      </c>
      <c r="I38" s="175">
        <f>MAX(I$6:I37)-SUM(K$6:K37)</f>
        <v>1558335</v>
      </c>
      <c r="J38" s="309">
        <f>IF(I38=0,0,IF(K37=0,MAX(J$6:J37),J37-1))</f>
        <v>6</v>
      </c>
      <c r="K38" s="309">
        <f t="shared" si="2"/>
        <v>259723</v>
      </c>
      <c r="L38" s="175">
        <f>MAX(L$6:L37)-SUM(N$6:N37)</f>
        <v>650001</v>
      </c>
      <c r="M38" s="309">
        <f>IF(L38=0,0,IF(N37=0,MAX(M$6:M37),M37-1))</f>
        <v>6</v>
      </c>
      <c r="N38" s="309">
        <f t="shared" si="3"/>
        <v>108334</v>
      </c>
      <c r="O38" s="175">
        <f>MAX(O$6:O37)-SUM(Q$6:Q37)</f>
        <v>0</v>
      </c>
      <c r="P38" s="309">
        <f>IF(O38=0,0,IF(Q37=0,MAX(P$6:P37),P37-1))</f>
        <v>0</v>
      </c>
      <c r="Q38" s="309">
        <f t="shared" si="4"/>
        <v>0</v>
      </c>
      <c r="R38" s="175">
        <f>MAX(R$6:R37)-SUM(T$6:T37)</f>
        <v>625005</v>
      </c>
      <c r="S38" s="309">
        <f>IF(R38=0,0,IF(T37=0,MAX(S$6:S37),S37-1))</f>
        <v>30</v>
      </c>
      <c r="T38" s="309">
        <f t="shared" si="5"/>
        <v>20834</v>
      </c>
      <c r="U38" s="309">
        <f t="shared" si="6"/>
        <v>722225</v>
      </c>
      <c r="V38" s="309">
        <f t="shared" si="7"/>
        <v>12833346</v>
      </c>
      <c r="W38" s="309">
        <f t="shared" si="8"/>
        <v>722225</v>
      </c>
      <c r="X38" s="309">
        <f t="shared" si="9"/>
        <v>12111121</v>
      </c>
      <c r="Y38" s="309">
        <f>MAX(C$6:C38)+MAX(F$6:F38)+MAX(I$6:I38)+MAX(L$6:L38)+MAX(O$6:O38)+MAX(R$6:R38)</f>
        <v>70650000</v>
      </c>
      <c r="Z38" s="309">
        <f>SUM(E$6:E38)+SUM(H$6:H38)+SUM(K$6:K38)+SUM(N$6:N38)+SUM(Q$6:Q38)+SUM(T$6:T38)</f>
        <v>58538879</v>
      </c>
      <c r="AA38" s="309">
        <f t="shared" si="10"/>
        <v>12111121</v>
      </c>
      <c r="AB38" s="309">
        <f t="shared" si="11"/>
        <v>0</v>
      </c>
      <c r="AC38" s="309">
        <f>MAX(F$6:F38)+MAX(I$6:I38)+MAX(L$6:L38)</f>
        <v>34400000</v>
      </c>
      <c r="AD38" s="309">
        <f>SUM(H$6:H38)+SUM(K$6:K38)+SUM(N$6:N38)</f>
        <v>32559721</v>
      </c>
      <c r="AE38" s="309">
        <f t="shared" si="12"/>
        <v>1840279</v>
      </c>
      <c r="AF38" s="309">
        <f>MAX(C$6:C38)+MAX(O$6:O38)+MAX(R$6:R38)</f>
        <v>36250000</v>
      </c>
      <c r="AG38" s="309">
        <f>SUM(E$6:E38)+SUM(Q$6:Q38)+SUM(T$6:T38)</f>
        <v>25979158</v>
      </c>
      <c r="AH38" s="309">
        <f t="shared" si="13"/>
        <v>10270842</v>
      </c>
      <c r="AI38" s="309">
        <f t="shared" si="14"/>
        <v>70650000</v>
      </c>
      <c r="AJ38" s="309">
        <f t="shared" si="15"/>
        <v>58538879</v>
      </c>
      <c r="AK38" s="309">
        <f t="shared" si="16"/>
        <v>12111121</v>
      </c>
      <c r="AL38" s="309">
        <f t="shared" si="17"/>
        <v>0</v>
      </c>
      <c r="AM38" s="309">
        <f t="shared" si="20"/>
        <v>0</v>
      </c>
      <c r="AN38" s="309">
        <f t="shared" si="21"/>
        <v>0</v>
      </c>
    </row>
    <row r="39" spans="1:40" x14ac:dyDescent="0.35">
      <c r="A39" s="18">
        <v>32</v>
      </c>
      <c r="B39" s="184">
        <v>42978</v>
      </c>
      <c r="C39" s="175">
        <f>MAX(C$6:C38)-SUM(E$6:E38)</f>
        <v>9666671</v>
      </c>
      <c r="D39" s="309">
        <f>IF(C39=0,0,IF(E38=0,MAX(D$6:D38),D38-1))</f>
        <v>29</v>
      </c>
      <c r="E39" s="309">
        <f t="shared" si="0"/>
        <v>333333</v>
      </c>
      <c r="F39" s="175">
        <f>MAX(F$6:F38)-SUM(H$6:H38)</f>
        <v>0</v>
      </c>
      <c r="G39" s="309">
        <f>IF(F39=0,0,IF(H38=0,MAX(G$6:G38),G38-1))</f>
        <v>0</v>
      </c>
      <c r="H39" s="309">
        <f t="shared" si="1"/>
        <v>0</v>
      </c>
      <c r="I39" s="175">
        <f>MAX(I$6:I38)-SUM(K$6:K38)</f>
        <v>1298612</v>
      </c>
      <c r="J39" s="309">
        <f>IF(I39=0,0,IF(K38=0,MAX(J$6:J38),J38-1))</f>
        <v>5</v>
      </c>
      <c r="K39" s="309">
        <f t="shared" si="2"/>
        <v>259722</v>
      </c>
      <c r="L39" s="175">
        <f>MAX(L$6:L38)-SUM(N$6:N38)</f>
        <v>541667</v>
      </c>
      <c r="M39" s="309">
        <f>IF(L39=0,0,IF(N38=0,MAX(M$6:M38),M38-1))</f>
        <v>5</v>
      </c>
      <c r="N39" s="309">
        <f t="shared" si="3"/>
        <v>108333</v>
      </c>
      <c r="O39" s="175">
        <f>MAX(O$6:O38)-SUM(Q$6:Q38)</f>
        <v>0</v>
      </c>
      <c r="P39" s="309">
        <f>IF(O39=0,0,IF(Q38=0,MAX(P$6:P38),P38-1))</f>
        <v>0</v>
      </c>
      <c r="Q39" s="309">
        <f t="shared" si="4"/>
        <v>0</v>
      </c>
      <c r="R39" s="175">
        <f>MAX(R$6:R38)-SUM(T$6:T38)</f>
        <v>604171</v>
      </c>
      <c r="S39" s="309">
        <f>IF(R39=0,0,IF(T38=0,MAX(S$6:S38),S38-1))</f>
        <v>29</v>
      </c>
      <c r="T39" s="309">
        <f t="shared" si="5"/>
        <v>20833</v>
      </c>
      <c r="U39" s="309">
        <f t="shared" si="6"/>
        <v>722221</v>
      </c>
      <c r="V39" s="309">
        <f t="shared" si="7"/>
        <v>12111121</v>
      </c>
      <c r="W39" s="309">
        <f t="shared" si="8"/>
        <v>722221</v>
      </c>
      <c r="X39" s="309">
        <f t="shared" si="9"/>
        <v>11388900</v>
      </c>
      <c r="Y39" s="309">
        <f>MAX(C$6:C39)+MAX(F$6:F39)+MAX(I$6:I39)+MAX(L$6:L39)+MAX(O$6:O39)+MAX(R$6:R39)</f>
        <v>70650000</v>
      </c>
      <c r="Z39" s="309">
        <f>SUM(E$6:E39)+SUM(H$6:H39)+SUM(K$6:K39)+SUM(N$6:N39)+SUM(Q$6:Q39)+SUM(T$6:T39)</f>
        <v>59261100</v>
      </c>
      <c r="AA39" s="309">
        <f t="shared" si="10"/>
        <v>11388900</v>
      </c>
      <c r="AB39" s="309">
        <f t="shared" si="11"/>
        <v>0</v>
      </c>
      <c r="AC39" s="309">
        <f>MAX(F$6:F39)+MAX(I$6:I39)+MAX(L$6:L39)</f>
        <v>34400000</v>
      </c>
      <c r="AD39" s="309">
        <f>SUM(H$6:H39)+SUM(K$6:K39)+SUM(N$6:N39)</f>
        <v>32927776</v>
      </c>
      <c r="AE39" s="309">
        <f t="shared" si="12"/>
        <v>1472224</v>
      </c>
      <c r="AF39" s="309">
        <f>MAX(C$6:C39)+MAX(O$6:O39)+MAX(R$6:R39)</f>
        <v>36250000</v>
      </c>
      <c r="AG39" s="309">
        <f>SUM(E$6:E39)+SUM(Q$6:Q39)+SUM(T$6:T39)</f>
        <v>26333324</v>
      </c>
      <c r="AH39" s="309">
        <f t="shared" si="13"/>
        <v>9916676</v>
      </c>
      <c r="AI39" s="309">
        <f t="shared" si="14"/>
        <v>70650000</v>
      </c>
      <c r="AJ39" s="309">
        <f t="shared" si="15"/>
        <v>59261100</v>
      </c>
      <c r="AK39" s="309">
        <f t="shared" si="16"/>
        <v>11388900</v>
      </c>
      <c r="AL39" s="309">
        <f t="shared" si="17"/>
        <v>0</v>
      </c>
      <c r="AM39" s="309">
        <f t="shared" si="20"/>
        <v>0</v>
      </c>
      <c r="AN39" s="309">
        <f t="shared" si="21"/>
        <v>0</v>
      </c>
    </row>
    <row r="40" spans="1:40" x14ac:dyDescent="0.35">
      <c r="A40" s="18">
        <v>33</v>
      </c>
      <c r="B40" s="184">
        <v>43008</v>
      </c>
      <c r="C40" s="175">
        <f>MAX(C$6:C39)-SUM(E$6:E39)</f>
        <v>9333338</v>
      </c>
      <c r="D40" s="309">
        <f>IF(C40=0,0,IF(E39=0,MAX(D$6:D39),D39-1))</f>
        <v>28</v>
      </c>
      <c r="E40" s="309">
        <f t="shared" si="0"/>
        <v>333334</v>
      </c>
      <c r="F40" s="175">
        <f>MAX(F$6:F39)-SUM(H$6:H39)</f>
        <v>0</v>
      </c>
      <c r="G40" s="309">
        <f>IF(F40=0,0,IF(H39=0,MAX(G$6:G39),G39-1))</f>
        <v>0</v>
      </c>
      <c r="H40" s="309">
        <f t="shared" si="1"/>
        <v>0</v>
      </c>
      <c r="I40" s="175">
        <f>MAX(I$6:I39)-SUM(K$6:K39)</f>
        <v>1038890</v>
      </c>
      <c r="J40" s="309">
        <f>IF(I40=0,0,IF(K39=0,MAX(J$6:J39),J39-1))</f>
        <v>4</v>
      </c>
      <c r="K40" s="309">
        <f t="shared" si="2"/>
        <v>259723</v>
      </c>
      <c r="L40" s="175">
        <f>MAX(L$6:L39)-SUM(N$6:N39)</f>
        <v>433334</v>
      </c>
      <c r="M40" s="309">
        <f>IF(L40=0,0,IF(N39=0,MAX(M$6:M39),M39-1))</f>
        <v>4</v>
      </c>
      <c r="N40" s="309">
        <f t="shared" si="3"/>
        <v>108334</v>
      </c>
      <c r="O40" s="175">
        <f>MAX(O$6:O39)-SUM(Q$6:Q39)</f>
        <v>0</v>
      </c>
      <c r="P40" s="309">
        <f>IF(O40=0,0,IF(Q39=0,MAX(P$6:P39),P39-1))</f>
        <v>0</v>
      </c>
      <c r="Q40" s="309">
        <f t="shared" si="4"/>
        <v>0</v>
      </c>
      <c r="R40" s="175">
        <f>MAX(R$6:R39)-SUM(T$6:T39)</f>
        <v>583338</v>
      </c>
      <c r="S40" s="309">
        <f>IF(R40=0,0,IF(T39=0,MAX(S$6:S39),S39-1))</f>
        <v>28</v>
      </c>
      <c r="T40" s="309">
        <f t="shared" si="5"/>
        <v>20834</v>
      </c>
      <c r="U40" s="309">
        <f t="shared" si="6"/>
        <v>722225</v>
      </c>
      <c r="V40" s="309">
        <f t="shared" si="7"/>
        <v>11388900</v>
      </c>
      <c r="W40" s="309">
        <f t="shared" si="8"/>
        <v>722225</v>
      </c>
      <c r="X40" s="309">
        <f t="shared" si="9"/>
        <v>10666675</v>
      </c>
      <c r="Y40" s="309">
        <f>MAX(C$6:C40)+MAX(F$6:F40)+MAX(I$6:I40)+MAX(L$6:L40)+MAX(O$6:O40)+MAX(R$6:R40)</f>
        <v>70650000</v>
      </c>
      <c r="Z40" s="309">
        <f>SUM(E$6:E40)+SUM(H$6:H40)+SUM(K$6:K40)+SUM(N$6:N40)+SUM(Q$6:Q40)+SUM(T$6:T40)</f>
        <v>59983325</v>
      </c>
      <c r="AA40" s="309">
        <f t="shared" si="10"/>
        <v>10666675</v>
      </c>
      <c r="AB40" s="309">
        <f t="shared" si="11"/>
        <v>0</v>
      </c>
      <c r="AC40" s="309">
        <f>MAX(F$6:F40)+MAX(I$6:I40)+MAX(L$6:L40)</f>
        <v>34400000</v>
      </c>
      <c r="AD40" s="309">
        <f>SUM(H$6:H40)+SUM(K$6:K40)+SUM(N$6:N40)</f>
        <v>33295833</v>
      </c>
      <c r="AE40" s="309">
        <f t="shared" si="12"/>
        <v>1104167</v>
      </c>
      <c r="AF40" s="309">
        <f>MAX(C$6:C40)+MAX(O$6:O40)+MAX(R$6:R40)</f>
        <v>36250000</v>
      </c>
      <c r="AG40" s="309">
        <f>SUM(E$6:E40)+SUM(Q$6:Q40)+SUM(T$6:T40)</f>
        <v>26687492</v>
      </c>
      <c r="AH40" s="309">
        <f t="shared" si="13"/>
        <v>9562508</v>
      </c>
      <c r="AI40" s="309">
        <f t="shared" si="14"/>
        <v>70650000</v>
      </c>
      <c r="AJ40" s="309">
        <f t="shared" si="15"/>
        <v>59983325</v>
      </c>
      <c r="AK40" s="309">
        <f t="shared" si="16"/>
        <v>10666675</v>
      </c>
      <c r="AL40" s="309">
        <f t="shared" si="17"/>
        <v>0</v>
      </c>
      <c r="AM40" s="309">
        <f t="shared" si="20"/>
        <v>0</v>
      </c>
      <c r="AN40" s="309">
        <f t="shared" si="21"/>
        <v>0</v>
      </c>
    </row>
    <row r="41" spans="1:40" x14ac:dyDescent="0.35">
      <c r="A41" s="18">
        <v>34</v>
      </c>
      <c r="B41" s="184">
        <v>43039</v>
      </c>
      <c r="C41" s="175">
        <f>MAX(C$6:C40)-SUM(E$6:E40)</f>
        <v>9000004</v>
      </c>
      <c r="D41" s="309">
        <f>IF(C41=0,0,IF(E40=0,MAX(D$6:D40),D40-1))</f>
        <v>27</v>
      </c>
      <c r="E41" s="309">
        <f t="shared" si="0"/>
        <v>333333</v>
      </c>
      <c r="F41" s="175">
        <f>MAX(F$6:F40)-SUM(H$6:H40)</f>
        <v>0</v>
      </c>
      <c r="G41" s="309">
        <f>IF(F41=0,0,IF(H40=0,MAX(G$6:G40),G40-1))</f>
        <v>0</v>
      </c>
      <c r="H41" s="309">
        <f t="shared" si="1"/>
        <v>0</v>
      </c>
      <c r="I41" s="175">
        <f>MAX(I$6:I40)-SUM(K$6:K40)</f>
        <v>779167</v>
      </c>
      <c r="J41" s="309">
        <f>IF(I41=0,0,IF(K40=0,MAX(J$6:J40),J40-1))</f>
        <v>3</v>
      </c>
      <c r="K41" s="309">
        <f t="shared" si="2"/>
        <v>259722</v>
      </c>
      <c r="L41" s="175">
        <f>MAX(L$6:L40)-SUM(N$6:N40)</f>
        <v>325000</v>
      </c>
      <c r="M41" s="309">
        <f>IF(L41=0,0,IF(N40=0,MAX(M$6:M40),M40-1))</f>
        <v>3</v>
      </c>
      <c r="N41" s="309">
        <f t="shared" si="3"/>
        <v>108333</v>
      </c>
      <c r="O41" s="175">
        <f>MAX(O$6:O40)-SUM(Q$6:Q40)</f>
        <v>0</v>
      </c>
      <c r="P41" s="309">
        <f>IF(O41=0,0,IF(Q40=0,MAX(P$6:P40),P40-1))</f>
        <v>0</v>
      </c>
      <c r="Q41" s="309">
        <f t="shared" si="4"/>
        <v>0</v>
      </c>
      <c r="R41" s="175">
        <f>MAX(R$6:R40)-SUM(T$6:T40)</f>
        <v>562504</v>
      </c>
      <c r="S41" s="309">
        <f>IF(R41=0,0,IF(T40=0,MAX(S$6:S40),S40-1))</f>
        <v>27</v>
      </c>
      <c r="T41" s="309">
        <f t="shared" si="5"/>
        <v>20833</v>
      </c>
      <c r="U41" s="309">
        <f t="shared" si="6"/>
        <v>722221</v>
      </c>
      <c r="V41" s="309">
        <f t="shared" si="7"/>
        <v>10666675</v>
      </c>
      <c r="W41" s="309">
        <f t="shared" si="8"/>
        <v>722221</v>
      </c>
      <c r="X41" s="309">
        <f t="shared" si="9"/>
        <v>9944454</v>
      </c>
      <c r="Y41" s="309">
        <f>MAX(C$6:C41)+MAX(F$6:F41)+MAX(I$6:I41)+MAX(L$6:L41)+MAX(O$6:O41)+MAX(R$6:R41)</f>
        <v>70650000</v>
      </c>
      <c r="Z41" s="309">
        <f>SUM(E$6:E41)+SUM(H$6:H41)+SUM(K$6:K41)+SUM(N$6:N41)+SUM(Q$6:Q41)+SUM(T$6:T41)</f>
        <v>60705546</v>
      </c>
      <c r="AA41" s="309">
        <f t="shared" si="10"/>
        <v>9944454</v>
      </c>
      <c r="AB41" s="309">
        <f t="shared" si="11"/>
        <v>0</v>
      </c>
      <c r="AC41" s="309">
        <f>MAX(F$6:F41)+MAX(I$6:I41)+MAX(L$6:L41)</f>
        <v>34400000</v>
      </c>
      <c r="AD41" s="309">
        <f>SUM(H$6:H41)+SUM(K$6:K41)+SUM(N$6:N41)</f>
        <v>33663888</v>
      </c>
      <c r="AE41" s="309">
        <f t="shared" si="12"/>
        <v>736112</v>
      </c>
      <c r="AF41" s="309">
        <f>MAX(C$6:C41)+MAX(O$6:O41)+MAX(R$6:R41)</f>
        <v>36250000</v>
      </c>
      <c r="AG41" s="309">
        <f>SUM(E$6:E41)+SUM(Q$6:Q41)+SUM(T$6:T41)</f>
        <v>27041658</v>
      </c>
      <c r="AH41" s="309">
        <f t="shared" si="13"/>
        <v>9208342</v>
      </c>
      <c r="AI41" s="309">
        <f t="shared" si="14"/>
        <v>70650000</v>
      </c>
      <c r="AJ41" s="309">
        <f t="shared" si="15"/>
        <v>60705546</v>
      </c>
      <c r="AK41" s="309">
        <f t="shared" si="16"/>
        <v>9944454</v>
      </c>
      <c r="AL41" s="309">
        <f t="shared" si="17"/>
        <v>0</v>
      </c>
      <c r="AM41" s="309">
        <f t="shared" si="20"/>
        <v>0</v>
      </c>
      <c r="AN41" s="309">
        <f t="shared" si="21"/>
        <v>0</v>
      </c>
    </row>
    <row r="42" spans="1:40" x14ac:dyDescent="0.35">
      <c r="A42" s="18">
        <v>35</v>
      </c>
      <c r="B42" s="184">
        <v>43069</v>
      </c>
      <c r="C42" s="175">
        <f>MAX(C$6:C41)-SUM(E$6:E41)</f>
        <v>8666671</v>
      </c>
      <c r="D42" s="309">
        <f>IF(C42=0,0,IF(E41=0,MAX(D$6:D41),D41-1))</f>
        <v>26</v>
      </c>
      <c r="E42" s="309">
        <f t="shared" si="0"/>
        <v>333334</v>
      </c>
      <c r="F42" s="175">
        <f>MAX(F$6:F41)-SUM(H$6:H41)</f>
        <v>0</v>
      </c>
      <c r="G42" s="309">
        <f>IF(F42=0,0,IF(H41=0,MAX(G$6:G41),G41-1))</f>
        <v>0</v>
      </c>
      <c r="H42" s="309">
        <f t="shared" si="1"/>
        <v>0</v>
      </c>
      <c r="I42" s="175">
        <f>MAX(I$6:I41)-SUM(K$6:K41)</f>
        <v>519445</v>
      </c>
      <c r="J42" s="309">
        <f>IF(I42=0,0,IF(K41=0,MAX(J$6:J41),J41-1))</f>
        <v>2</v>
      </c>
      <c r="K42" s="309">
        <f t="shared" si="2"/>
        <v>259723</v>
      </c>
      <c r="L42" s="175">
        <f>MAX(L$6:L41)-SUM(N$6:N41)</f>
        <v>216667</v>
      </c>
      <c r="M42" s="309">
        <f>IF(L42=0,0,IF(N41=0,MAX(M$6:M41),M41-1))</f>
        <v>2</v>
      </c>
      <c r="N42" s="309">
        <f t="shared" si="3"/>
        <v>108334</v>
      </c>
      <c r="O42" s="175">
        <f>MAX(O$6:O41)-SUM(Q$6:Q41)</f>
        <v>0</v>
      </c>
      <c r="P42" s="309">
        <f>IF(O42=0,0,IF(Q41=0,MAX(P$6:P41),P41-1))</f>
        <v>0</v>
      </c>
      <c r="Q42" s="309">
        <f t="shared" si="4"/>
        <v>0</v>
      </c>
      <c r="R42" s="175">
        <f>MAX(R$6:R41)-SUM(T$6:T41)</f>
        <v>541671</v>
      </c>
      <c r="S42" s="309">
        <f>IF(R42=0,0,IF(T41=0,MAX(S$6:S41),S41-1))</f>
        <v>26</v>
      </c>
      <c r="T42" s="309">
        <f t="shared" si="5"/>
        <v>20834</v>
      </c>
      <c r="U42" s="309">
        <f t="shared" si="6"/>
        <v>722225</v>
      </c>
      <c r="V42" s="309">
        <f t="shared" si="7"/>
        <v>9944454</v>
      </c>
      <c r="W42" s="309">
        <f t="shared" si="8"/>
        <v>722225</v>
      </c>
      <c r="X42" s="309">
        <f t="shared" si="9"/>
        <v>9222229</v>
      </c>
      <c r="Y42" s="309">
        <f>MAX(C$6:C42)+MAX(F$6:F42)+MAX(I$6:I42)+MAX(L$6:L42)+MAX(O$6:O42)+MAX(R$6:R42)</f>
        <v>70650000</v>
      </c>
      <c r="Z42" s="309">
        <f>SUM(E$6:E42)+SUM(H$6:H42)+SUM(K$6:K42)+SUM(N$6:N42)+SUM(Q$6:Q42)+SUM(T$6:T42)</f>
        <v>61427771</v>
      </c>
      <c r="AA42" s="309">
        <f t="shared" si="10"/>
        <v>9222229</v>
      </c>
      <c r="AB42" s="309">
        <f t="shared" si="11"/>
        <v>0</v>
      </c>
      <c r="AC42" s="309">
        <f>MAX(F$6:F42)+MAX(I$6:I42)+MAX(L$6:L42)</f>
        <v>34400000</v>
      </c>
      <c r="AD42" s="309">
        <f>SUM(H$6:H42)+SUM(K$6:K42)+SUM(N$6:N42)</f>
        <v>34031945</v>
      </c>
      <c r="AE42" s="309">
        <f t="shared" si="12"/>
        <v>368055</v>
      </c>
      <c r="AF42" s="309">
        <f>MAX(C$6:C42)+MAX(O$6:O42)+MAX(R$6:R42)</f>
        <v>36250000</v>
      </c>
      <c r="AG42" s="309">
        <f>SUM(E$6:E42)+SUM(Q$6:Q42)+SUM(T$6:T42)</f>
        <v>27395826</v>
      </c>
      <c r="AH42" s="309">
        <f t="shared" si="13"/>
        <v>8854174</v>
      </c>
      <c r="AI42" s="309">
        <f t="shared" si="14"/>
        <v>70650000</v>
      </c>
      <c r="AJ42" s="309">
        <f t="shared" si="15"/>
        <v>61427771</v>
      </c>
      <c r="AK42" s="309">
        <f t="shared" si="16"/>
        <v>9222229</v>
      </c>
      <c r="AL42" s="309">
        <f t="shared" si="17"/>
        <v>0</v>
      </c>
      <c r="AM42" s="309">
        <f t="shared" si="20"/>
        <v>0</v>
      </c>
      <c r="AN42" s="309">
        <f t="shared" si="21"/>
        <v>0</v>
      </c>
    </row>
    <row r="43" spans="1:40" x14ac:dyDescent="0.35">
      <c r="A43" s="18">
        <v>36</v>
      </c>
      <c r="B43" s="184">
        <v>43100</v>
      </c>
      <c r="C43" s="175">
        <f>MAX(C$6:C42)-SUM(E$6:E42)</f>
        <v>8333337</v>
      </c>
      <c r="D43" s="309">
        <f>IF(C43=0,0,IF(E42=0,MAX(D$6:D42),D42-1))</f>
        <v>25</v>
      </c>
      <c r="E43" s="309">
        <f t="shared" si="0"/>
        <v>333333</v>
      </c>
      <c r="F43" s="175">
        <f>MAX(F$6:F42)-SUM(H$6:H42)</f>
        <v>0</v>
      </c>
      <c r="G43" s="309">
        <f>IF(F43=0,0,IF(H42=0,MAX(G$6:G42),G42-1))</f>
        <v>0</v>
      </c>
      <c r="H43" s="309">
        <f t="shared" si="1"/>
        <v>0</v>
      </c>
      <c r="I43" s="175">
        <f>MAX(I$6:I42)-SUM(K$6:K42)</f>
        <v>259722</v>
      </c>
      <c r="J43" s="309">
        <f>IF(I43=0,0,IF(K42=0,MAX(J$6:J42),J42-1))</f>
        <v>1</v>
      </c>
      <c r="K43" s="309">
        <f t="shared" si="2"/>
        <v>259722</v>
      </c>
      <c r="L43" s="175">
        <f>MAX(L$6:L42)-SUM(N$6:N42)</f>
        <v>108333</v>
      </c>
      <c r="M43" s="309">
        <f>IF(L43=0,0,IF(N42=0,MAX(M$6:M42),M42-1))</f>
        <v>1</v>
      </c>
      <c r="N43" s="309">
        <f t="shared" si="3"/>
        <v>108333</v>
      </c>
      <c r="O43" s="175">
        <f>MAX(O$6:O42)-SUM(Q$6:Q42)</f>
        <v>0</v>
      </c>
      <c r="P43" s="309">
        <f>IF(O43=0,0,IF(Q42=0,MAX(P$6:P42),P42-1))</f>
        <v>0</v>
      </c>
      <c r="Q43" s="309">
        <f t="shared" si="4"/>
        <v>0</v>
      </c>
      <c r="R43" s="175">
        <f>MAX(R$6:R42)-SUM(T$6:T42)</f>
        <v>520837</v>
      </c>
      <c r="S43" s="309">
        <f>IF(R43=0,0,IF(T42=0,MAX(S$6:S42),S42-1))</f>
        <v>25</v>
      </c>
      <c r="T43" s="309">
        <f t="shared" si="5"/>
        <v>20833</v>
      </c>
      <c r="U43" s="309">
        <f t="shared" si="6"/>
        <v>722221</v>
      </c>
      <c r="V43" s="309">
        <f t="shared" si="7"/>
        <v>9222229</v>
      </c>
      <c r="W43" s="309">
        <f t="shared" si="8"/>
        <v>722221</v>
      </c>
      <c r="X43" s="309">
        <f t="shared" si="9"/>
        <v>8500008</v>
      </c>
      <c r="Y43" s="309">
        <f>MAX(C$6:C43)+MAX(F$6:F43)+MAX(I$6:I43)+MAX(L$6:L43)+MAX(O$6:O43)+MAX(R$6:R43)</f>
        <v>70650000</v>
      </c>
      <c r="Z43" s="309">
        <f>SUM(E$6:E43)+SUM(H$6:H43)+SUM(K$6:K43)+SUM(N$6:N43)+SUM(Q$6:Q43)+SUM(T$6:T43)</f>
        <v>62149992</v>
      </c>
      <c r="AA43" s="309">
        <f t="shared" si="10"/>
        <v>8500008</v>
      </c>
      <c r="AB43" s="309">
        <f t="shared" si="11"/>
        <v>0</v>
      </c>
      <c r="AC43" s="309">
        <f>MAX(F$6:F43)+MAX(I$6:I43)+MAX(L$6:L43)</f>
        <v>34400000</v>
      </c>
      <c r="AD43" s="309">
        <f>SUM(H$6:H43)+SUM(K$6:K43)+SUM(N$6:N43)</f>
        <v>34400000</v>
      </c>
      <c r="AE43" s="309">
        <f t="shared" si="12"/>
        <v>0</v>
      </c>
      <c r="AF43" s="309">
        <f>MAX(C$6:C43)+MAX(O$6:O43)+MAX(R$6:R43)</f>
        <v>36250000</v>
      </c>
      <c r="AG43" s="309">
        <f>SUM(E$6:E43)+SUM(Q$6:Q43)+SUM(T$6:T43)</f>
        <v>27749992</v>
      </c>
      <c r="AH43" s="309">
        <f t="shared" si="13"/>
        <v>8500008</v>
      </c>
      <c r="AI43" s="309">
        <f t="shared" si="14"/>
        <v>70650000</v>
      </c>
      <c r="AJ43" s="309">
        <f t="shared" si="15"/>
        <v>62149992</v>
      </c>
      <c r="AK43" s="309">
        <f t="shared" si="16"/>
        <v>8500008</v>
      </c>
      <c r="AL43" s="309">
        <f t="shared" si="17"/>
        <v>0</v>
      </c>
      <c r="AM43" s="309">
        <f t="shared" si="20"/>
        <v>0</v>
      </c>
      <c r="AN43" s="309">
        <f t="shared" si="21"/>
        <v>0</v>
      </c>
    </row>
    <row r="44" spans="1:40" x14ac:dyDescent="0.35">
      <c r="A44" s="18">
        <v>37</v>
      </c>
      <c r="B44" s="184">
        <v>43131</v>
      </c>
      <c r="C44" s="175">
        <f>MAX(C$6:C43)-SUM(E$6:E43)</f>
        <v>8000004</v>
      </c>
      <c r="D44" s="309">
        <f>IF(C44=0,0,IF(E43=0,MAX(D$6:D43),D43-1))</f>
        <v>24</v>
      </c>
      <c r="E44" s="309">
        <f t="shared" si="0"/>
        <v>333334</v>
      </c>
      <c r="F44" s="175">
        <f>MAX(F$6:F43)-SUM(H$6:H43)</f>
        <v>0</v>
      </c>
      <c r="G44" s="309">
        <f>IF(F44=0,0,IF(H43=0,MAX(G$6:G43),G43-1))</f>
        <v>0</v>
      </c>
      <c r="H44" s="309">
        <f t="shared" si="1"/>
        <v>0</v>
      </c>
      <c r="I44" s="175">
        <f>MAX(I$6:I43)-SUM(K$6:K43)</f>
        <v>0</v>
      </c>
      <c r="J44" s="309">
        <f>IF(I44=0,0,IF(K43=0,MAX(J$6:J43),J43-1))</f>
        <v>0</v>
      </c>
      <c r="K44" s="309">
        <f t="shared" si="2"/>
        <v>0</v>
      </c>
      <c r="L44" s="175">
        <f>MAX(L$6:L43)-SUM(N$6:N43)</f>
        <v>0</v>
      </c>
      <c r="M44" s="309">
        <f>IF(L44=0,0,IF(N43=0,MAX(M$6:M43),M43-1))</f>
        <v>0</v>
      </c>
      <c r="N44" s="309">
        <f t="shared" si="3"/>
        <v>0</v>
      </c>
      <c r="O44" s="175">
        <f>MAX(O$6:O43)-SUM(Q$6:Q43)</f>
        <v>0</v>
      </c>
      <c r="P44" s="309">
        <f>IF(O44=0,0,IF(Q43=0,MAX(P$6:P43),P43-1))</f>
        <v>0</v>
      </c>
      <c r="Q44" s="309">
        <f t="shared" si="4"/>
        <v>0</v>
      </c>
      <c r="R44" s="175">
        <f>MAX(R$6:R43)-SUM(T$6:T43)</f>
        <v>500004</v>
      </c>
      <c r="S44" s="309">
        <f>IF(R44=0,0,IF(T43=0,MAX(S$6:S43),S43-1))</f>
        <v>24</v>
      </c>
      <c r="T44" s="309">
        <f t="shared" si="5"/>
        <v>20834</v>
      </c>
      <c r="U44" s="309">
        <f t="shared" si="6"/>
        <v>354168</v>
      </c>
      <c r="V44" s="309">
        <f t="shared" si="7"/>
        <v>8500008</v>
      </c>
      <c r="W44" s="309">
        <f t="shared" si="8"/>
        <v>354168</v>
      </c>
      <c r="X44" s="309">
        <f t="shared" si="9"/>
        <v>8145840</v>
      </c>
      <c r="Y44" s="309">
        <f>MAX(C$6:C44)+MAX(F$6:F44)+MAX(I$6:I44)+MAX(L$6:L44)+MAX(O$6:O44)+MAX(R$6:R44)</f>
        <v>70650000</v>
      </c>
      <c r="Z44" s="309">
        <f>SUM(E$6:E44)+SUM(H$6:H44)+SUM(K$6:K44)+SUM(N$6:N44)+SUM(Q$6:Q44)+SUM(T$6:T44)</f>
        <v>62504160</v>
      </c>
      <c r="AA44" s="309">
        <f t="shared" si="10"/>
        <v>8145840</v>
      </c>
      <c r="AB44" s="309">
        <f t="shared" si="11"/>
        <v>0</v>
      </c>
      <c r="AC44" s="309">
        <f>MAX(F$6:F44)+MAX(I$6:I44)+MAX(L$6:L44)</f>
        <v>34400000</v>
      </c>
      <c r="AD44" s="309">
        <f>SUM(H$6:H44)+SUM(K$6:K44)+SUM(N$6:N44)</f>
        <v>34400000</v>
      </c>
      <c r="AE44" s="309">
        <f t="shared" si="12"/>
        <v>0</v>
      </c>
      <c r="AF44" s="309">
        <f>MAX(C$6:C44)+MAX(O$6:O44)+MAX(R$6:R44)</f>
        <v>36250000</v>
      </c>
      <c r="AG44" s="309">
        <f>SUM(E$6:E44)+SUM(Q$6:Q44)+SUM(T$6:T44)</f>
        <v>28104160</v>
      </c>
      <c r="AH44" s="309">
        <f t="shared" si="13"/>
        <v>8145840</v>
      </c>
      <c r="AI44" s="309">
        <f t="shared" si="14"/>
        <v>70650000</v>
      </c>
      <c r="AJ44" s="309">
        <f t="shared" si="15"/>
        <v>62504160</v>
      </c>
      <c r="AK44" s="309">
        <f t="shared" si="16"/>
        <v>8145840</v>
      </c>
      <c r="AL44" s="309">
        <f t="shared" si="17"/>
        <v>0</v>
      </c>
      <c r="AM44" s="309">
        <f t="shared" si="20"/>
        <v>0</v>
      </c>
      <c r="AN44" s="309">
        <f t="shared" si="21"/>
        <v>0</v>
      </c>
    </row>
    <row r="45" spans="1:40" x14ac:dyDescent="0.35">
      <c r="A45" s="18">
        <v>38</v>
      </c>
      <c r="B45" s="184">
        <v>43159</v>
      </c>
      <c r="C45" s="175">
        <f>MAX(C$6:C44)-SUM(E$6:E44)</f>
        <v>7666670</v>
      </c>
      <c r="D45" s="309">
        <f>IF(C45=0,0,IF(E44=0,MAX(D$6:D44),D44-1))</f>
        <v>23</v>
      </c>
      <c r="E45" s="309">
        <f t="shared" si="0"/>
        <v>333333</v>
      </c>
      <c r="F45" s="175">
        <f>MAX(F$6:F44)-SUM(H$6:H44)</f>
        <v>0</v>
      </c>
      <c r="G45" s="309">
        <f>IF(F45=0,0,IF(H44=0,MAX(G$6:G44),G44-1))</f>
        <v>0</v>
      </c>
      <c r="H45" s="309">
        <f t="shared" si="1"/>
        <v>0</v>
      </c>
      <c r="I45" s="175">
        <f>MAX(I$6:I44)-SUM(K$6:K44)</f>
        <v>0</v>
      </c>
      <c r="J45" s="309">
        <f>IF(I45=0,0,IF(K44=0,MAX(J$6:J44),J44-1))</f>
        <v>0</v>
      </c>
      <c r="K45" s="309">
        <f t="shared" si="2"/>
        <v>0</v>
      </c>
      <c r="L45" s="175">
        <f>MAX(L$6:L44)-SUM(N$6:N44)</f>
        <v>0</v>
      </c>
      <c r="M45" s="309">
        <f>IF(L45=0,0,IF(N44=0,MAX(M$6:M44),M44-1))</f>
        <v>0</v>
      </c>
      <c r="N45" s="309">
        <f t="shared" si="3"/>
        <v>0</v>
      </c>
      <c r="O45" s="175">
        <f>MAX(O$6:O44)-SUM(Q$6:Q44)</f>
        <v>0</v>
      </c>
      <c r="P45" s="309">
        <f>IF(O45=0,0,IF(Q44=0,MAX(P$6:P44),P44-1))</f>
        <v>0</v>
      </c>
      <c r="Q45" s="309">
        <f t="shared" si="4"/>
        <v>0</v>
      </c>
      <c r="R45" s="175">
        <f>MAX(R$6:R44)-SUM(T$6:T44)</f>
        <v>479170</v>
      </c>
      <c r="S45" s="309">
        <f>IF(R45=0,0,IF(T44=0,MAX(S$6:S44),S44-1))</f>
        <v>23</v>
      </c>
      <c r="T45" s="309">
        <f t="shared" si="5"/>
        <v>20833</v>
      </c>
      <c r="U45" s="309">
        <f t="shared" si="6"/>
        <v>354166</v>
      </c>
      <c r="V45" s="309">
        <f t="shared" si="7"/>
        <v>8145840</v>
      </c>
      <c r="W45" s="309">
        <f t="shared" si="8"/>
        <v>354166</v>
      </c>
      <c r="X45" s="309">
        <f t="shared" si="9"/>
        <v>7791674</v>
      </c>
      <c r="Y45" s="309">
        <f>MAX(C$6:C45)+MAX(F$6:F45)+MAX(I$6:I45)+MAX(L$6:L45)+MAX(O$6:O45)+MAX(R$6:R45)</f>
        <v>70650000</v>
      </c>
      <c r="Z45" s="309">
        <f>SUM(E$6:E45)+SUM(H$6:H45)+SUM(K$6:K45)+SUM(N$6:N45)+SUM(Q$6:Q45)+SUM(T$6:T45)</f>
        <v>62858326</v>
      </c>
      <c r="AA45" s="309">
        <f t="shared" si="10"/>
        <v>7791674</v>
      </c>
      <c r="AB45" s="309">
        <f t="shared" si="11"/>
        <v>0</v>
      </c>
      <c r="AC45" s="309">
        <f>MAX(F$6:F45)+MAX(I$6:I45)+MAX(L$6:L45)</f>
        <v>34400000</v>
      </c>
      <c r="AD45" s="309">
        <f>SUM(H$6:H45)+SUM(K$6:K45)+SUM(N$6:N45)</f>
        <v>34400000</v>
      </c>
      <c r="AE45" s="309">
        <f t="shared" si="12"/>
        <v>0</v>
      </c>
      <c r="AF45" s="309">
        <f>MAX(C$6:C45)+MAX(O$6:O45)+MAX(R$6:R45)</f>
        <v>36250000</v>
      </c>
      <c r="AG45" s="309">
        <f>SUM(E$6:E45)+SUM(Q$6:Q45)+SUM(T$6:T45)</f>
        <v>28458326</v>
      </c>
      <c r="AH45" s="309">
        <f t="shared" si="13"/>
        <v>7791674</v>
      </c>
      <c r="AI45" s="309">
        <f t="shared" si="14"/>
        <v>70650000</v>
      </c>
      <c r="AJ45" s="309">
        <f t="shared" si="15"/>
        <v>62858326</v>
      </c>
      <c r="AK45" s="309">
        <f t="shared" si="16"/>
        <v>7791674</v>
      </c>
      <c r="AL45" s="309">
        <f t="shared" si="17"/>
        <v>0</v>
      </c>
      <c r="AM45" s="309">
        <f t="shared" si="20"/>
        <v>0</v>
      </c>
      <c r="AN45" s="309">
        <f t="shared" si="21"/>
        <v>0</v>
      </c>
    </row>
    <row r="46" spans="1:40" x14ac:dyDescent="0.35">
      <c r="A46" s="18">
        <v>39</v>
      </c>
      <c r="B46" s="184">
        <v>43190</v>
      </c>
      <c r="C46" s="175">
        <f>MAX(C$6:C45)-SUM(E$6:E45)</f>
        <v>7333337</v>
      </c>
      <c r="D46" s="309">
        <f>IF(C46=0,0,IF(E45=0,MAX(D$6:D45),D45-1))</f>
        <v>22</v>
      </c>
      <c r="E46" s="309">
        <f t="shared" si="0"/>
        <v>333334</v>
      </c>
      <c r="F46" s="175">
        <f>MAX(F$6:F45)-SUM(H$6:H45)</f>
        <v>0</v>
      </c>
      <c r="G46" s="309">
        <f>IF(F46=0,0,IF(H45=0,MAX(G$6:G45),G45-1))</f>
        <v>0</v>
      </c>
      <c r="H46" s="309">
        <f t="shared" si="1"/>
        <v>0</v>
      </c>
      <c r="I46" s="175">
        <f>MAX(I$6:I45)-SUM(K$6:K45)</f>
        <v>0</v>
      </c>
      <c r="J46" s="309">
        <f>IF(I46=0,0,IF(K45=0,MAX(J$6:J45),J45-1))</f>
        <v>0</v>
      </c>
      <c r="K46" s="309">
        <f t="shared" si="2"/>
        <v>0</v>
      </c>
      <c r="L46" s="175">
        <f>MAX(L$6:L45)-SUM(N$6:N45)</f>
        <v>0</v>
      </c>
      <c r="M46" s="309">
        <f>IF(L46=0,0,IF(N45=0,MAX(M$6:M45),M45-1))</f>
        <v>0</v>
      </c>
      <c r="N46" s="309">
        <f t="shared" si="3"/>
        <v>0</v>
      </c>
      <c r="O46" s="175">
        <f>MAX(O$6:O45)-SUM(Q$6:Q45)</f>
        <v>0</v>
      </c>
      <c r="P46" s="309">
        <f>IF(O46=0,0,IF(Q45=0,MAX(P$6:P45),P45-1))</f>
        <v>0</v>
      </c>
      <c r="Q46" s="309">
        <f t="shared" si="4"/>
        <v>0</v>
      </c>
      <c r="R46" s="175">
        <f>MAX(R$6:R45)-SUM(T$6:T45)</f>
        <v>458337</v>
      </c>
      <c r="S46" s="309">
        <f>IF(R46=0,0,IF(T45=0,MAX(S$6:S45),S45-1))</f>
        <v>22</v>
      </c>
      <c r="T46" s="309">
        <f t="shared" si="5"/>
        <v>20834</v>
      </c>
      <c r="U46" s="309">
        <f t="shared" si="6"/>
        <v>354168</v>
      </c>
      <c r="V46" s="309">
        <f t="shared" si="7"/>
        <v>7791674</v>
      </c>
      <c r="W46" s="309">
        <f t="shared" si="8"/>
        <v>354168</v>
      </c>
      <c r="X46" s="309">
        <f t="shared" si="9"/>
        <v>7437506</v>
      </c>
      <c r="Y46" s="309">
        <f>MAX(C$6:C46)+MAX(F$6:F46)+MAX(I$6:I46)+MAX(L$6:L46)+MAX(O$6:O46)+MAX(R$6:R46)</f>
        <v>70650000</v>
      </c>
      <c r="Z46" s="309">
        <f>SUM(E$6:E46)+SUM(H$6:H46)+SUM(K$6:K46)+SUM(N$6:N46)+SUM(Q$6:Q46)+SUM(T$6:T46)</f>
        <v>63212494</v>
      </c>
      <c r="AA46" s="309">
        <f t="shared" si="10"/>
        <v>7437506</v>
      </c>
      <c r="AB46" s="309">
        <f t="shared" si="11"/>
        <v>0</v>
      </c>
      <c r="AC46" s="309">
        <f>MAX(F$6:F46)+MAX(I$6:I46)+MAX(L$6:L46)</f>
        <v>34400000</v>
      </c>
      <c r="AD46" s="309">
        <f>SUM(H$6:H46)+SUM(K$6:K46)+SUM(N$6:N46)</f>
        <v>34400000</v>
      </c>
      <c r="AE46" s="309">
        <f t="shared" si="12"/>
        <v>0</v>
      </c>
      <c r="AF46" s="309">
        <f>MAX(C$6:C46)+MAX(O$6:O46)+MAX(R$6:R46)</f>
        <v>36250000</v>
      </c>
      <c r="AG46" s="309">
        <f>SUM(E$6:E46)+SUM(Q$6:Q46)+SUM(T$6:T46)</f>
        <v>28812494</v>
      </c>
      <c r="AH46" s="309">
        <f t="shared" si="13"/>
        <v>7437506</v>
      </c>
      <c r="AI46" s="309">
        <f t="shared" si="14"/>
        <v>70650000</v>
      </c>
      <c r="AJ46" s="309">
        <f t="shared" si="15"/>
        <v>63212494</v>
      </c>
      <c r="AK46" s="309">
        <f t="shared" si="16"/>
        <v>7437506</v>
      </c>
      <c r="AL46" s="309">
        <f t="shared" si="17"/>
        <v>0</v>
      </c>
      <c r="AM46" s="309">
        <f t="shared" si="20"/>
        <v>0</v>
      </c>
      <c r="AN46" s="309">
        <f t="shared" si="21"/>
        <v>0</v>
      </c>
    </row>
    <row r="47" spans="1:40" x14ac:dyDescent="0.35">
      <c r="A47" s="18">
        <v>40</v>
      </c>
      <c r="B47" s="184">
        <v>43220</v>
      </c>
      <c r="C47" s="175">
        <f>MAX(C$6:C46)-SUM(E$6:E46)</f>
        <v>7000003</v>
      </c>
      <c r="D47" s="309">
        <f>IF(C47=0,0,IF(E46=0,MAX(D$6:D46),D46-1))</f>
        <v>21</v>
      </c>
      <c r="E47" s="309">
        <f t="shared" si="0"/>
        <v>333333</v>
      </c>
      <c r="F47" s="175">
        <f>MAX(F$6:F46)-SUM(H$6:H46)</f>
        <v>0</v>
      </c>
      <c r="G47" s="309">
        <f>IF(F47=0,0,IF(H46=0,MAX(G$6:G46),G46-1))</f>
        <v>0</v>
      </c>
      <c r="H47" s="309">
        <f t="shared" si="1"/>
        <v>0</v>
      </c>
      <c r="I47" s="175">
        <f>MAX(I$6:I46)-SUM(K$6:K46)</f>
        <v>0</v>
      </c>
      <c r="J47" s="309">
        <f>IF(I47=0,0,IF(K46=0,MAX(J$6:J46),J46-1))</f>
        <v>0</v>
      </c>
      <c r="K47" s="309">
        <f t="shared" si="2"/>
        <v>0</v>
      </c>
      <c r="L47" s="175">
        <f>MAX(L$6:L46)-SUM(N$6:N46)</f>
        <v>0</v>
      </c>
      <c r="M47" s="309">
        <f>IF(L47=0,0,IF(N46=0,MAX(M$6:M46),M46-1))</f>
        <v>0</v>
      </c>
      <c r="N47" s="309">
        <f t="shared" si="3"/>
        <v>0</v>
      </c>
      <c r="O47" s="175">
        <f>MAX(O$6:O46)-SUM(Q$6:Q46)</f>
        <v>0</v>
      </c>
      <c r="P47" s="309">
        <f>IF(O47=0,0,IF(Q46=0,MAX(P$6:P46),P46-1))</f>
        <v>0</v>
      </c>
      <c r="Q47" s="309">
        <f t="shared" si="4"/>
        <v>0</v>
      </c>
      <c r="R47" s="175">
        <f>MAX(R$6:R46)-SUM(T$6:T46)</f>
        <v>437503</v>
      </c>
      <c r="S47" s="309">
        <f>IF(R47=0,0,IF(T46=0,MAX(S$6:S46),S46-1))</f>
        <v>21</v>
      </c>
      <c r="T47" s="309">
        <f t="shared" si="5"/>
        <v>20833</v>
      </c>
      <c r="U47" s="309">
        <f t="shared" si="6"/>
        <v>354166</v>
      </c>
      <c r="V47" s="309">
        <f t="shared" si="7"/>
        <v>7437506</v>
      </c>
      <c r="W47" s="309">
        <f t="shared" si="8"/>
        <v>354166</v>
      </c>
      <c r="X47" s="309">
        <f t="shared" si="9"/>
        <v>7083340</v>
      </c>
      <c r="Y47" s="309">
        <f>MAX(C$6:C47)+MAX(F$6:F47)+MAX(I$6:I47)+MAX(L$6:L47)+MAX(O$6:O47)+MAX(R$6:R47)</f>
        <v>70650000</v>
      </c>
      <c r="Z47" s="309">
        <f>SUM(E$6:E47)+SUM(H$6:H47)+SUM(K$6:K47)+SUM(N$6:N47)+SUM(Q$6:Q47)+SUM(T$6:T47)</f>
        <v>63566660</v>
      </c>
      <c r="AA47" s="309">
        <f t="shared" si="10"/>
        <v>7083340</v>
      </c>
      <c r="AB47" s="309">
        <f t="shared" si="11"/>
        <v>0</v>
      </c>
      <c r="AC47" s="309">
        <f>MAX(F$6:F47)+MAX(I$6:I47)+MAX(L$6:L47)</f>
        <v>34400000</v>
      </c>
      <c r="AD47" s="309">
        <f>SUM(H$6:H47)+SUM(K$6:K47)+SUM(N$6:N47)</f>
        <v>34400000</v>
      </c>
      <c r="AE47" s="309">
        <f t="shared" si="12"/>
        <v>0</v>
      </c>
      <c r="AF47" s="309">
        <f>MAX(C$6:C47)+MAX(O$6:O47)+MAX(R$6:R47)</f>
        <v>36250000</v>
      </c>
      <c r="AG47" s="309">
        <f>SUM(E$6:E47)+SUM(Q$6:Q47)+SUM(T$6:T47)</f>
        <v>29166660</v>
      </c>
      <c r="AH47" s="309">
        <f t="shared" si="13"/>
        <v>7083340</v>
      </c>
      <c r="AI47" s="309">
        <f t="shared" si="14"/>
        <v>70650000</v>
      </c>
      <c r="AJ47" s="309">
        <f t="shared" si="15"/>
        <v>63566660</v>
      </c>
      <c r="AK47" s="309">
        <f t="shared" si="16"/>
        <v>7083340</v>
      </c>
      <c r="AL47" s="309">
        <f t="shared" si="17"/>
        <v>0</v>
      </c>
      <c r="AM47" s="309">
        <f t="shared" si="20"/>
        <v>0</v>
      </c>
      <c r="AN47" s="309">
        <f t="shared" si="21"/>
        <v>0</v>
      </c>
    </row>
    <row r="48" spans="1:40" x14ac:dyDescent="0.35">
      <c r="A48" s="18">
        <v>41</v>
      </c>
      <c r="B48" s="184">
        <v>43251</v>
      </c>
      <c r="C48" s="175">
        <f>MAX(C$6:C47)-SUM(E$6:E47)</f>
        <v>6666670</v>
      </c>
      <c r="D48" s="309">
        <f>IF(C48=0,0,IF(E47=0,MAX(D$6:D47),D47-1))</f>
        <v>20</v>
      </c>
      <c r="E48" s="309">
        <f t="shared" si="0"/>
        <v>333334</v>
      </c>
      <c r="F48" s="175">
        <f>MAX(F$6:F47)-SUM(H$6:H47)</f>
        <v>0</v>
      </c>
      <c r="G48" s="309">
        <f>IF(F48=0,0,IF(H47=0,MAX(G$6:G47),G47-1))</f>
        <v>0</v>
      </c>
      <c r="H48" s="309">
        <f t="shared" si="1"/>
        <v>0</v>
      </c>
      <c r="I48" s="175">
        <f>MAX(I$6:I47)-SUM(K$6:K47)</f>
        <v>0</v>
      </c>
      <c r="J48" s="309">
        <f>IF(I48=0,0,IF(K47=0,MAX(J$6:J47),J47-1))</f>
        <v>0</v>
      </c>
      <c r="K48" s="309">
        <f t="shared" si="2"/>
        <v>0</v>
      </c>
      <c r="L48" s="175">
        <f>MAX(L$6:L47)-SUM(N$6:N47)</f>
        <v>0</v>
      </c>
      <c r="M48" s="309">
        <f>IF(L48=0,0,IF(N47=0,MAX(M$6:M47),M47-1))</f>
        <v>0</v>
      </c>
      <c r="N48" s="309">
        <f t="shared" si="3"/>
        <v>0</v>
      </c>
      <c r="O48" s="175">
        <f>MAX(O$6:O47)-SUM(Q$6:Q47)</f>
        <v>0</v>
      </c>
      <c r="P48" s="309">
        <f>IF(O48=0,0,IF(Q47=0,MAX(P$6:P47),P47-1))</f>
        <v>0</v>
      </c>
      <c r="Q48" s="309">
        <f t="shared" si="4"/>
        <v>0</v>
      </c>
      <c r="R48" s="175">
        <f>MAX(R$6:R47)-SUM(T$6:T47)</f>
        <v>416670</v>
      </c>
      <c r="S48" s="309">
        <f>IF(R48=0,0,IF(T47=0,MAX(S$6:S47),S47-1))</f>
        <v>20</v>
      </c>
      <c r="T48" s="309">
        <f t="shared" si="5"/>
        <v>20834</v>
      </c>
      <c r="U48" s="309">
        <f t="shared" si="6"/>
        <v>354168</v>
      </c>
      <c r="V48" s="309">
        <f t="shared" si="7"/>
        <v>7083340</v>
      </c>
      <c r="W48" s="309">
        <f t="shared" si="8"/>
        <v>354168</v>
      </c>
      <c r="X48" s="309">
        <f t="shared" si="9"/>
        <v>6729172</v>
      </c>
      <c r="Y48" s="309">
        <f>MAX(C$6:C48)+MAX(F$6:F48)+MAX(I$6:I48)+MAX(L$6:L48)+MAX(O$6:O48)+MAX(R$6:R48)</f>
        <v>70650000</v>
      </c>
      <c r="Z48" s="309">
        <f>SUM(E$6:E48)+SUM(H$6:H48)+SUM(K$6:K48)+SUM(N$6:N48)+SUM(Q$6:Q48)+SUM(T$6:T48)</f>
        <v>63920828</v>
      </c>
      <c r="AA48" s="309">
        <f t="shared" si="10"/>
        <v>6729172</v>
      </c>
      <c r="AB48" s="309">
        <f t="shared" si="11"/>
        <v>0</v>
      </c>
      <c r="AC48" s="309">
        <f>MAX(F$6:F48)+MAX(I$6:I48)+MAX(L$6:L48)</f>
        <v>34400000</v>
      </c>
      <c r="AD48" s="309">
        <f>SUM(H$6:H48)+SUM(K$6:K48)+SUM(N$6:N48)</f>
        <v>34400000</v>
      </c>
      <c r="AE48" s="309">
        <f t="shared" si="12"/>
        <v>0</v>
      </c>
      <c r="AF48" s="309">
        <f>MAX(C$6:C48)+MAX(O$6:O48)+MAX(R$6:R48)</f>
        <v>36250000</v>
      </c>
      <c r="AG48" s="309">
        <f>SUM(E$6:E48)+SUM(Q$6:Q48)+SUM(T$6:T48)</f>
        <v>29520828</v>
      </c>
      <c r="AH48" s="309">
        <f t="shared" si="13"/>
        <v>6729172</v>
      </c>
      <c r="AI48" s="309">
        <f t="shared" si="14"/>
        <v>70650000</v>
      </c>
      <c r="AJ48" s="309">
        <f t="shared" si="15"/>
        <v>63920828</v>
      </c>
      <c r="AK48" s="309">
        <f t="shared" si="16"/>
        <v>6729172</v>
      </c>
      <c r="AL48" s="309">
        <f t="shared" si="17"/>
        <v>0</v>
      </c>
      <c r="AM48" s="309">
        <f t="shared" si="20"/>
        <v>0</v>
      </c>
      <c r="AN48" s="309">
        <f t="shared" si="21"/>
        <v>0</v>
      </c>
    </row>
    <row r="49" spans="1:40" x14ac:dyDescent="0.35">
      <c r="A49" s="18">
        <v>42</v>
      </c>
      <c r="B49" s="184">
        <v>43281</v>
      </c>
      <c r="C49" s="175">
        <f>MAX(C$6:C48)-SUM(E$6:E48)</f>
        <v>6333336</v>
      </c>
      <c r="D49" s="309">
        <f>IF(C49=0,0,IF(E48=0,MAX(D$6:D48),D48-1))</f>
        <v>19</v>
      </c>
      <c r="E49" s="309">
        <f t="shared" si="0"/>
        <v>333333</v>
      </c>
      <c r="F49" s="175">
        <f>MAX(F$6:F48)-SUM(H$6:H48)</f>
        <v>0</v>
      </c>
      <c r="G49" s="309">
        <f>IF(F49=0,0,IF(H48=0,MAX(G$6:G48),G48-1))</f>
        <v>0</v>
      </c>
      <c r="H49" s="309">
        <f t="shared" si="1"/>
        <v>0</v>
      </c>
      <c r="I49" s="175">
        <f>MAX(I$6:I48)-SUM(K$6:K48)</f>
        <v>0</v>
      </c>
      <c r="J49" s="309">
        <f>IF(I49=0,0,IF(K48=0,MAX(J$6:J48),J48-1))</f>
        <v>0</v>
      </c>
      <c r="K49" s="309">
        <f t="shared" si="2"/>
        <v>0</v>
      </c>
      <c r="L49" s="175">
        <f>MAX(L$6:L48)-SUM(N$6:N48)</f>
        <v>0</v>
      </c>
      <c r="M49" s="309">
        <f>IF(L49=0,0,IF(N48=0,MAX(M$6:M48),M48-1))</f>
        <v>0</v>
      </c>
      <c r="N49" s="309">
        <f t="shared" si="3"/>
        <v>0</v>
      </c>
      <c r="O49" s="175">
        <f>MAX(O$6:O48)-SUM(Q$6:Q48)</f>
        <v>0</v>
      </c>
      <c r="P49" s="309">
        <f>IF(O49=0,0,IF(Q48=0,MAX(P$6:P48),P48-1))</f>
        <v>0</v>
      </c>
      <c r="Q49" s="309">
        <f t="shared" si="4"/>
        <v>0</v>
      </c>
      <c r="R49" s="175">
        <f>MAX(R$6:R48)-SUM(T$6:T48)</f>
        <v>395836</v>
      </c>
      <c r="S49" s="309">
        <f>IF(R49=0,0,IF(T48=0,MAX(S$6:S48),S48-1))</f>
        <v>19</v>
      </c>
      <c r="T49" s="309">
        <f t="shared" si="5"/>
        <v>20833</v>
      </c>
      <c r="U49" s="309">
        <f t="shared" si="6"/>
        <v>354166</v>
      </c>
      <c r="V49" s="309">
        <f t="shared" si="7"/>
        <v>6729172</v>
      </c>
      <c r="W49" s="309">
        <f t="shared" si="8"/>
        <v>354166</v>
      </c>
      <c r="X49" s="309">
        <f t="shared" si="9"/>
        <v>6375006</v>
      </c>
      <c r="Y49" s="309">
        <f>MAX(C$6:C49)+MAX(F$6:F49)+MAX(I$6:I49)+MAX(L$6:L49)+MAX(O$6:O49)+MAX(R$6:R49)</f>
        <v>70650000</v>
      </c>
      <c r="Z49" s="309">
        <f>SUM(E$6:E49)+SUM(H$6:H49)+SUM(K$6:K49)+SUM(N$6:N49)+SUM(Q$6:Q49)+SUM(T$6:T49)</f>
        <v>64274994</v>
      </c>
      <c r="AA49" s="309">
        <f t="shared" si="10"/>
        <v>6375006</v>
      </c>
      <c r="AB49" s="309">
        <f t="shared" si="11"/>
        <v>0</v>
      </c>
      <c r="AC49" s="309">
        <f>MAX(F$6:F49)+MAX(I$6:I49)+MAX(L$6:L49)</f>
        <v>34400000</v>
      </c>
      <c r="AD49" s="309">
        <f>SUM(H$6:H49)+SUM(K$6:K49)+SUM(N$6:N49)</f>
        <v>34400000</v>
      </c>
      <c r="AE49" s="309">
        <f t="shared" si="12"/>
        <v>0</v>
      </c>
      <c r="AF49" s="309">
        <f>MAX(C$6:C49)+MAX(O$6:O49)+MAX(R$6:R49)</f>
        <v>36250000</v>
      </c>
      <c r="AG49" s="309">
        <f>SUM(E$6:E49)+SUM(Q$6:Q49)+SUM(T$6:T49)</f>
        <v>29874994</v>
      </c>
      <c r="AH49" s="309">
        <f t="shared" si="13"/>
        <v>6375006</v>
      </c>
      <c r="AI49" s="309">
        <f t="shared" si="14"/>
        <v>70650000</v>
      </c>
      <c r="AJ49" s="309">
        <f t="shared" si="15"/>
        <v>64274994</v>
      </c>
      <c r="AK49" s="309">
        <f t="shared" si="16"/>
        <v>6375006</v>
      </c>
      <c r="AL49" s="309">
        <f t="shared" si="17"/>
        <v>0</v>
      </c>
      <c r="AM49" s="309">
        <f t="shared" si="20"/>
        <v>0</v>
      </c>
      <c r="AN49" s="309">
        <f t="shared" si="21"/>
        <v>0</v>
      </c>
    </row>
    <row r="50" spans="1:40" x14ac:dyDescent="0.35">
      <c r="A50" s="18">
        <v>43</v>
      </c>
      <c r="B50" s="184">
        <v>43312</v>
      </c>
      <c r="C50" s="175">
        <f>MAX(C$6:C49)-SUM(E$6:E49)</f>
        <v>6000003</v>
      </c>
      <c r="D50" s="309">
        <f>IF(C50=0,0,IF(E49=0,MAX(D$6:D49),D49-1))</f>
        <v>18</v>
      </c>
      <c r="E50" s="309">
        <f t="shared" si="0"/>
        <v>333334</v>
      </c>
      <c r="F50" s="175">
        <f>MAX(F$6:F49)-SUM(H$6:H49)</f>
        <v>0</v>
      </c>
      <c r="G50" s="309">
        <f>IF(F50=0,0,IF(H49=0,MAX(G$6:G49),G49-1))</f>
        <v>0</v>
      </c>
      <c r="H50" s="309">
        <f t="shared" si="1"/>
        <v>0</v>
      </c>
      <c r="I50" s="175">
        <f>MAX(I$6:I49)-SUM(K$6:K49)</f>
        <v>0</v>
      </c>
      <c r="J50" s="309">
        <f>IF(I50=0,0,IF(K49=0,MAX(J$6:J49),J49-1))</f>
        <v>0</v>
      </c>
      <c r="K50" s="309">
        <f t="shared" si="2"/>
        <v>0</v>
      </c>
      <c r="L50" s="175">
        <f>MAX(L$6:L49)-SUM(N$6:N49)</f>
        <v>0</v>
      </c>
      <c r="M50" s="309">
        <f>IF(L50=0,0,IF(N49=0,MAX(M$6:M49),M49-1))</f>
        <v>0</v>
      </c>
      <c r="N50" s="309">
        <f t="shared" si="3"/>
        <v>0</v>
      </c>
      <c r="O50" s="175">
        <f>MAX(O$6:O49)-SUM(Q$6:Q49)</f>
        <v>0</v>
      </c>
      <c r="P50" s="309">
        <f>IF(O50=0,0,IF(Q49=0,MAX(P$6:P49),P49-1))</f>
        <v>0</v>
      </c>
      <c r="Q50" s="309">
        <f t="shared" si="4"/>
        <v>0</v>
      </c>
      <c r="R50" s="175">
        <f>MAX(R$6:R49)-SUM(T$6:T49)</f>
        <v>375003</v>
      </c>
      <c r="S50" s="309">
        <f>IF(R50=0,0,IF(T49=0,MAX(S$6:S49),S49-1))</f>
        <v>18</v>
      </c>
      <c r="T50" s="309">
        <f t="shared" si="5"/>
        <v>20834</v>
      </c>
      <c r="U50" s="309">
        <f t="shared" si="6"/>
        <v>354168</v>
      </c>
      <c r="V50" s="309">
        <f t="shared" si="7"/>
        <v>6375006</v>
      </c>
      <c r="W50" s="309">
        <f t="shared" si="8"/>
        <v>354168</v>
      </c>
      <c r="X50" s="309">
        <f t="shared" si="9"/>
        <v>6020838</v>
      </c>
      <c r="Y50" s="309">
        <f>MAX(C$6:C50)+MAX(F$6:F50)+MAX(I$6:I50)+MAX(L$6:L50)+MAX(O$6:O50)+MAX(R$6:R50)</f>
        <v>70650000</v>
      </c>
      <c r="Z50" s="309">
        <f>SUM(E$6:E50)+SUM(H$6:H50)+SUM(K$6:K50)+SUM(N$6:N50)+SUM(Q$6:Q50)+SUM(T$6:T50)</f>
        <v>64629162</v>
      </c>
      <c r="AA50" s="309">
        <f t="shared" si="10"/>
        <v>6020838</v>
      </c>
      <c r="AB50" s="309">
        <f t="shared" si="11"/>
        <v>0</v>
      </c>
      <c r="AC50" s="309">
        <f>MAX(F$6:F50)+MAX(I$6:I50)+MAX(L$6:L50)</f>
        <v>34400000</v>
      </c>
      <c r="AD50" s="309">
        <f>SUM(H$6:H50)+SUM(K$6:K50)+SUM(N$6:N50)</f>
        <v>34400000</v>
      </c>
      <c r="AE50" s="309">
        <f t="shared" si="12"/>
        <v>0</v>
      </c>
      <c r="AF50" s="309">
        <f>MAX(C$6:C50)+MAX(O$6:O50)+MAX(R$6:R50)</f>
        <v>36250000</v>
      </c>
      <c r="AG50" s="309">
        <f>SUM(E$6:E50)+SUM(Q$6:Q50)+SUM(T$6:T50)</f>
        <v>30229162</v>
      </c>
      <c r="AH50" s="309">
        <f t="shared" si="13"/>
        <v>6020838</v>
      </c>
      <c r="AI50" s="309">
        <f t="shared" si="14"/>
        <v>70650000</v>
      </c>
      <c r="AJ50" s="309">
        <f t="shared" si="15"/>
        <v>64629162</v>
      </c>
      <c r="AK50" s="309">
        <f t="shared" si="16"/>
        <v>6020838</v>
      </c>
      <c r="AL50" s="309">
        <f t="shared" si="17"/>
        <v>0</v>
      </c>
      <c r="AM50" s="309">
        <f t="shared" si="20"/>
        <v>0</v>
      </c>
      <c r="AN50" s="309">
        <f t="shared" si="21"/>
        <v>0</v>
      </c>
    </row>
    <row r="51" spans="1:40" x14ac:dyDescent="0.35">
      <c r="A51" s="18">
        <v>44</v>
      </c>
      <c r="B51" s="184">
        <v>43343</v>
      </c>
      <c r="C51" s="175">
        <f>MAX(C$6:C50)-SUM(E$6:E50)</f>
        <v>5666669</v>
      </c>
      <c r="D51" s="309">
        <f>IF(C51=0,0,IF(E50=0,MAX(D$6:D50),D50-1))</f>
        <v>17</v>
      </c>
      <c r="E51" s="309">
        <f t="shared" si="0"/>
        <v>333333</v>
      </c>
      <c r="F51" s="175">
        <f>MAX(F$6:F50)-SUM(H$6:H50)</f>
        <v>0</v>
      </c>
      <c r="G51" s="309">
        <f>IF(F51=0,0,IF(H50=0,MAX(G$6:G50),G50-1))</f>
        <v>0</v>
      </c>
      <c r="H51" s="309">
        <f t="shared" si="1"/>
        <v>0</v>
      </c>
      <c r="I51" s="175">
        <f>MAX(I$6:I50)-SUM(K$6:K50)</f>
        <v>0</v>
      </c>
      <c r="J51" s="309">
        <f>IF(I51=0,0,IF(K50=0,MAX(J$6:J50),J50-1))</f>
        <v>0</v>
      </c>
      <c r="K51" s="309">
        <f t="shared" si="2"/>
        <v>0</v>
      </c>
      <c r="L51" s="175">
        <f>MAX(L$6:L50)-SUM(N$6:N50)</f>
        <v>0</v>
      </c>
      <c r="M51" s="309">
        <f>IF(L51=0,0,IF(N50=0,MAX(M$6:M50),M50-1))</f>
        <v>0</v>
      </c>
      <c r="N51" s="309">
        <f t="shared" si="3"/>
        <v>0</v>
      </c>
      <c r="O51" s="175">
        <f>MAX(O$6:O50)-SUM(Q$6:Q50)</f>
        <v>0</v>
      </c>
      <c r="P51" s="309">
        <f>IF(O51=0,0,IF(Q50=0,MAX(P$6:P50),P50-1))</f>
        <v>0</v>
      </c>
      <c r="Q51" s="309">
        <f t="shared" si="4"/>
        <v>0</v>
      </c>
      <c r="R51" s="175">
        <f>MAX(R$6:R50)-SUM(T$6:T50)</f>
        <v>354169</v>
      </c>
      <c r="S51" s="309">
        <f>IF(R51=0,0,IF(T50=0,MAX(S$6:S50),S50-1))</f>
        <v>17</v>
      </c>
      <c r="T51" s="309">
        <f t="shared" si="5"/>
        <v>20833</v>
      </c>
      <c r="U51" s="309">
        <f t="shared" si="6"/>
        <v>354166</v>
      </c>
      <c r="V51" s="309">
        <f t="shared" si="7"/>
        <v>6020838</v>
      </c>
      <c r="W51" s="309">
        <f t="shared" si="8"/>
        <v>354166</v>
      </c>
      <c r="X51" s="309">
        <f t="shared" si="9"/>
        <v>5666672</v>
      </c>
      <c r="Y51" s="309">
        <f>MAX(C$6:C51)+MAX(F$6:F51)+MAX(I$6:I51)+MAX(L$6:L51)+MAX(O$6:O51)+MAX(R$6:R51)</f>
        <v>70650000</v>
      </c>
      <c r="Z51" s="309">
        <f>SUM(E$6:E51)+SUM(H$6:H51)+SUM(K$6:K51)+SUM(N$6:N51)+SUM(Q$6:Q51)+SUM(T$6:T51)</f>
        <v>64983328</v>
      </c>
      <c r="AA51" s="309">
        <f t="shared" si="10"/>
        <v>5666672</v>
      </c>
      <c r="AB51" s="309">
        <f t="shared" si="11"/>
        <v>0</v>
      </c>
      <c r="AC51" s="309">
        <f>MAX(F$6:F51)+MAX(I$6:I51)+MAX(L$6:L51)</f>
        <v>34400000</v>
      </c>
      <c r="AD51" s="309">
        <f>SUM(H$6:H51)+SUM(K$6:K51)+SUM(N$6:N51)</f>
        <v>34400000</v>
      </c>
      <c r="AE51" s="309">
        <f t="shared" si="12"/>
        <v>0</v>
      </c>
      <c r="AF51" s="309">
        <f>MAX(C$6:C51)+MAX(O$6:O51)+MAX(R$6:R51)</f>
        <v>36250000</v>
      </c>
      <c r="AG51" s="309">
        <f>SUM(E$6:E51)+SUM(Q$6:Q51)+SUM(T$6:T51)</f>
        <v>30583328</v>
      </c>
      <c r="AH51" s="309">
        <f t="shared" si="13"/>
        <v>5666672</v>
      </c>
      <c r="AI51" s="309">
        <f t="shared" si="14"/>
        <v>70650000</v>
      </c>
      <c r="AJ51" s="309">
        <f t="shared" si="15"/>
        <v>64983328</v>
      </c>
      <c r="AK51" s="309">
        <f t="shared" si="16"/>
        <v>5666672</v>
      </c>
      <c r="AL51" s="309">
        <f t="shared" si="17"/>
        <v>0</v>
      </c>
      <c r="AM51" s="309">
        <f t="shared" si="20"/>
        <v>0</v>
      </c>
      <c r="AN51" s="309">
        <f t="shared" si="21"/>
        <v>0</v>
      </c>
    </row>
    <row r="52" spans="1:40" x14ac:dyDescent="0.35">
      <c r="A52" s="18">
        <v>45</v>
      </c>
      <c r="B52" s="184">
        <v>43373</v>
      </c>
      <c r="C52" s="175">
        <f>MAX(C$6:C51)-SUM(E$6:E51)</f>
        <v>5333336</v>
      </c>
      <c r="D52" s="309">
        <f>IF(C52=0,0,IF(E51=0,MAX(D$6:D51),D51-1))</f>
        <v>16</v>
      </c>
      <c r="E52" s="309">
        <f t="shared" si="0"/>
        <v>333334</v>
      </c>
      <c r="F52" s="175">
        <f>MAX(F$6:F51)-SUM(H$6:H51)</f>
        <v>0</v>
      </c>
      <c r="G52" s="309">
        <f>IF(F52=0,0,IF(H51=0,MAX(G$6:G51),G51-1))</f>
        <v>0</v>
      </c>
      <c r="H52" s="309">
        <f t="shared" si="1"/>
        <v>0</v>
      </c>
      <c r="I52" s="175">
        <f>MAX(I$6:I51)-SUM(K$6:K51)</f>
        <v>0</v>
      </c>
      <c r="J52" s="309">
        <f>IF(I52=0,0,IF(K51=0,MAX(J$6:J51),J51-1))</f>
        <v>0</v>
      </c>
      <c r="K52" s="309">
        <f t="shared" si="2"/>
        <v>0</v>
      </c>
      <c r="L52" s="175">
        <f>MAX(L$6:L51)-SUM(N$6:N51)</f>
        <v>0</v>
      </c>
      <c r="M52" s="309">
        <f>IF(L52=0,0,IF(N51=0,MAX(M$6:M51),M51-1))</f>
        <v>0</v>
      </c>
      <c r="N52" s="309">
        <f t="shared" si="3"/>
        <v>0</v>
      </c>
      <c r="O52" s="175">
        <f>MAX(O$6:O51)-SUM(Q$6:Q51)</f>
        <v>0</v>
      </c>
      <c r="P52" s="309">
        <f>IF(O52=0,0,IF(Q51=0,MAX(P$6:P51),P51-1))</f>
        <v>0</v>
      </c>
      <c r="Q52" s="309">
        <f t="shared" si="4"/>
        <v>0</v>
      </c>
      <c r="R52" s="175">
        <f>MAX(R$6:R51)-SUM(T$6:T51)</f>
        <v>333336</v>
      </c>
      <c r="S52" s="309">
        <f>IF(R52=0,0,IF(T51=0,MAX(S$6:S51),S51-1))</f>
        <v>16</v>
      </c>
      <c r="T52" s="309">
        <f t="shared" si="5"/>
        <v>20834</v>
      </c>
      <c r="U52" s="309">
        <f t="shared" si="6"/>
        <v>354168</v>
      </c>
      <c r="V52" s="309">
        <f t="shared" si="7"/>
        <v>5666672</v>
      </c>
      <c r="W52" s="309">
        <f t="shared" si="8"/>
        <v>354168</v>
      </c>
      <c r="X52" s="309">
        <f t="shared" si="9"/>
        <v>5312504</v>
      </c>
      <c r="Y52" s="309">
        <f>MAX(C$6:C52)+MAX(F$6:F52)+MAX(I$6:I52)+MAX(L$6:L52)+MAX(O$6:O52)+MAX(R$6:R52)</f>
        <v>70650000</v>
      </c>
      <c r="Z52" s="309">
        <f>SUM(E$6:E52)+SUM(H$6:H52)+SUM(K$6:K52)+SUM(N$6:N52)+SUM(Q$6:Q52)+SUM(T$6:T52)</f>
        <v>65337496</v>
      </c>
      <c r="AA52" s="309">
        <f t="shared" si="10"/>
        <v>5312504</v>
      </c>
      <c r="AB52" s="309">
        <f t="shared" si="11"/>
        <v>0</v>
      </c>
      <c r="AC52" s="309">
        <f>MAX(F$6:F52)+MAX(I$6:I52)+MAX(L$6:L52)</f>
        <v>34400000</v>
      </c>
      <c r="AD52" s="309">
        <f>SUM(H$6:H52)+SUM(K$6:K52)+SUM(N$6:N52)</f>
        <v>34400000</v>
      </c>
      <c r="AE52" s="309">
        <f t="shared" si="12"/>
        <v>0</v>
      </c>
      <c r="AF52" s="309">
        <f>MAX(C$6:C52)+MAX(O$6:O52)+MAX(R$6:R52)</f>
        <v>36250000</v>
      </c>
      <c r="AG52" s="309">
        <f>SUM(E$6:E52)+SUM(Q$6:Q52)+SUM(T$6:T52)</f>
        <v>30937496</v>
      </c>
      <c r="AH52" s="309">
        <f t="shared" si="13"/>
        <v>5312504</v>
      </c>
      <c r="AI52" s="309">
        <f t="shared" si="14"/>
        <v>70650000</v>
      </c>
      <c r="AJ52" s="309">
        <f t="shared" si="15"/>
        <v>65337496</v>
      </c>
      <c r="AK52" s="309">
        <f t="shared" si="16"/>
        <v>5312504</v>
      </c>
      <c r="AL52" s="309">
        <f t="shared" si="17"/>
        <v>0</v>
      </c>
      <c r="AM52" s="309">
        <f t="shared" si="20"/>
        <v>0</v>
      </c>
      <c r="AN52" s="309">
        <f t="shared" si="21"/>
        <v>0</v>
      </c>
    </row>
    <row r="53" spans="1:40" x14ac:dyDescent="0.35">
      <c r="A53" s="18">
        <v>46</v>
      </c>
      <c r="B53" s="184">
        <v>43404</v>
      </c>
      <c r="C53" s="175">
        <f>MAX(C$6:C52)-SUM(E$6:E52)</f>
        <v>5000002</v>
      </c>
      <c r="D53" s="309">
        <f>IF(C53=0,0,IF(E52=0,MAX(D$6:D52),D52-1))</f>
        <v>15</v>
      </c>
      <c r="E53" s="309">
        <f t="shared" si="0"/>
        <v>333333</v>
      </c>
      <c r="F53" s="175">
        <f>MAX(F$6:F52)-SUM(H$6:H52)</f>
        <v>0</v>
      </c>
      <c r="G53" s="309">
        <f>IF(F53=0,0,IF(H52=0,MAX(G$6:G52),G52-1))</f>
        <v>0</v>
      </c>
      <c r="H53" s="309">
        <f t="shared" si="1"/>
        <v>0</v>
      </c>
      <c r="I53" s="175">
        <f>MAX(I$6:I52)-SUM(K$6:K52)</f>
        <v>0</v>
      </c>
      <c r="J53" s="309">
        <f>IF(I53=0,0,IF(K52=0,MAX(J$6:J52),J52-1))</f>
        <v>0</v>
      </c>
      <c r="K53" s="309">
        <f t="shared" si="2"/>
        <v>0</v>
      </c>
      <c r="L53" s="175">
        <f>MAX(L$6:L52)-SUM(N$6:N52)</f>
        <v>0</v>
      </c>
      <c r="M53" s="309">
        <f>IF(L53=0,0,IF(N52=0,MAX(M$6:M52),M52-1))</f>
        <v>0</v>
      </c>
      <c r="N53" s="309">
        <f t="shared" si="3"/>
        <v>0</v>
      </c>
      <c r="O53" s="175">
        <f>MAX(O$6:O52)-SUM(Q$6:Q52)</f>
        <v>0</v>
      </c>
      <c r="P53" s="309">
        <f>IF(O53=0,0,IF(Q52=0,MAX(P$6:P52),P52-1))</f>
        <v>0</v>
      </c>
      <c r="Q53" s="309">
        <f t="shared" si="4"/>
        <v>0</v>
      </c>
      <c r="R53" s="175">
        <f>MAX(R$6:R52)-SUM(T$6:T52)</f>
        <v>312502</v>
      </c>
      <c r="S53" s="309">
        <f>IF(R53=0,0,IF(T52=0,MAX(S$6:S52),S52-1))</f>
        <v>15</v>
      </c>
      <c r="T53" s="309">
        <f t="shared" si="5"/>
        <v>20833</v>
      </c>
      <c r="U53" s="309">
        <f t="shared" si="6"/>
        <v>354166</v>
      </c>
      <c r="V53" s="309">
        <f t="shared" si="7"/>
        <v>5312504</v>
      </c>
      <c r="W53" s="309">
        <f t="shared" si="8"/>
        <v>354166</v>
      </c>
      <c r="X53" s="309">
        <f t="shared" si="9"/>
        <v>4958338</v>
      </c>
      <c r="Y53" s="309">
        <f>MAX(C$6:C53)+MAX(F$6:F53)+MAX(I$6:I53)+MAX(L$6:L53)+MAX(O$6:O53)+MAX(R$6:R53)</f>
        <v>70650000</v>
      </c>
      <c r="Z53" s="309">
        <f>SUM(E$6:E53)+SUM(H$6:H53)+SUM(K$6:K53)+SUM(N$6:N53)+SUM(Q$6:Q53)+SUM(T$6:T53)</f>
        <v>65691662</v>
      </c>
      <c r="AA53" s="309">
        <f t="shared" si="10"/>
        <v>4958338</v>
      </c>
      <c r="AB53" s="309">
        <f t="shared" si="11"/>
        <v>0</v>
      </c>
      <c r="AC53" s="309">
        <f>MAX(F$6:F53)+MAX(I$6:I53)+MAX(L$6:L53)</f>
        <v>34400000</v>
      </c>
      <c r="AD53" s="309">
        <f>SUM(H$6:H53)+SUM(K$6:K53)+SUM(N$6:N53)</f>
        <v>34400000</v>
      </c>
      <c r="AE53" s="309">
        <f t="shared" si="12"/>
        <v>0</v>
      </c>
      <c r="AF53" s="309">
        <f>MAX(C$6:C53)+MAX(O$6:O53)+MAX(R$6:R53)</f>
        <v>36250000</v>
      </c>
      <c r="AG53" s="309">
        <f>SUM(E$6:E53)+SUM(Q$6:Q53)+SUM(T$6:T53)</f>
        <v>31291662</v>
      </c>
      <c r="AH53" s="309">
        <f t="shared" si="13"/>
        <v>4958338</v>
      </c>
      <c r="AI53" s="309">
        <f t="shared" si="14"/>
        <v>70650000</v>
      </c>
      <c r="AJ53" s="309">
        <f t="shared" si="15"/>
        <v>65691662</v>
      </c>
      <c r="AK53" s="309">
        <f t="shared" si="16"/>
        <v>4958338</v>
      </c>
      <c r="AL53" s="309">
        <f t="shared" si="17"/>
        <v>0</v>
      </c>
      <c r="AM53" s="309">
        <f t="shared" si="20"/>
        <v>0</v>
      </c>
      <c r="AN53" s="309">
        <f t="shared" si="21"/>
        <v>0</v>
      </c>
    </row>
    <row r="54" spans="1:40" x14ac:dyDescent="0.35">
      <c r="A54" s="18">
        <v>47</v>
      </c>
      <c r="B54" s="184">
        <v>43434</v>
      </c>
      <c r="C54" s="175">
        <f>MAX(C$6:C53)-SUM(E$6:E53)</f>
        <v>4666669</v>
      </c>
      <c r="D54" s="309">
        <f>IF(C54=0,0,IF(E53=0,MAX(D$6:D53),D53-1))</f>
        <v>14</v>
      </c>
      <c r="E54" s="309">
        <f t="shared" si="0"/>
        <v>333334</v>
      </c>
      <c r="F54" s="175">
        <f>MAX(F$6:F53)-SUM(H$6:H53)</f>
        <v>0</v>
      </c>
      <c r="G54" s="309">
        <f>IF(F54=0,0,IF(H53=0,MAX(G$6:G53),G53-1))</f>
        <v>0</v>
      </c>
      <c r="H54" s="309">
        <f t="shared" si="1"/>
        <v>0</v>
      </c>
      <c r="I54" s="175">
        <f>MAX(I$6:I53)-SUM(K$6:K53)</f>
        <v>0</v>
      </c>
      <c r="J54" s="309">
        <f>IF(I54=0,0,IF(K53=0,MAX(J$6:J53),J53-1))</f>
        <v>0</v>
      </c>
      <c r="K54" s="309">
        <f t="shared" si="2"/>
        <v>0</v>
      </c>
      <c r="L54" s="175">
        <f>MAX(L$6:L53)-SUM(N$6:N53)</f>
        <v>0</v>
      </c>
      <c r="M54" s="309">
        <f>IF(L54=0,0,IF(N53=0,MAX(M$6:M53),M53-1))</f>
        <v>0</v>
      </c>
      <c r="N54" s="309">
        <f t="shared" si="3"/>
        <v>0</v>
      </c>
      <c r="O54" s="175">
        <f>MAX(O$6:O53)-SUM(Q$6:Q53)</f>
        <v>0</v>
      </c>
      <c r="P54" s="309">
        <f>IF(O54=0,0,IF(Q53=0,MAX(P$6:P53),P53-1))</f>
        <v>0</v>
      </c>
      <c r="Q54" s="309">
        <f t="shared" si="4"/>
        <v>0</v>
      </c>
      <c r="R54" s="175">
        <f>MAX(R$6:R53)-SUM(T$6:T53)</f>
        <v>291669</v>
      </c>
      <c r="S54" s="309">
        <f>IF(R54=0,0,IF(T53=0,MAX(S$6:S53),S53-1))</f>
        <v>14</v>
      </c>
      <c r="T54" s="309">
        <f t="shared" si="5"/>
        <v>20834</v>
      </c>
      <c r="U54" s="309">
        <f t="shared" si="6"/>
        <v>354168</v>
      </c>
      <c r="V54" s="309">
        <f t="shared" si="7"/>
        <v>4958338</v>
      </c>
      <c r="W54" s="309">
        <f t="shared" si="8"/>
        <v>354168</v>
      </c>
      <c r="X54" s="309">
        <f t="shared" si="9"/>
        <v>4604170</v>
      </c>
      <c r="Y54" s="309">
        <f>MAX(C$6:C54)+MAX(F$6:F54)+MAX(I$6:I54)+MAX(L$6:L54)+MAX(O$6:O54)+MAX(R$6:R54)</f>
        <v>70650000</v>
      </c>
      <c r="Z54" s="309">
        <f>SUM(E$6:E54)+SUM(H$6:H54)+SUM(K$6:K54)+SUM(N$6:N54)+SUM(Q$6:Q54)+SUM(T$6:T54)</f>
        <v>66045830</v>
      </c>
      <c r="AA54" s="309">
        <f t="shared" si="10"/>
        <v>4604170</v>
      </c>
      <c r="AB54" s="309">
        <f t="shared" si="11"/>
        <v>0</v>
      </c>
      <c r="AC54" s="309">
        <f>MAX(F$6:F54)+MAX(I$6:I54)+MAX(L$6:L54)</f>
        <v>34400000</v>
      </c>
      <c r="AD54" s="309">
        <f>SUM(H$6:H54)+SUM(K$6:K54)+SUM(N$6:N54)</f>
        <v>34400000</v>
      </c>
      <c r="AE54" s="309">
        <f t="shared" si="12"/>
        <v>0</v>
      </c>
      <c r="AF54" s="309">
        <f>MAX(C$6:C54)+MAX(O$6:O54)+MAX(R$6:R54)</f>
        <v>36250000</v>
      </c>
      <c r="AG54" s="309">
        <f>SUM(E$6:E54)+SUM(Q$6:Q54)+SUM(T$6:T54)</f>
        <v>31645830</v>
      </c>
      <c r="AH54" s="309">
        <f t="shared" si="13"/>
        <v>4604170</v>
      </c>
      <c r="AI54" s="309">
        <f t="shared" si="14"/>
        <v>70650000</v>
      </c>
      <c r="AJ54" s="309">
        <f t="shared" si="15"/>
        <v>66045830</v>
      </c>
      <c r="AK54" s="309">
        <f t="shared" si="16"/>
        <v>4604170</v>
      </c>
      <c r="AL54" s="309">
        <f t="shared" si="17"/>
        <v>0</v>
      </c>
      <c r="AM54" s="309">
        <f t="shared" si="20"/>
        <v>0</v>
      </c>
      <c r="AN54" s="309">
        <f t="shared" si="21"/>
        <v>0</v>
      </c>
    </row>
    <row r="55" spans="1:40" x14ac:dyDescent="0.35">
      <c r="A55" s="18">
        <v>48</v>
      </c>
      <c r="B55" s="184">
        <v>43465</v>
      </c>
      <c r="C55" s="175">
        <f>MAX(C$6:C54)-SUM(E$6:E54)</f>
        <v>4333335</v>
      </c>
      <c r="D55" s="309">
        <f>IF(C55=0,0,IF(E54=0,MAX(D$6:D54),D54-1))</f>
        <v>13</v>
      </c>
      <c r="E55" s="309">
        <f t="shared" si="0"/>
        <v>333333</v>
      </c>
      <c r="F55" s="175">
        <f>MAX(F$6:F54)-SUM(H$6:H54)</f>
        <v>0</v>
      </c>
      <c r="G55" s="309">
        <f>IF(F55=0,0,IF(H54=0,MAX(G$6:G54),G54-1))</f>
        <v>0</v>
      </c>
      <c r="H55" s="309">
        <f t="shared" si="1"/>
        <v>0</v>
      </c>
      <c r="I55" s="175">
        <f>MAX(I$6:I54)-SUM(K$6:K54)</f>
        <v>0</v>
      </c>
      <c r="J55" s="309">
        <f>IF(I55=0,0,IF(K54=0,MAX(J$6:J54),J54-1))</f>
        <v>0</v>
      </c>
      <c r="K55" s="309">
        <f t="shared" si="2"/>
        <v>0</v>
      </c>
      <c r="L55" s="175">
        <f>MAX(L$6:L54)-SUM(N$6:N54)</f>
        <v>0</v>
      </c>
      <c r="M55" s="309">
        <f>IF(L55=0,0,IF(N54=0,MAX(M$6:M54),M54-1))</f>
        <v>0</v>
      </c>
      <c r="N55" s="309">
        <f t="shared" si="3"/>
        <v>0</v>
      </c>
      <c r="O55" s="175">
        <f>MAX(O$6:O54)-SUM(Q$6:Q54)</f>
        <v>0</v>
      </c>
      <c r="P55" s="309">
        <f>IF(O55=0,0,IF(Q54=0,MAX(P$6:P54),P54-1))</f>
        <v>0</v>
      </c>
      <c r="Q55" s="309">
        <f t="shared" si="4"/>
        <v>0</v>
      </c>
      <c r="R55" s="175">
        <f>MAX(R$6:R54)-SUM(T$6:T54)</f>
        <v>270835</v>
      </c>
      <c r="S55" s="309">
        <f>IF(R55=0,0,IF(T54=0,MAX(S$6:S54),S54-1))</f>
        <v>13</v>
      </c>
      <c r="T55" s="309">
        <f t="shared" si="5"/>
        <v>20833</v>
      </c>
      <c r="U55" s="309">
        <f t="shared" si="6"/>
        <v>354166</v>
      </c>
      <c r="V55" s="309">
        <f t="shared" si="7"/>
        <v>4604170</v>
      </c>
      <c r="W55" s="309">
        <f t="shared" si="8"/>
        <v>354166</v>
      </c>
      <c r="X55" s="309">
        <f t="shared" si="9"/>
        <v>4250004</v>
      </c>
      <c r="Y55" s="309">
        <f>MAX(C$6:C55)+MAX(F$6:F55)+MAX(I$6:I55)+MAX(L$6:L55)+MAX(O$6:O55)+MAX(R$6:R55)</f>
        <v>70650000</v>
      </c>
      <c r="Z55" s="309">
        <f>SUM(E$6:E55)+SUM(H$6:H55)+SUM(K$6:K55)+SUM(N$6:N55)+SUM(Q$6:Q55)+SUM(T$6:T55)</f>
        <v>66399996</v>
      </c>
      <c r="AA55" s="309">
        <f t="shared" si="10"/>
        <v>4250004</v>
      </c>
      <c r="AB55" s="309">
        <f t="shared" si="11"/>
        <v>0</v>
      </c>
      <c r="AC55" s="309">
        <f>MAX(F$6:F55)+MAX(I$6:I55)+MAX(L$6:L55)</f>
        <v>34400000</v>
      </c>
      <c r="AD55" s="309">
        <f>SUM(H$6:H55)+SUM(K$6:K55)+SUM(N$6:N55)</f>
        <v>34400000</v>
      </c>
      <c r="AE55" s="309">
        <f t="shared" si="12"/>
        <v>0</v>
      </c>
      <c r="AF55" s="309">
        <f>MAX(C$6:C55)+MAX(O$6:O55)+MAX(R$6:R55)</f>
        <v>36250000</v>
      </c>
      <c r="AG55" s="309">
        <f>SUM(E$6:E55)+SUM(Q$6:Q55)+SUM(T$6:T55)</f>
        <v>31999996</v>
      </c>
      <c r="AH55" s="309">
        <f t="shared" si="13"/>
        <v>4250004</v>
      </c>
      <c r="AI55" s="309">
        <f t="shared" si="14"/>
        <v>70650000</v>
      </c>
      <c r="AJ55" s="309">
        <f t="shared" si="15"/>
        <v>66399996</v>
      </c>
      <c r="AK55" s="309">
        <f t="shared" si="16"/>
        <v>4250004</v>
      </c>
      <c r="AL55" s="309">
        <f t="shared" si="17"/>
        <v>0</v>
      </c>
      <c r="AM55" s="309">
        <f t="shared" si="20"/>
        <v>0</v>
      </c>
      <c r="AN55" s="309">
        <f t="shared" si="21"/>
        <v>0</v>
      </c>
    </row>
    <row r="56" spans="1:40" x14ac:dyDescent="0.35">
      <c r="A56" s="18">
        <v>49</v>
      </c>
      <c r="B56" s="184">
        <v>43496</v>
      </c>
      <c r="C56" s="175">
        <f>MAX(C$6:C55)-SUM(E$6:E55)</f>
        <v>4000002</v>
      </c>
      <c r="D56" s="309">
        <f>IF(C56=0,0,IF(E55=0,MAX(D$6:D55),D55-1))</f>
        <v>12</v>
      </c>
      <c r="E56" s="309">
        <f t="shared" si="0"/>
        <v>333334</v>
      </c>
      <c r="F56" s="175">
        <f>MAX(F$6:F55)-SUM(H$6:H55)</f>
        <v>0</v>
      </c>
      <c r="G56" s="309">
        <f>IF(F56=0,0,IF(H55=0,MAX(G$6:G55),G55-1))</f>
        <v>0</v>
      </c>
      <c r="H56" s="309">
        <f t="shared" si="1"/>
        <v>0</v>
      </c>
      <c r="I56" s="175">
        <f>MAX(I$6:I55)-SUM(K$6:K55)</f>
        <v>0</v>
      </c>
      <c r="J56" s="309">
        <f>IF(I56=0,0,IF(K55=0,MAX(J$6:J55),J55-1))</f>
        <v>0</v>
      </c>
      <c r="K56" s="309">
        <f t="shared" si="2"/>
        <v>0</v>
      </c>
      <c r="L56" s="175">
        <f>MAX(L$6:L55)-SUM(N$6:N55)</f>
        <v>0</v>
      </c>
      <c r="M56" s="309">
        <f>IF(L56=0,0,IF(N55=0,MAX(M$6:M55),M55-1))</f>
        <v>0</v>
      </c>
      <c r="N56" s="309">
        <f t="shared" si="3"/>
        <v>0</v>
      </c>
      <c r="O56" s="175">
        <f>MAX(O$6:O55)-SUM(Q$6:Q55)</f>
        <v>0</v>
      </c>
      <c r="P56" s="309">
        <f>IF(O56=0,0,IF(Q55=0,MAX(P$6:P55),P55-1))</f>
        <v>0</v>
      </c>
      <c r="Q56" s="309">
        <f t="shared" si="4"/>
        <v>0</v>
      </c>
      <c r="R56" s="175">
        <f>MAX(R$6:R55)-SUM(T$6:T55)</f>
        <v>250002</v>
      </c>
      <c r="S56" s="309">
        <f>IF(R56=0,0,IF(T55=0,MAX(S$6:S55),S55-1))</f>
        <v>12</v>
      </c>
      <c r="T56" s="309">
        <f t="shared" si="5"/>
        <v>20834</v>
      </c>
      <c r="U56" s="309">
        <f t="shared" si="6"/>
        <v>354168</v>
      </c>
      <c r="V56" s="309">
        <f t="shared" si="7"/>
        <v>4250004</v>
      </c>
      <c r="W56" s="309">
        <f t="shared" si="8"/>
        <v>354168</v>
      </c>
      <c r="X56" s="309">
        <f t="shared" si="9"/>
        <v>3895836</v>
      </c>
      <c r="Y56" s="309">
        <f>MAX(C$6:C56)+MAX(F$6:F56)+MAX(I$6:I56)+MAX(L$6:L56)+MAX(O$6:O56)+MAX(R$6:R56)</f>
        <v>70650000</v>
      </c>
      <c r="Z56" s="309">
        <f>SUM(E$6:E56)+SUM(H$6:H56)+SUM(K$6:K56)+SUM(N$6:N56)+SUM(Q$6:Q56)+SUM(T$6:T56)</f>
        <v>66754164</v>
      </c>
      <c r="AA56" s="309">
        <f t="shared" si="10"/>
        <v>3895836</v>
      </c>
      <c r="AB56" s="309">
        <f t="shared" si="11"/>
        <v>0</v>
      </c>
      <c r="AC56" s="309">
        <f>MAX(F$6:F56)+MAX(I$6:I56)+MAX(L$6:L56)</f>
        <v>34400000</v>
      </c>
      <c r="AD56" s="309">
        <f>SUM(H$6:H56)+SUM(K$6:K56)+SUM(N$6:N56)</f>
        <v>34400000</v>
      </c>
      <c r="AE56" s="309">
        <f t="shared" si="12"/>
        <v>0</v>
      </c>
      <c r="AF56" s="309">
        <f>MAX(C$6:C56)+MAX(O$6:O56)+MAX(R$6:R56)</f>
        <v>36250000</v>
      </c>
      <c r="AG56" s="309">
        <f>SUM(E$6:E56)+SUM(Q$6:Q56)+SUM(T$6:T56)</f>
        <v>32354164</v>
      </c>
      <c r="AH56" s="309">
        <f t="shared" si="13"/>
        <v>3895836</v>
      </c>
      <c r="AI56" s="309">
        <f t="shared" si="14"/>
        <v>70650000</v>
      </c>
      <c r="AJ56" s="309">
        <f t="shared" si="15"/>
        <v>66754164</v>
      </c>
      <c r="AK56" s="309">
        <f t="shared" si="16"/>
        <v>3895836</v>
      </c>
      <c r="AL56" s="309">
        <f t="shared" si="17"/>
        <v>0</v>
      </c>
      <c r="AM56" s="309">
        <f t="shared" si="20"/>
        <v>0</v>
      </c>
      <c r="AN56" s="309">
        <f t="shared" si="21"/>
        <v>0</v>
      </c>
    </row>
    <row r="57" spans="1:40" x14ac:dyDescent="0.35">
      <c r="A57" s="18">
        <v>50</v>
      </c>
      <c r="B57" s="184">
        <v>43524</v>
      </c>
      <c r="C57" s="175">
        <f>MAX(C$6:C56)-SUM(E$6:E56)</f>
        <v>3666668</v>
      </c>
      <c r="D57" s="309">
        <f>IF(C57=0,0,IF(E56=0,MAX(D$6:D56),D56-1))</f>
        <v>11</v>
      </c>
      <c r="E57" s="309">
        <f t="shared" si="0"/>
        <v>333333</v>
      </c>
      <c r="F57" s="175">
        <f>MAX(F$6:F56)-SUM(H$6:H56)</f>
        <v>0</v>
      </c>
      <c r="G57" s="309">
        <f>IF(F57=0,0,IF(H56=0,MAX(G$6:G56),G56-1))</f>
        <v>0</v>
      </c>
      <c r="H57" s="309">
        <f t="shared" si="1"/>
        <v>0</v>
      </c>
      <c r="I57" s="175">
        <f>MAX(I$6:I56)-SUM(K$6:K56)</f>
        <v>0</v>
      </c>
      <c r="J57" s="309">
        <f>IF(I57=0,0,IF(K56=0,MAX(J$6:J56),J56-1))</f>
        <v>0</v>
      </c>
      <c r="K57" s="309">
        <f t="shared" si="2"/>
        <v>0</v>
      </c>
      <c r="L57" s="175">
        <f>MAX(L$6:L56)-SUM(N$6:N56)</f>
        <v>0</v>
      </c>
      <c r="M57" s="309">
        <f>IF(L57=0,0,IF(N56=0,MAX(M$6:M56),M56-1))</f>
        <v>0</v>
      </c>
      <c r="N57" s="309">
        <f t="shared" si="3"/>
        <v>0</v>
      </c>
      <c r="O57" s="175">
        <f>MAX(O$6:O56)-SUM(Q$6:Q56)</f>
        <v>0</v>
      </c>
      <c r="P57" s="309">
        <f>IF(O57=0,0,IF(Q56=0,MAX(P$6:P56),P56-1))</f>
        <v>0</v>
      </c>
      <c r="Q57" s="309">
        <f t="shared" si="4"/>
        <v>0</v>
      </c>
      <c r="R57" s="175">
        <f>MAX(R$6:R56)-SUM(T$6:T56)</f>
        <v>229168</v>
      </c>
      <c r="S57" s="309">
        <f>IF(R57=0,0,IF(T56=0,MAX(S$6:S56),S56-1))</f>
        <v>11</v>
      </c>
      <c r="T57" s="309">
        <f t="shared" si="5"/>
        <v>20833</v>
      </c>
      <c r="U57" s="309">
        <f t="shared" si="6"/>
        <v>354166</v>
      </c>
      <c r="V57" s="309">
        <f t="shared" si="7"/>
        <v>3895836</v>
      </c>
      <c r="W57" s="309">
        <f t="shared" si="8"/>
        <v>354166</v>
      </c>
      <c r="X57" s="309">
        <f t="shared" si="9"/>
        <v>3541670</v>
      </c>
      <c r="Y57" s="309">
        <f>MAX(C$6:C57)+MAX(F$6:F57)+MAX(I$6:I57)+MAX(L$6:L57)+MAX(O$6:O57)+MAX(R$6:R57)</f>
        <v>70650000</v>
      </c>
      <c r="Z57" s="309">
        <f>SUM(E$6:E57)+SUM(H$6:H57)+SUM(K$6:K57)+SUM(N$6:N57)+SUM(Q$6:Q57)+SUM(T$6:T57)</f>
        <v>67108330</v>
      </c>
      <c r="AA57" s="309">
        <f t="shared" si="10"/>
        <v>3541670</v>
      </c>
      <c r="AB57" s="309">
        <f t="shared" si="11"/>
        <v>0</v>
      </c>
      <c r="AC57" s="309">
        <f>MAX(F$6:F57)+MAX(I$6:I57)+MAX(L$6:L57)</f>
        <v>34400000</v>
      </c>
      <c r="AD57" s="309">
        <f>SUM(H$6:H57)+SUM(K$6:K57)+SUM(N$6:N57)</f>
        <v>34400000</v>
      </c>
      <c r="AE57" s="309">
        <f t="shared" si="12"/>
        <v>0</v>
      </c>
      <c r="AF57" s="309">
        <f>MAX(C$6:C57)+MAX(O$6:O57)+MAX(R$6:R57)</f>
        <v>36250000</v>
      </c>
      <c r="AG57" s="309">
        <f>SUM(E$6:E57)+SUM(Q$6:Q57)+SUM(T$6:T57)</f>
        <v>32708330</v>
      </c>
      <c r="AH57" s="309">
        <f t="shared" si="13"/>
        <v>3541670</v>
      </c>
      <c r="AI57" s="309">
        <f t="shared" si="14"/>
        <v>70650000</v>
      </c>
      <c r="AJ57" s="309">
        <f t="shared" si="15"/>
        <v>67108330</v>
      </c>
      <c r="AK57" s="309">
        <f t="shared" si="16"/>
        <v>3541670</v>
      </c>
      <c r="AL57" s="309">
        <f t="shared" si="17"/>
        <v>0</v>
      </c>
      <c r="AM57" s="309">
        <f t="shared" si="20"/>
        <v>0</v>
      </c>
      <c r="AN57" s="309">
        <f t="shared" si="21"/>
        <v>0</v>
      </c>
    </row>
    <row r="58" spans="1:40" x14ac:dyDescent="0.35">
      <c r="A58" s="18">
        <v>51</v>
      </c>
      <c r="B58" s="184">
        <v>43555</v>
      </c>
      <c r="C58" s="175">
        <f>MAX(C$6:C57)-SUM(E$6:E57)</f>
        <v>3333335</v>
      </c>
      <c r="D58" s="309">
        <f>IF(C58=0,0,IF(E57=0,MAX(D$6:D57),D57-1))</f>
        <v>10</v>
      </c>
      <c r="E58" s="309">
        <f t="shared" si="0"/>
        <v>333334</v>
      </c>
      <c r="F58" s="175">
        <f>MAX(F$6:F57)-SUM(H$6:H57)</f>
        <v>0</v>
      </c>
      <c r="G58" s="309">
        <f>IF(F58=0,0,IF(H57=0,MAX(G$6:G57),G57-1))</f>
        <v>0</v>
      </c>
      <c r="H58" s="309">
        <f t="shared" si="1"/>
        <v>0</v>
      </c>
      <c r="I58" s="175">
        <f>MAX(I$6:I57)-SUM(K$6:K57)</f>
        <v>0</v>
      </c>
      <c r="J58" s="309">
        <f>IF(I58=0,0,IF(K57=0,MAX(J$6:J57),J57-1))</f>
        <v>0</v>
      </c>
      <c r="K58" s="309">
        <f t="shared" si="2"/>
        <v>0</v>
      </c>
      <c r="L58" s="175">
        <f>MAX(L$6:L57)-SUM(N$6:N57)</f>
        <v>0</v>
      </c>
      <c r="M58" s="309">
        <f>IF(L58=0,0,IF(N57=0,MAX(M$6:M57),M57-1))</f>
        <v>0</v>
      </c>
      <c r="N58" s="309">
        <f t="shared" si="3"/>
        <v>0</v>
      </c>
      <c r="O58" s="175">
        <f>MAX(O$6:O57)-SUM(Q$6:Q57)</f>
        <v>0</v>
      </c>
      <c r="P58" s="309">
        <f>IF(O58=0,0,IF(Q57=0,MAX(P$6:P57),P57-1))</f>
        <v>0</v>
      </c>
      <c r="Q58" s="309">
        <f t="shared" si="4"/>
        <v>0</v>
      </c>
      <c r="R58" s="175">
        <f>MAX(R$6:R57)-SUM(T$6:T57)</f>
        <v>208335</v>
      </c>
      <c r="S58" s="309">
        <f>IF(R58=0,0,IF(T57=0,MAX(S$6:S57),S57-1))</f>
        <v>10</v>
      </c>
      <c r="T58" s="309">
        <f t="shared" si="5"/>
        <v>20834</v>
      </c>
      <c r="U58" s="309">
        <f t="shared" si="6"/>
        <v>354168</v>
      </c>
      <c r="V58" s="309">
        <f t="shared" si="7"/>
        <v>3541670</v>
      </c>
      <c r="W58" s="309">
        <f t="shared" si="8"/>
        <v>354168</v>
      </c>
      <c r="X58" s="309">
        <f t="shared" si="9"/>
        <v>3187502</v>
      </c>
      <c r="Y58" s="309">
        <f>MAX(C$6:C58)+MAX(F$6:F58)+MAX(I$6:I58)+MAX(L$6:L58)+MAX(O$6:O58)+MAX(R$6:R58)</f>
        <v>70650000</v>
      </c>
      <c r="Z58" s="309">
        <f>SUM(E$6:E58)+SUM(H$6:H58)+SUM(K$6:K58)+SUM(N$6:N58)+SUM(Q$6:Q58)+SUM(T$6:T58)</f>
        <v>67462498</v>
      </c>
      <c r="AA58" s="309">
        <f t="shared" si="10"/>
        <v>3187502</v>
      </c>
      <c r="AB58" s="309">
        <f t="shared" si="11"/>
        <v>0</v>
      </c>
      <c r="AC58" s="309">
        <f>MAX(F$6:F58)+MAX(I$6:I58)+MAX(L$6:L58)</f>
        <v>34400000</v>
      </c>
      <c r="AD58" s="309">
        <f>SUM(H$6:H58)+SUM(K$6:K58)+SUM(N$6:N58)</f>
        <v>34400000</v>
      </c>
      <c r="AE58" s="309">
        <f t="shared" si="12"/>
        <v>0</v>
      </c>
      <c r="AF58" s="309">
        <f>MAX(C$6:C58)+MAX(O$6:O58)+MAX(R$6:R58)</f>
        <v>36250000</v>
      </c>
      <c r="AG58" s="309">
        <f>SUM(E$6:E58)+SUM(Q$6:Q58)+SUM(T$6:T58)</f>
        <v>33062498</v>
      </c>
      <c r="AH58" s="309">
        <f t="shared" si="13"/>
        <v>3187502</v>
      </c>
      <c r="AI58" s="309">
        <f t="shared" si="14"/>
        <v>70650000</v>
      </c>
      <c r="AJ58" s="309">
        <f t="shared" si="15"/>
        <v>67462498</v>
      </c>
      <c r="AK58" s="309">
        <f t="shared" si="16"/>
        <v>3187502</v>
      </c>
      <c r="AL58" s="309">
        <f t="shared" si="17"/>
        <v>0</v>
      </c>
      <c r="AM58" s="309">
        <f t="shared" si="20"/>
        <v>0</v>
      </c>
      <c r="AN58" s="309">
        <f t="shared" si="21"/>
        <v>0</v>
      </c>
    </row>
    <row r="59" spans="1:40" x14ac:dyDescent="0.35">
      <c r="A59" s="18">
        <v>52</v>
      </c>
      <c r="B59" s="184">
        <v>43585</v>
      </c>
      <c r="C59" s="175">
        <f>MAX(C$6:C58)-SUM(E$6:E58)</f>
        <v>3000001</v>
      </c>
      <c r="D59" s="309">
        <f>IF(C59=0,0,IF(E58=0,MAX(D$6:D58),D58-1))</f>
        <v>9</v>
      </c>
      <c r="E59" s="309">
        <f t="shared" si="0"/>
        <v>333333</v>
      </c>
      <c r="F59" s="175">
        <f>MAX(F$6:F58)-SUM(H$6:H58)</f>
        <v>0</v>
      </c>
      <c r="G59" s="309">
        <f>IF(F59=0,0,IF(H58=0,MAX(G$6:G58),G58-1))</f>
        <v>0</v>
      </c>
      <c r="H59" s="309">
        <f t="shared" si="1"/>
        <v>0</v>
      </c>
      <c r="I59" s="175">
        <f>MAX(I$6:I58)-SUM(K$6:K58)</f>
        <v>0</v>
      </c>
      <c r="J59" s="309">
        <f>IF(I59=0,0,IF(K58=0,MAX(J$6:J58),J58-1))</f>
        <v>0</v>
      </c>
      <c r="K59" s="309">
        <f t="shared" si="2"/>
        <v>0</v>
      </c>
      <c r="L59" s="175">
        <f>MAX(L$6:L58)-SUM(N$6:N58)</f>
        <v>0</v>
      </c>
      <c r="M59" s="309">
        <f>IF(L59=0,0,IF(N58=0,MAX(M$6:M58),M58-1))</f>
        <v>0</v>
      </c>
      <c r="N59" s="309">
        <f t="shared" si="3"/>
        <v>0</v>
      </c>
      <c r="O59" s="175">
        <f>MAX(O$6:O58)-SUM(Q$6:Q58)</f>
        <v>0</v>
      </c>
      <c r="P59" s="309">
        <f>IF(O59=0,0,IF(Q58=0,MAX(P$6:P58),P58-1))</f>
        <v>0</v>
      </c>
      <c r="Q59" s="309">
        <f t="shared" si="4"/>
        <v>0</v>
      </c>
      <c r="R59" s="175">
        <f>MAX(R$6:R58)-SUM(T$6:T58)</f>
        <v>187501</v>
      </c>
      <c r="S59" s="309">
        <f>IF(R59=0,0,IF(T58=0,MAX(S$6:S58),S58-1))</f>
        <v>9</v>
      </c>
      <c r="T59" s="309">
        <f t="shared" si="5"/>
        <v>20833</v>
      </c>
      <c r="U59" s="309">
        <f t="shared" si="6"/>
        <v>354166</v>
      </c>
      <c r="V59" s="309">
        <f t="shared" si="7"/>
        <v>3187502</v>
      </c>
      <c r="W59" s="309">
        <f t="shared" si="8"/>
        <v>354166</v>
      </c>
      <c r="X59" s="309">
        <f t="shared" si="9"/>
        <v>2833336</v>
      </c>
      <c r="Y59" s="309">
        <f>MAX(C$6:C59)+MAX(F$6:F59)+MAX(I$6:I59)+MAX(L$6:L59)+MAX(O$6:O59)+MAX(R$6:R59)</f>
        <v>70650000</v>
      </c>
      <c r="Z59" s="309">
        <f>SUM(E$6:E59)+SUM(H$6:H59)+SUM(K$6:K59)+SUM(N$6:N59)+SUM(Q$6:Q59)+SUM(T$6:T59)</f>
        <v>67816664</v>
      </c>
      <c r="AA59" s="309">
        <f t="shared" si="10"/>
        <v>2833336</v>
      </c>
      <c r="AB59" s="309">
        <f t="shared" si="11"/>
        <v>0</v>
      </c>
      <c r="AC59" s="309">
        <f>MAX(F$6:F59)+MAX(I$6:I59)+MAX(L$6:L59)</f>
        <v>34400000</v>
      </c>
      <c r="AD59" s="309">
        <f>SUM(H$6:H59)+SUM(K$6:K59)+SUM(N$6:N59)</f>
        <v>34400000</v>
      </c>
      <c r="AE59" s="309">
        <f t="shared" si="12"/>
        <v>0</v>
      </c>
      <c r="AF59" s="309">
        <f>MAX(C$6:C59)+MAX(O$6:O59)+MAX(R$6:R59)</f>
        <v>36250000</v>
      </c>
      <c r="AG59" s="309">
        <f>SUM(E$6:E59)+SUM(Q$6:Q59)+SUM(T$6:T59)</f>
        <v>33416664</v>
      </c>
      <c r="AH59" s="309">
        <f t="shared" si="13"/>
        <v>2833336</v>
      </c>
      <c r="AI59" s="309">
        <f t="shared" si="14"/>
        <v>70650000</v>
      </c>
      <c r="AJ59" s="309">
        <f t="shared" si="15"/>
        <v>67816664</v>
      </c>
      <c r="AK59" s="309">
        <f t="shared" si="16"/>
        <v>2833336</v>
      </c>
      <c r="AL59" s="309">
        <f t="shared" si="17"/>
        <v>0</v>
      </c>
      <c r="AM59" s="309">
        <f t="shared" si="20"/>
        <v>0</v>
      </c>
      <c r="AN59" s="309">
        <f t="shared" si="21"/>
        <v>0</v>
      </c>
    </row>
    <row r="60" spans="1:40" x14ac:dyDescent="0.35">
      <c r="A60" s="18">
        <v>53</v>
      </c>
      <c r="B60" s="184">
        <v>43616</v>
      </c>
      <c r="C60" s="175">
        <f>MAX(C$6:C59)-SUM(E$6:E59)</f>
        <v>2666668</v>
      </c>
      <c r="D60" s="309">
        <f>IF(C60=0,0,IF(E59=0,MAX(D$6:D59),D59-1))</f>
        <v>8</v>
      </c>
      <c r="E60" s="309">
        <f t="shared" si="0"/>
        <v>333334</v>
      </c>
      <c r="F60" s="175">
        <f>MAX(F$6:F59)-SUM(H$6:H59)</f>
        <v>0</v>
      </c>
      <c r="G60" s="309">
        <f>IF(F60=0,0,IF(H59=0,MAX(G$6:G59),G59-1))</f>
        <v>0</v>
      </c>
      <c r="H60" s="309">
        <f t="shared" si="1"/>
        <v>0</v>
      </c>
      <c r="I60" s="175">
        <f>MAX(I$6:I59)-SUM(K$6:K59)</f>
        <v>0</v>
      </c>
      <c r="J60" s="309">
        <f>IF(I60=0,0,IF(K59=0,MAX(J$6:J59),J59-1))</f>
        <v>0</v>
      </c>
      <c r="K60" s="309">
        <f t="shared" si="2"/>
        <v>0</v>
      </c>
      <c r="L60" s="175">
        <f>MAX(L$6:L59)-SUM(N$6:N59)</f>
        <v>0</v>
      </c>
      <c r="M60" s="309">
        <f>IF(L60=0,0,IF(N59=0,MAX(M$6:M59),M59-1))</f>
        <v>0</v>
      </c>
      <c r="N60" s="309">
        <f t="shared" si="3"/>
        <v>0</v>
      </c>
      <c r="O60" s="175">
        <f>MAX(O$6:O59)-SUM(Q$6:Q59)</f>
        <v>0</v>
      </c>
      <c r="P60" s="309">
        <f>IF(O60=0,0,IF(Q59=0,MAX(P$6:P59),P59-1))</f>
        <v>0</v>
      </c>
      <c r="Q60" s="309">
        <f t="shared" si="4"/>
        <v>0</v>
      </c>
      <c r="R60" s="175">
        <f>MAX(R$6:R59)-SUM(T$6:T59)</f>
        <v>166668</v>
      </c>
      <c r="S60" s="309">
        <f>IF(R60=0,0,IF(T59=0,MAX(S$6:S59),S59-1))</f>
        <v>8</v>
      </c>
      <c r="T60" s="309">
        <f t="shared" si="5"/>
        <v>20834</v>
      </c>
      <c r="U60" s="309">
        <f t="shared" si="6"/>
        <v>354168</v>
      </c>
      <c r="V60" s="309">
        <f t="shared" si="7"/>
        <v>2833336</v>
      </c>
      <c r="W60" s="309">
        <f t="shared" si="8"/>
        <v>354168</v>
      </c>
      <c r="X60" s="309">
        <f t="shared" si="9"/>
        <v>2479168</v>
      </c>
      <c r="Y60" s="309">
        <f>MAX(C$6:C60)+MAX(F$6:F60)+MAX(I$6:I60)+MAX(L$6:L60)+MAX(O$6:O60)+MAX(R$6:R60)</f>
        <v>70650000</v>
      </c>
      <c r="Z60" s="309">
        <f>SUM(E$6:E60)+SUM(H$6:H60)+SUM(K$6:K60)+SUM(N$6:N60)+SUM(Q$6:Q60)+SUM(T$6:T60)</f>
        <v>68170832</v>
      </c>
      <c r="AA60" s="309">
        <f t="shared" si="10"/>
        <v>2479168</v>
      </c>
      <c r="AB60" s="309">
        <f t="shared" si="11"/>
        <v>0</v>
      </c>
      <c r="AC60" s="309">
        <f>MAX(F$6:F60)+MAX(I$6:I60)+MAX(L$6:L60)</f>
        <v>34400000</v>
      </c>
      <c r="AD60" s="309">
        <f>SUM(H$6:H60)+SUM(K$6:K60)+SUM(N$6:N60)</f>
        <v>34400000</v>
      </c>
      <c r="AE60" s="309">
        <f t="shared" si="12"/>
        <v>0</v>
      </c>
      <c r="AF60" s="309">
        <f>MAX(C$6:C60)+MAX(O$6:O60)+MAX(R$6:R60)</f>
        <v>36250000</v>
      </c>
      <c r="AG60" s="309">
        <f>SUM(E$6:E60)+SUM(Q$6:Q60)+SUM(T$6:T60)</f>
        <v>33770832</v>
      </c>
      <c r="AH60" s="309">
        <f t="shared" si="13"/>
        <v>2479168</v>
      </c>
      <c r="AI60" s="309">
        <f t="shared" si="14"/>
        <v>70650000</v>
      </c>
      <c r="AJ60" s="309">
        <f t="shared" si="15"/>
        <v>68170832</v>
      </c>
      <c r="AK60" s="309">
        <f t="shared" si="16"/>
        <v>2479168</v>
      </c>
      <c r="AL60" s="309">
        <f t="shared" si="17"/>
        <v>0</v>
      </c>
      <c r="AM60" s="309">
        <f t="shared" si="20"/>
        <v>0</v>
      </c>
      <c r="AN60" s="309">
        <f t="shared" si="21"/>
        <v>0</v>
      </c>
    </row>
    <row r="61" spans="1:40" x14ac:dyDescent="0.35">
      <c r="A61" s="18">
        <v>54</v>
      </c>
      <c r="B61" s="184">
        <v>43646</v>
      </c>
      <c r="C61" s="175">
        <f>MAX(C$6:C60)-SUM(E$6:E60)</f>
        <v>2333334</v>
      </c>
      <c r="D61" s="309">
        <f>IF(C61=0,0,IF(E60=0,MAX(D$6:D60),D60-1))</f>
        <v>7</v>
      </c>
      <c r="E61" s="309">
        <f t="shared" si="0"/>
        <v>333333</v>
      </c>
      <c r="F61" s="175">
        <f>MAX(F$6:F60)-SUM(H$6:H60)</f>
        <v>0</v>
      </c>
      <c r="G61" s="309">
        <f>IF(F61=0,0,IF(H60=0,MAX(G$6:G60),G60-1))</f>
        <v>0</v>
      </c>
      <c r="H61" s="309">
        <f t="shared" si="1"/>
        <v>0</v>
      </c>
      <c r="I61" s="175">
        <f>MAX(I$6:I60)-SUM(K$6:K60)</f>
        <v>0</v>
      </c>
      <c r="J61" s="309">
        <f>IF(I61=0,0,IF(K60=0,MAX(J$6:J60),J60-1))</f>
        <v>0</v>
      </c>
      <c r="K61" s="309">
        <f t="shared" si="2"/>
        <v>0</v>
      </c>
      <c r="L61" s="175">
        <f>MAX(L$6:L60)-SUM(N$6:N60)</f>
        <v>0</v>
      </c>
      <c r="M61" s="309">
        <f>IF(L61=0,0,IF(N60=0,MAX(M$6:M60),M60-1))</f>
        <v>0</v>
      </c>
      <c r="N61" s="309">
        <f t="shared" si="3"/>
        <v>0</v>
      </c>
      <c r="O61" s="175">
        <f>MAX(O$6:O60)-SUM(Q$6:Q60)</f>
        <v>0</v>
      </c>
      <c r="P61" s="309">
        <f>IF(O61=0,0,IF(Q60=0,MAX(P$6:P60),P60-1))</f>
        <v>0</v>
      </c>
      <c r="Q61" s="309">
        <f t="shared" si="4"/>
        <v>0</v>
      </c>
      <c r="R61" s="175">
        <f>MAX(R$6:R60)-SUM(T$6:T60)</f>
        <v>145834</v>
      </c>
      <c r="S61" s="309">
        <f>IF(R61=0,0,IF(T60=0,MAX(S$6:S60),S60-1))</f>
        <v>7</v>
      </c>
      <c r="T61" s="309">
        <f t="shared" si="5"/>
        <v>20833</v>
      </c>
      <c r="U61" s="309">
        <f t="shared" si="6"/>
        <v>354166</v>
      </c>
      <c r="V61" s="309">
        <f t="shared" si="7"/>
        <v>2479168</v>
      </c>
      <c r="W61" s="309">
        <f t="shared" si="8"/>
        <v>354166</v>
      </c>
      <c r="X61" s="309">
        <f t="shared" si="9"/>
        <v>2125002</v>
      </c>
      <c r="Y61" s="309">
        <f>MAX(C$6:C61)+MAX(F$6:F61)+MAX(I$6:I61)+MAX(L$6:L61)+MAX(O$6:O61)+MAX(R$6:R61)</f>
        <v>70650000</v>
      </c>
      <c r="Z61" s="309">
        <f>SUM(E$6:E61)+SUM(H$6:H61)+SUM(K$6:K61)+SUM(N$6:N61)+SUM(Q$6:Q61)+SUM(T$6:T61)</f>
        <v>68524998</v>
      </c>
      <c r="AA61" s="309">
        <f t="shared" si="10"/>
        <v>2125002</v>
      </c>
      <c r="AB61" s="309">
        <f t="shared" si="11"/>
        <v>0</v>
      </c>
      <c r="AC61" s="309">
        <f>MAX(F$6:F61)+MAX(I$6:I61)+MAX(L$6:L61)</f>
        <v>34400000</v>
      </c>
      <c r="AD61" s="309">
        <f>SUM(H$6:H61)+SUM(K$6:K61)+SUM(N$6:N61)</f>
        <v>34400000</v>
      </c>
      <c r="AE61" s="309">
        <f t="shared" si="12"/>
        <v>0</v>
      </c>
      <c r="AF61" s="309">
        <f>MAX(C$6:C61)+MAX(O$6:O61)+MAX(R$6:R61)</f>
        <v>36250000</v>
      </c>
      <c r="AG61" s="309">
        <f>SUM(E$6:E61)+SUM(Q$6:Q61)+SUM(T$6:T61)</f>
        <v>34124998</v>
      </c>
      <c r="AH61" s="309">
        <f t="shared" si="13"/>
        <v>2125002</v>
      </c>
      <c r="AI61" s="309">
        <f t="shared" si="14"/>
        <v>70650000</v>
      </c>
      <c r="AJ61" s="309">
        <f t="shared" si="15"/>
        <v>68524998</v>
      </c>
      <c r="AK61" s="309">
        <f t="shared" si="16"/>
        <v>2125002</v>
      </c>
      <c r="AL61" s="309">
        <f t="shared" si="17"/>
        <v>0</v>
      </c>
      <c r="AM61" s="309">
        <f t="shared" si="20"/>
        <v>0</v>
      </c>
      <c r="AN61" s="309">
        <f t="shared" si="21"/>
        <v>0</v>
      </c>
    </row>
    <row r="62" spans="1:40" x14ac:dyDescent="0.35">
      <c r="A62" s="18">
        <v>55</v>
      </c>
      <c r="B62" s="184">
        <v>43677</v>
      </c>
      <c r="C62" s="175">
        <f>MAX(C$6:C61)-SUM(E$6:E61)</f>
        <v>2000001</v>
      </c>
      <c r="D62" s="309">
        <f>IF(C62=0,0,IF(E61=0,MAX(D$6:D61),D61-1))</f>
        <v>6</v>
      </c>
      <c r="E62" s="309">
        <f t="shared" si="0"/>
        <v>333334</v>
      </c>
      <c r="F62" s="175">
        <f>MAX(F$6:F61)-SUM(H$6:H61)</f>
        <v>0</v>
      </c>
      <c r="G62" s="309">
        <f>IF(F62=0,0,IF(H61=0,MAX(G$6:G61),G61-1))</f>
        <v>0</v>
      </c>
      <c r="H62" s="309">
        <f t="shared" si="1"/>
        <v>0</v>
      </c>
      <c r="I62" s="175">
        <f>MAX(I$6:I61)-SUM(K$6:K61)</f>
        <v>0</v>
      </c>
      <c r="J62" s="309">
        <f>IF(I62=0,0,IF(K61=0,MAX(J$6:J61),J61-1))</f>
        <v>0</v>
      </c>
      <c r="K62" s="309">
        <f t="shared" si="2"/>
        <v>0</v>
      </c>
      <c r="L62" s="175">
        <f>MAX(L$6:L61)-SUM(N$6:N61)</f>
        <v>0</v>
      </c>
      <c r="M62" s="309">
        <f>IF(L62=0,0,IF(N61=0,MAX(M$6:M61),M61-1))</f>
        <v>0</v>
      </c>
      <c r="N62" s="309">
        <f t="shared" si="3"/>
        <v>0</v>
      </c>
      <c r="O62" s="175">
        <f>MAX(O$6:O61)-SUM(Q$6:Q61)</f>
        <v>0</v>
      </c>
      <c r="P62" s="309">
        <f>IF(O62=0,0,IF(Q61=0,MAX(P$6:P61),P61-1))</f>
        <v>0</v>
      </c>
      <c r="Q62" s="309">
        <f t="shared" si="4"/>
        <v>0</v>
      </c>
      <c r="R62" s="175">
        <f>MAX(R$6:R61)-SUM(T$6:T61)</f>
        <v>125001</v>
      </c>
      <c r="S62" s="309">
        <f>IF(R62=0,0,IF(T61=0,MAX(S$6:S61),S61-1))</f>
        <v>6</v>
      </c>
      <c r="T62" s="309">
        <f t="shared" si="5"/>
        <v>20834</v>
      </c>
      <c r="U62" s="309">
        <f t="shared" si="6"/>
        <v>354168</v>
      </c>
      <c r="V62" s="309">
        <f t="shared" si="7"/>
        <v>2125002</v>
      </c>
      <c r="W62" s="309">
        <f t="shared" si="8"/>
        <v>354168</v>
      </c>
      <c r="X62" s="309">
        <f t="shared" si="9"/>
        <v>1770834</v>
      </c>
      <c r="Y62" s="309">
        <f>MAX(C$6:C62)+MAX(F$6:F62)+MAX(I$6:I62)+MAX(L$6:L62)+MAX(O$6:O62)+MAX(R$6:R62)</f>
        <v>70650000</v>
      </c>
      <c r="Z62" s="309">
        <f>SUM(E$6:E62)+SUM(H$6:H62)+SUM(K$6:K62)+SUM(N$6:N62)+SUM(Q$6:Q62)+SUM(T$6:T62)</f>
        <v>68879166</v>
      </c>
      <c r="AA62" s="309">
        <f t="shared" si="10"/>
        <v>1770834</v>
      </c>
      <c r="AB62" s="309">
        <f t="shared" si="11"/>
        <v>0</v>
      </c>
      <c r="AC62" s="309">
        <f>MAX(F$6:F62)+MAX(I$6:I62)+MAX(L$6:L62)</f>
        <v>34400000</v>
      </c>
      <c r="AD62" s="309">
        <f>SUM(H$6:H62)+SUM(K$6:K62)+SUM(N$6:N62)</f>
        <v>34400000</v>
      </c>
      <c r="AE62" s="309">
        <f t="shared" si="12"/>
        <v>0</v>
      </c>
      <c r="AF62" s="309">
        <f>MAX(C$6:C62)+MAX(O$6:O62)+MAX(R$6:R62)</f>
        <v>36250000</v>
      </c>
      <c r="AG62" s="309">
        <f>SUM(E$6:E62)+SUM(Q$6:Q62)+SUM(T$6:T62)</f>
        <v>34479166</v>
      </c>
      <c r="AH62" s="309">
        <f t="shared" si="13"/>
        <v>1770834</v>
      </c>
      <c r="AI62" s="309">
        <f t="shared" si="14"/>
        <v>70650000</v>
      </c>
      <c r="AJ62" s="309">
        <f t="shared" si="15"/>
        <v>68879166</v>
      </c>
      <c r="AK62" s="309">
        <f t="shared" si="16"/>
        <v>1770834</v>
      </c>
      <c r="AL62" s="309">
        <f t="shared" si="17"/>
        <v>0</v>
      </c>
      <c r="AM62" s="309">
        <f t="shared" si="20"/>
        <v>0</v>
      </c>
      <c r="AN62" s="309">
        <f t="shared" si="21"/>
        <v>0</v>
      </c>
    </row>
    <row r="63" spans="1:40" x14ac:dyDescent="0.35">
      <c r="A63" s="18">
        <v>56</v>
      </c>
      <c r="B63" s="184">
        <v>43708</v>
      </c>
      <c r="C63" s="175">
        <f>MAX(C$6:C62)-SUM(E$6:E62)</f>
        <v>1666667</v>
      </c>
      <c r="D63" s="309">
        <f>IF(C63=0,0,IF(E62=0,MAX(D$6:D62),D62-1))</f>
        <v>5</v>
      </c>
      <c r="E63" s="309">
        <f t="shared" si="0"/>
        <v>333333</v>
      </c>
      <c r="F63" s="175">
        <f>MAX(F$6:F62)-SUM(H$6:H62)</f>
        <v>0</v>
      </c>
      <c r="G63" s="309">
        <f>IF(F63=0,0,IF(H62=0,MAX(G$6:G62),G62-1))</f>
        <v>0</v>
      </c>
      <c r="H63" s="309">
        <f t="shared" si="1"/>
        <v>0</v>
      </c>
      <c r="I63" s="175">
        <f>MAX(I$6:I62)-SUM(K$6:K62)</f>
        <v>0</v>
      </c>
      <c r="J63" s="309">
        <f>IF(I63=0,0,IF(K62=0,MAX(J$6:J62),J62-1))</f>
        <v>0</v>
      </c>
      <c r="K63" s="309">
        <f t="shared" si="2"/>
        <v>0</v>
      </c>
      <c r="L63" s="175">
        <f>MAX(L$6:L62)-SUM(N$6:N62)</f>
        <v>0</v>
      </c>
      <c r="M63" s="309">
        <f>IF(L63=0,0,IF(N62=0,MAX(M$6:M62),M62-1))</f>
        <v>0</v>
      </c>
      <c r="N63" s="309">
        <f t="shared" si="3"/>
        <v>0</v>
      </c>
      <c r="O63" s="175">
        <f>MAX(O$6:O62)-SUM(Q$6:Q62)</f>
        <v>0</v>
      </c>
      <c r="P63" s="309">
        <f>IF(O63=0,0,IF(Q62=0,MAX(P$6:P62),P62-1))</f>
        <v>0</v>
      </c>
      <c r="Q63" s="309">
        <f t="shared" si="4"/>
        <v>0</v>
      </c>
      <c r="R63" s="175">
        <f>MAX(R$6:R62)-SUM(T$6:T62)</f>
        <v>104167</v>
      </c>
      <c r="S63" s="309">
        <f>IF(R63=0,0,IF(T62=0,MAX(S$6:S62),S62-1))</f>
        <v>5</v>
      </c>
      <c r="T63" s="309">
        <f t="shared" si="5"/>
        <v>20833</v>
      </c>
      <c r="U63" s="309">
        <f t="shared" si="6"/>
        <v>354166</v>
      </c>
      <c r="V63" s="309">
        <f t="shared" si="7"/>
        <v>1770834</v>
      </c>
      <c r="W63" s="309">
        <f t="shared" si="8"/>
        <v>354166</v>
      </c>
      <c r="X63" s="309">
        <f t="shared" si="9"/>
        <v>1416668</v>
      </c>
      <c r="Y63" s="309">
        <f>MAX(C$6:C63)+MAX(F$6:F63)+MAX(I$6:I63)+MAX(L$6:L63)+MAX(O$6:O63)+MAX(R$6:R63)</f>
        <v>70650000</v>
      </c>
      <c r="Z63" s="309">
        <f>SUM(E$6:E63)+SUM(H$6:H63)+SUM(K$6:K63)+SUM(N$6:N63)+SUM(Q$6:Q63)+SUM(T$6:T63)</f>
        <v>69233332</v>
      </c>
      <c r="AA63" s="309">
        <f t="shared" si="10"/>
        <v>1416668</v>
      </c>
      <c r="AB63" s="309">
        <f t="shared" si="11"/>
        <v>0</v>
      </c>
      <c r="AC63" s="309">
        <f>MAX(F$6:F63)+MAX(I$6:I63)+MAX(L$6:L63)</f>
        <v>34400000</v>
      </c>
      <c r="AD63" s="309">
        <f>SUM(H$6:H63)+SUM(K$6:K63)+SUM(N$6:N63)</f>
        <v>34400000</v>
      </c>
      <c r="AE63" s="309">
        <f t="shared" si="12"/>
        <v>0</v>
      </c>
      <c r="AF63" s="309">
        <f>MAX(C$6:C63)+MAX(O$6:O63)+MAX(R$6:R63)</f>
        <v>36250000</v>
      </c>
      <c r="AG63" s="309">
        <f>SUM(E$6:E63)+SUM(Q$6:Q63)+SUM(T$6:T63)</f>
        <v>34833332</v>
      </c>
      <c r="AH63" s="309">
        <f t="shared" si="13"/>
        <v>1416668</v>
      </c>
      <c r="AI63" s="309">
        <f t="shared" si="14"/>
        <v>70650000</v>
      </c>
      <c r="AJ63" s="309">
        <f t="shared" si="15"/>
        <v>69233332</v>
      </c>
      <c r="AK63" s="309">
        <f t="shared" si="16"/>
        <v>1416668</v>
      </c>
      <c r="AL63" s="309">
        <f t="shared" si="17"/>
        <v>0</v>
      </c>
      <c r="AM63" s="309">
        <f t="shared" si="20"/>
        <v>0</v>
      </c>
      <c r="AN63" s="309">
        <f t="shared" si="21"/>
        <v>0</v>
      </c>
    </row>
    <row r="64" spans="1:40" x14ac:dyDescent="0.35">
      <c r="A64" s="18">
        <v>57</v>
      </c>
      <c r="B64" s="184">
        <v>43738</v>
      </c>
      <c r="C64" s="175">
        <f>MAX(C$6:C63)-SUM(E$6:E63)</f>
        <v>1333334</v>
      </c>
      <c r="D64" s="309">
        <f>IF(C64=0,0,IF(E63=0,MAX(D$6:D63),D63-1))</f>
        <v>4</v>
      </c>
      <c r="E64" s="309">
        <f t="shared" si="0"/>
        <v>333334</v>
      </c>
      <c r="F64" s="175">
        <f>MAX(F$6:F63)-SUM(H$6:H63)</f>
        <v>0</v>
      </c>
      <c r="G64" s="309">
        <f>IF(F64=0,0,IF(H63=0,MAX(G$6:G63),G63-1))</f>
        <v>0</v>
      </c>
      <c r="H64" s="309">
        <f t="shared" si="1"/>
        <v>0</v>
      </c>
      <c r="I64" s="175">
        <f>MAX(I$6:I63)-SUM(K$6:K63)</f>
        <v>0</v>
      </c>
      <c r="J64" s="309">
        <f>IF(I64=0,0,IF(K63=0,MAX(J$6:J63),J63-1))</f>
        <v>0</v>
      </c>
      <c r="K64" s="309">
        <f t="shared" si="2"/>
        <v>0</v>
      </c>
      <c r="L64" s="175">
        <f>MAX(L$6:L63)-SUM(N$6:N63)</f>
        <v>0</v>
      </c>
      <c r="M64" s="309">
        <f>IF(L64=0,0,IF(N63=0,MAX(M$6:M63),M63-1))</f>
        <v>0</v>
      </c>
      <c r="N64" s="309">
        <f t="shared" si="3"/>
        <v>0</v>
      </c>
      <c r="O64" s="175">
        <f>MAX(O$6:O63)-SUM(Q$6:Q63)</f>
        <v>0</v>
      </c>
      <c r="P64" s="309">
        <f>IF(O64=0,0,IF(Q63=0,MAX(P$6:P63),P63-1))</f>
        <v>0</v>
      </c>
      <c r="Q64" s="309">
        <f t="shared" si="4"/>
        <v>0</v>
      </c>
      <c r="R64" s="175">
        <f>MAX(R$6:R63)-SUM(T$6:T63)</f>
        <v>83334</v>
      </c>
      <c r="S64" s="309">
        <f>IF(R64=0,0,IF(T63=0,MAX(S$6:S63),S63-1))</f>
        <v>4</v>
      </c>
      <c r="T64" s="309">
        <f t="shared" si="5"/>
        <v>20834</v>
      </c>
      <c r="U64" s="309">
        <f t="shared" si="6"/>
        <v>354168</v>
      </c>
      <c r="V64" s="309">
        <f t="shared" si="7"/>
        <v>1416668</v>
      </c>
      <c r="W64" s="309">
        <f t="shared" si="8"/>
        <v>354168</v>
      </c>
      <c r="X64" s="309">
        <f t="shared" si="9"/>
        <v>1062500</v>
      </c>
      <c r="Y64" s="309">
        <f>MAX(C$6:C64)+MAX(F$6:F64)+MAX(I$6:I64)+MAX(L$6:L64)+MAX(O$6:O64)+MAX(R$6:R64)</f>
        <v>70650000</v>
      </c>
      <c r="Z64" s="309">
        <f>SUM(E$6:E64)+SUM(H$6:H64)+SUM(K$6:K64)+SUM(N$6:N64)+SUM(Q$6:Q64)+SUM(T$6:T64)</f>
        <v>69587500</v>
      </c>
      <c r="AA64" s="309">
        <f t="shared" si="10"/>
        <v>1062500</v>
      </c>
      <c r="AB64" s="309">
        <f t="shared" si="11"/>
        <v>0</v>
      </c>
      <c r="AC64" s="309">
        <f>MAX(F$6:F64)+MAX(I$6:I64)+MAX(L$6:L64)</f>
        <v>34400000</v>
      </c>
      <c r="AD64" s="309">
        <f>SUM(H$6:H64)+SUM(K$6:K64)+SUM(N$6:N64)</f>
        <v>34400000</v>
      </c>
      <c r="AE64" s="309">
        <f t="shared" si="12"/>
        <v>0</v>
      </c>
      <c r="AF64" s="309">
        <f>MAX(C$6:C64)+MAX(O$6:O64)+MAX(R$6:R64)</f>
        <v>36250000</v>
      </c>
      <c r="AG64" s="309">
        <f>SUM(E$6:E64)+SUM(Q$6:Q64)+SUM(T$6:T64)</f>
        <v>35187500</v>
      </c>
      <c r="AH64" s="309">
        <f t="shared" si="13"/>
        <v>1062500</v>
      </c>
      <c r="AI64" s="309">
        <f t="shared" si="14"/>
        <v>70650000</v>
      </c>
      <c r="AJ64" s="309">
        <f t="shared" si="15"/>
        <v>69587500</v>
      </c>
      <c r="AK64" s="309">
        <f t="shared" si="16"/>
        <v>1062500</v>
      </c>
      <c r="AL64" s="309">
        <f t="shared" si="17"/>
        <v>0</v>
      </c>
      <c r="AM64" s="309">
        <f t="shared" si="20"/>
        <v>0</v>
      </c>
      <c r="AN64" s="309">
        <f t="shared" si="21"/>
        <v>0</v>
      </c>
    </row>
    <row r="65" spans="1:40" x14ac:dyDescent="0.35">
      <c r="A65" s="18">
        <v>58</v>
      </c>
      <c r="B65" s="184">
        <v>43769</v>
      </c>
      <c r="C65" s="175">
        <f>MAX(C$6:C64)-SUM(E$6:E64)</f>
        <v>1000000</v>
      </c>
      <c r="D65" s="309">
        <f>IF(C65=0,0,IF(E64=0,MAX(D$6:D64),D64-1))</f>
        <v>3</v>
      </c>
      <c r="E65" s="309">
        <f t="shared" si="0"/>
        <v>333333</v>
      </c>
      <c r="F65" s="175">
        <f>MAX(F$6:F64)-SUM(H$6:H64)</f>
        <v>0</v>
      </c>
      <c r="G65" s="309">
        <f>IF(F65=0,0,IF(H64=0,MAX(G$6:G64),G64-1))</f>
        <v>0</v>
      </c>
      <c r="H65" s="309">
        <f t="shared" si="1"/>
        <v>0</v>
      </c>
      <c r="I65" s="175">
        <f>MAX(I$6:I64)-SUM(K$6:K64)</f>
        <v>0</v>
      </c>
      <c r="J65" s="309">
        <f>IF(I65=0,0,IF(K64=0,MAX(J$6:J64),J64-1))</f>
        <v>0</v>
      </c>
      <c r="K65" s="309">
        <f t="shared" si="2"/>
        <v>0</v>
      </c>
      <c r="L65" s="175">
        <f>MAX(L$6:L64)-SUM(N$6:N64)</f>
        <v>0</v>
      </c>
      <c r="M65" s="309">
        <f>IF(L65=0,0,IF(N64=0,MAX(M$6:M64),M64-1))</f>
        <v>0</v>
      </c>
      <c r="N65" s="309">
        <f t="shared" si="3"/>
        <v>0</v>
      </c>
      <c r="O65" s="175">
        <f>MAX(O$6:O64)-SUM(Q$6:Q64)</f>
        <v>0</v>
      </c>
      <c r="P65" s="309">
        <f>IF(O65=0,0,IF(Q64=0,MAX(P$6:P64),P64-1))</f>
        <v>0</v>
      </c>
      <c r="Q65" s="309">
        <f t="shared" si="4"/>
        <v>0</v>
      </c>
      <c r="R65" s="175">
        <f>MAX(R$6:R64)-SUM(T$6:T64)</f>
        <v>62500</v>
      </c>
      <c r="S65" s="309">
        <f>IF(R65=0,0,IF(T64=0,MAX(S$6:S64),S64-1))</f>
        <v>3</v>
      </c>
      <c r="T65" s="309">
        <f t="shared" si="5"/>
        <v>20833</v>
      </c>
      <c r="U65" s="309">
        <f t="shared" si="6"/>
        <v>354166</v>
      </c>
      <c r="V65" s="309">
        <f t="shared" si="7"/>
        <v>1062500</v>
      </c>
      <c r="W65" s="309">
        <f t="shared" si="8"/>
        <v>354166</v>
      </c>
      <c r="X65" s="309">
        <f t="shared" si="9"/>
        <v>708334</v>
      </c>
      <c r="Y65" s="309">
        <f>MAX(C$6:C65)+MAX(F$6:F65)+MAX(I$6:I65)+MAX(L$6:L65)+MAX(O$6:O65)+MAX(R$6:R65)</f>
        <v>70650000</v>
      </c>
      <c r="Z65" s="309">
        <f>SUM(E$6:E65)+SUM(H$6:H65)+SUM(K$6:K65)+SUM(N$6:N65)+SUM(Q$6:Q65)+SUM(T$6:T65)</f>
        <v>69941666</v>
      </c>
      <c r="AA65" s="309">
        <f t="shared" si="10"/>
        <v>708334</v>
      </c>
      <c r="AB65" s="309">
        <f t="shared" si="11"/>
        <v>0</v>
      </c>
      <c r="AC65" s="309">
        <f>MAX(F$6:F65)+MAX(I$6:I65)+MAX(L$6:L65)</f>
        <v>34400000</v>
      </c>
      <c r="AD65" s="309">
        <f>SUM(H$6:H65)+SUM(K$6:K65)+SUM(N$6:N65)</f>
        <v>34400000</v>
      </c>
      <c r="AE65" s="309">
        <f t="shared" si="12"/>
        <v>0</v>
      </c>
      <c r="AF65" s="309">
        <f>MAX(C$6:C65)+MAX(O$6:O65)+MAX(R$6:R65)</f>
        <v>36250000</v>
      </c>
      <c r="AG65" s="309">
        <f>SUM(E$6:E65)+SUM(Q$6:Q65)+SUM(T$6:T65)</f>
        <v>35541666</v>
      </c>
      <c r="AH65" s="309">
        <f t="shared" si="13"/>
        <v>708334</v>
      </c>
      <c r="AI65" s="309">
        <f t="shared" si="14"/>
        <v>70650000</v>
      </c>
      <c r="AJ65" s="309">
        <f t="shared" si="15"/>
        <v>69941666</v>
      </c>
      <c r="AK65" s="309">
        <f t="shared" si="16"/>
        <v>708334</v>
      </c>
      <c r="AL65" s="309">
        <f t="shared" si="17"/>
        <v>0</v>
      </c>
      <c r="AM65" s="309">
        <f t="shared" si="20"/>
        <v>0</v>
      </c>
      <c r="AN65" s="309">
        <f t="shared" si="21"/>
        <v>0</v>
      </c>
    </row>
    <row r="66" spans="1:40" x14ac:dyDescent="0.35">
      <c r="A66" s="18">
        <v>59</v>
      </c>
      <c r="B66" s="184">
        <v>43799</v>
      </c>
      <c r="C66" s="175">
        <f>MAX(C$6:C65)-SUM(E$6:E65)</f>
        <v>666667</v>
      </c>
      <c r="D66" s="309">
        <f>IF(C66=0,0,IF(E65=0,MAX(D$6:D65),D65-1))</f>
        <v>2</v>
      </c>
      <c r="E66" s="309">
        <f t="shared" si="0"/>
        <v>333334</v>
      </c>
      <c r="F66" s="175">
        <f>MAX(F$6:F65)-SUM(H$6:H65)</f>
        <v>0</v>
      </c>
      <c r="G66" s="309">
        <f>IF(F66=0,0,IF(H65=0,MAX(G$6:G65),G65-1))</f>
        <v>0</v>
      </c>
      <c r="H66" s="309">
        <f t="shared" si="1"/>
        <v>0</v>
      </c>
      <c r="I66" s="175">
        <f>MAX(I$6:I65)-SUM(K$6:K65)</f>
        <v>0</v>
      </c>
      <c r="J66" s="309">
        <f>IF(I66=0,0,IF(K65=0,MAX(J$6:J65),J65-1))</f>
        <v>0</v>
      </c>
      <c r="K66" s="309">
        <f t="shared" si="2"/>
        <v>0</v>
      </c>
      <c r="L66" s="175">
        <f>MAX(L$6:L65)-SUM(N$6:N65)</f>
        <v>0</v>
      </c>
      <c r="M66" s="309">
        <f>IF(L66=0,0,IF(N65=0,MAX(M$6:M65),M65-1))</f>
        <v>0</v>
      </c>
      <c r="N66" s="309">
        <f t="shared" si="3"/>
        <v>0</v>
      </c>
      <c r="O66" s="175">
        <f>MAX(O$6:O65)-SUM(Q$6:Q65)</f>
        <v>0</v>
      </c>
      <c r="P66" s="309">
        <f>IF(O66=0,0,IF(Q65=0,MAX(P$6:P65),P65-1))</f>
        <v>0</v>
      </c>
      <c r="Q66" s="309">
        <f t="shared" si="4"/>
        <v>0</v>
      </c>
      <c r="R66" s="175">
        <f>MAX(R$6:R65)-SUM(T$6:T65)</f>
        <v>41667</v>
      </c>
      <c r="S66" s="309">
        <f>IF(R66=0,0,IF(T65=0,MAX(S$6:S65),S65-1))</f>
        <v>2</v>
      </c>
      <c r="T66" s="309">
        <f t="shared" si="5"/>
        <v>20834</v>
      </c>
      <c r="U66" s="309">
        <f t="shared" si="6"/>
        <v>354168</v>
      </c>
      <c r="V66" s="309">
        <f t="shared" si="7"/>
        <v>708334</v>
      </c>
      <c r="W66" s="309">
        <f t="shared" si="8"/>
        <v>354168</v>
      </c>
      <c r="X66" s="309">
        <f t="shared" si="9"/>
        <v>354166</v>
      </c>
      <c r="Y66" s="309">
        <f>MAX(C$6:C66)+MAX(F$6:F66)+MAX(I$6:I66)+MAX(L$6:L66)+MAX(O$6:O66)+MAX(R$6:R66)</f>
        <v>70650000</v>
      </c>
      <c r="Z66" s="309">
        <f>SUM(E$6:E66)+SUM(H$6:H66)+SUM(K$6:K66)+SUM(N$6:N66)+SUM(Q$6:Q66)+SUM(T$6:T66)</f>
        <v>70295834</v>
      </c>
      <c r="AA66" s="309">
        <f t="shared" si="10"/>
        <v>354166</v>
      </c>
      <c r="AB66" s="309">
        <f t="shared" si="11"/>
        <v>0</v>
      </c>
      <c r="AC66" s="309">
        <f>MAX(F$6:F66)+MAX(I$6:I66)+MAX(L$6:L66)</f>
        <v>34400000</v>
      </c>
      <c r="AD66" s="309">
        <f>SUM(H$6:H66)+SUM(K$6:K66)+SUM(N$6:N66)</f>
        <v>34400000</v>
      </c>
      <c r="AE66" s="309">
        <f t="shared" si="12"/>
        <v>0</v>
      </c>
      <c r="AF66" s="309">
        <f>MAX(C$6:C66)+MAX(O$6:O66)+MAX(R$6:R66)</f>
        <v>36250000</v>
      </c>
      <c r="AG66" s="309">
        <f>SUM(E$6:E66)+SUM(Q$6:Q66)+SUM(T$6:T66)</f>
        <v>35895834</v>
      </c>
      <c r="AH66" s="309">
        <f t="shared" si="13"/>
        <v>354166</v>
      </c>
      <c r="AI66" s="309">
        <f t="shared" si="14"/>
        <v>70650000</v>
      </c>
      <c r="AJ66" s="309">
        <f t="shared" si="15"/>
        <v>70295834</v>
      </c>
      <c r="AK66" s="309">
        <f t="shared" si="16"/>
        <v>354166</v>
      </c>
      <c r="AL66" s="309">
        <f t="shared" si="17"/>
        <v>0</v>
      </c>
      <c r="AM66" s="309">
        <f t="shared" si="20"/>
        <v>0</v>
      </c>
      <c r="AN66" s="309">
        <f t="shared" si="21"/>
        <v>0</v>
      </c>
    </row>
    <row r="67" spans="1:40" x14ac:dyDescent="0.35">
      <c r="A67" s="18">
        <v>60</v>
      </c>
      <c r="B67" s="184">
        <v>43830</v>
      </c>
      <c r="C67" s="175">
        <f>MAX(C$6:C66)-SUM(E$6:E66)</f>
        <v>333333</v>
      </c>
      <c r="D67" s="309">
        <f>IF(C67=0,0,IF(E66=0,MAX(D$6:D66),D66-1))</f>
        <v>1</v>
      </c>
      <c r="E67" s="309">
        <f t="shared" si="0"/>
        <v>333333</v>
      </c>
      <c r="F67" s="175">
        <f>MAX(F$6:F66)-SUM(H$6:H66)</f>
        <v>0</v>
      </c>
      <c r="G67" s="309">
        <f>IF(F67=0,0,IF(H66=0,MAX(G$6:G66),G66-1))</f>
        <v>0</v>
      </c>
      <c r="H67" s="309">
        <f t="shared" si="1"/>
        <v>0</v>
      </c>
      <c r="I67" s="175">
        <f>MAX(I$6:I66)-SUM(K$6:K66)</f>
        <v>0</v>
      </c>
      <c r="J67" s="309">
        <f>IF(I67=0,0,IF(K66=0,MAX(J$6:J66),J66-1))</f>
        <v>0</v>
      </c>
      <c r="K67" s="309">
        <f t="shared" si="2"/>
        <v>0</v>
      </c>
      <c r="L67" s="175">
        <f>MAX(L$6:L66)-SUM(N$6:N66)</f>
        <v>0</v>
      </c>
      <c r="M67" s="309">
        <f>IF(L67=0,0,IF(N66=0,MAX(M$6:M66),M66-1))</f>
        <v>0</v>
      </c>
      <c r="N67" s="309">
        <f t="shared" si="3"/>
        <v>0</v>
      </c>
      <c r="O67" s="175">
        <f>MAX(O$6:O66)-SUM(Q$6:Q66)</f>
        <v>0</v>
      </c>
      <c r="P67" s="309">
        <f>IF(O67=0,0,IF(Q66=0,MAX(P$6:P66),P66-1))</f>
        <v>0</v>
      </c>
      <c r="Q67" s="309">
        <f t="shared" si="4"/>
        <v>0</v>
      </c>
      <c r="R67" s="175">
        <f>MAX(R$6:R66)-SUM(T$6:T66)</f>
        <v>20833</v>
      </c>
      <c r="S67" s="309">
        <f>IF(R67=0,0,IF(T66=0,MAX(S$6:S66),S66-1))</f>
        <v>1</v>
      </c>
      <c r="T67" s="309">
        <f t="shared" si="5"/>
        <v>20833</v>
      </c>
      <c r="U67" s="309">
        <f t="shared" si="6"/>
        <v>354166</v>
      </c>
      <c r="V67" s="309">
        <f t="shared" si="7"/>
        <v>354166</v>
      </c>
      <c r="W67" s="309">
        <f t="shared" si="8"/>
        <v>354166</v>
      </c>
      <c r="X67" s="309">
        <f t="shared" si="9"/>
        <v>0</v>
      </c>
      <c r="Y67" s="309">
        <f>MAX(C$6:C67)+MAX(F$6:F67)+MAX(I$6:I67)+MAX(L$6:L67)+MAX(O$6:O67)+MAX(R$6:R67)</f>
        <v>70650000</v>
      </c>
      <c r="Z67" s="309">
        <f>SUM(E$6:E67)+SUM(H$6:H67)+SUM(K$6:K67)+SUM(N$6:N67)+SUM(Q$6:Q67)+SUM(T$6:T67)</f>
        <v>70650000</v>
      </c>
      <c r="AA67" s="309">
        <f t="shared" si="10"/>
        <v>0</v>
      </c>
      <c r="AB67" s="309">
        <f t="shared" si="11"/>
        <v>0</v>
      </c>
      <c r="AC67" s="309">
        <f>MAX(F$6:F67)+MAX(I$6:I67)+MAX(L$6:L67)</f>
        <v>34400000</v>
      </c>
      <c r="AD67" s="309">
        <f>SUM(H$6:H67)+SUM(K$6:K67)+SUM(N$6:N67)</f>
        <v>34400000</v>
      </c>
      <c r="AE67" s="309">
        <f t="shared" si="12"/>
        <v>0</v>
      </c>
      <c r="AF67" s="309">
        <f>MAX(C$6:C67)+MAX(O$6:O67)+MAX(R$6:R67)</f>
        <v>36250000</v>
      </c>
      <c r="AG67" s="309">
        <f>SUM(E$6:E67)+SUM(Q$6:Q67)+SUM(T$6:T67)</f>
        <v>36250000</v>
      </c>
      <c r="AH67" s="309">
        <f t="shared" si="13"/>
        <v>0</v>
      </c>
      <c r="AI67" s="309">
        <f t="shared" si="14"/>
        <v>70650000</v>
      </c>
      <c r="AJ67" s="309">
        <f t="shared" si="15"/>
        <v>70650000</v>
      </c>
      <c r="AK67" s="309">
        <f t="shared" si="16"/>
        <v>0</v>
      </c>
      <c r="AL67" s="309">
        <f t="shared" si="17"/>
        <v>0</v>
      </c>
      <c r="AM67" s="309">
        <f t="shared" si="20"/>
        <v>0</v>
      </c>
      <c r="AN67" s="309">
        <f t="shared" si="21"/>
        <v>0</v>
      </c>
    </row>
    <row r="68" spans="1:40" x14ac:dyDescent="0.35"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</row>
    <row r="69" spans="1:40" x14ac:dyDescent="0.35">
      <c r="B69" s="172"/>
      <c r="E69" s="245">
        <f t="shared" ref="E69:U69" si="22">SUM(E7:E67)</f>
        <v>20000000</v>
      </c>
      <c r="H69" s="245">
        <f t="shared" si="22"/>
        <v>21150000</v>
      </c>
      <c r="K69" s="245">
        <f t="shared" si="22"/>
        <v>9350000</v>
      </c>
      <c r="N69" s="245">
        <f t="shared" si="22"/>
        <v>3900000</v>
      </c>
      <c r="Q69" s="245">
        <f t="shared" si="22"/>
        <v>15000000</v>
      </c>
      <c r="T69" s="245">
        <f t="shared" si="22"/>
        <v>1250000</v>
      </c>
      <c r="U69" s="245">
        <f t="shared" si="22"/>
        <v>70650000</v>
      </c>
      <c r="V69" s="245">
        <f>V67</f>
        <v>354166</v>
      </c>
      <c r="W69" s="245">
        <f>W67</f>
        <v>354166</v>
      </c>
      <c r="X69" s="329">
        <f t="shared" si="9"/>
        <v>0</v>
      </c>
      <c r="Y69" s="245">
        <f>Y67</f>
        <v>70650000</v>
      </c>
      <c r="Z69" s="245">
        <f>Z67</f>
        <v>70650000</v>
      </c>
      <c r="AA69" s="329">
        <f t="shared" ref="AA69" si="23">Y69-Z69</f>
        <v>0</v>
      </c>
      <c r="AB69" s="329">
        <f t="shared" si="11"/>
        <v>0</v>
      </c>
      <c r="AC69" s="329">
        <f>X69-AA69</f>
        <v>0</v>
      </c>
    </row>
    <row r="70" spans="1:40" x14ac:dyDescent="0.35"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</row>
    <row r="71" spans="1:40" x14ac:dyDescent="0.35"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</row>
    <row r="72" spans="1:40" x14ac:dyDescent="0.35"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</row>
    <row r="73" spans="1:40" x14ac:dyDescent="0.35"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</row>
    <row r="74" spans="1:40" x14ac:dyDescent="0.35"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</row>
    <row r="75" spans="1:40" x14ac:dyDescent="0.35">
      <c r="B75" s="172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</row>
    <row r="76" spans="1:40" x14ac:dyDescent="0.35"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</row>
    <row r="77" spans="1:40" x14ac:dyDescent="0.35"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</row>
    <row r="78" spans="1:40" x14ac:dyDescent="0.35"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</row>
    <row r="79" spans="1:40" x14ac:dyDescent="0.35"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</row>
    <row r="80" spans="1:40" x14ac:dyDescent="0.35"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</row>
    <row r="81" spans="2:18" x14ac:dyDescent="0.35"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</row>
  </sheetData>
  <mergeCells count="30">
    <mergeCell ref="AF3:AH3"/>
    <mergeCell ref="AI3:AK3"/>
    <mergeCell ref="AL3:AN3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C3:AE3"/>
    <mergeCell ref="Y4:Y5"/>
    <mergeCell ref="Z4:Z5"/>
    <mergeCell ref="AA4:AA5"/>
    <mergeCell ref="AC4:AC5"/>
    <mergeCell ref="R4:T4"/>
    <mergeCell ref="U4:U5"/>
    <mergeCell ref="V4:V5"/>
    <mergeCell ref="W4:W5"/>
    <mergeCell ref="X4:X5"/>
    <mergeCell ref="AB4:AB5"/>
    <mergeCell ref="C4:E4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3:AC31"/>
  <sheetViews>
    <sheetView showGridLines="0" workbookViewId="0">
      <pane xSplit="1" ySplit="6" topLeftCell="B7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2" x14ac:dyDescent="0.35"/>
  <cols>
    <col min="1" max="1" width="36.08984375" customWidth="1" outlineLevel="1"/>
    <col min="2" max="2" width="7.81640625" bestFit="1" customWidth="1" outlineLevel="1"/>
    <col min="3" max="3" width="12.453125" customWidth="1" outlineLevel="2"/>
    <col min="4" max="4" width="10.453125" customWidth="1" outlineLevel="1"/>
    <col min="5" max="5" width="10.81640625" bestFit="1" customWidth="1" outlineLevel="1"/>
    <col min="6" max="6" width="10.453125" bestFit="1" customWidth="1" outlineLevel="1"/>
    <col min="7" max="7" width="12.453125" bestFit="1" customWidth="1" outlineLevel="1"/>
    <col min="8" max="12" width="12.453125" customWidth="1" outlineLevel="1"/>
    <col min="13" max="13" width="10.81640625" bestFit="1" customWidth="1"/>
  </cols>
  <sheetData>
    <row r="3" spans="1:29" ht="15" thickBot="1" x14ac:dyDescent="0.4"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19" thickBot="1" x14ac:dyDescent="0.5">
      <c r="A4" s="949" t="s">
        <v>191</v>
      </c>
      <c r="B4" s="950"/>
      <c r="C4" s="950"/>
      <c r="D4" s="950"/>
      <c r="E4" s="950"/>
      <c r="F4" s="950"/>
      <c r="G4" s="950"/>
      <c r="H4" s="950"/>
      <c r="I4" s="950"/>
      <c r="J4" s="950"/>
      <c r="K4" s="950"/>
      <c r="L4" s="950"/>
      <c r="M4" s="95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15" thickBot="1" x14ac:dyDescent="0.4"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x14ac:dyDescent="0.35">
      <c r="A6" s="23" t="s">
        <v>57</v>
      </c>
      <c r="B6" s="338" t="s">
        <v>489</v>
      </c>
      <c r="C6" s="201">
        <v>42004</v>
      </c>
      <c r="D6" s="201">
        <v>42185</v>
      </c>
      <c r="E6" s="201">
        <v>42369</v>
      </c>
      <c r="F6" s="201">
        <v>42551</v>
      </c>
      <c r="G6" s="201">
        <v>42735</v>
      </c>
      <c r="H6" s="201">
        <v>42916</v>
      </c>
      <c r="I6" s="201">
        <v>43100</v>
      </c>
      <c r="J6" s="201">
        <v>43281</v>
      </c>
      <c r="K6" s="201">
        <v>43465</v>
      </c>
      <c r="L6" s="201">
        <v>43646</v>
      </c>
      <c r="M6" s="201">
        <v>43830</v>
      </c>
    </row>
    <row r="7" spans="1:29" x14ac:dyDescent="0.35">
      <c r="A7" s="339" t="s">
        <v>193</v>
      </c>
      <c r="B7" s="340">
        <v>1</v>
      </c>
      <c r="C7" s="202">
        <f>IFERROR(VLOOKUP($A7,'Inv Inicial'!$A$7:$D$15,4,0),0)</f>
        <v>20000000</v>
      </c>
      <c r="D7" s="202">
        <v>0</v>
      </c>
      <c r="E7" s="202">
        <v>0</v>
      </c>
      <c r="F7" s="202">
        <v>0</v>
      </c>
      <c r="G7" s="202">
        <v>0</v>
      </c>
      <c r="H7" s="202">
        <v>0</v>
      </c>
      <c r="I7" s="202">
        <v>0</v>
      </c>
      <c r="J7" s="202">
        <v>0</v>
      </c>
      <c r="K7" s="202">
        <v>0</v>
      </c>
      <c r="L7" s="202">
        <v>0</v>
      </c>
      <c r="M7" s="203">
        <v>0</v>
      </c>
    </row>
    <row r="8" spans="1:29" x14ac:dyDescent="0.35">
      <c r="A8" s="339" t="s">
        <v>55</v>
      </c>
      <c r="B8" s="340">
        <v>1</v>
      </c>
      <c r="C8" s="202">
        <f>IFERROR(VLOOKUP($A8,'Inv Inicial'!$A$7:$D$15,4,0),0)</f>
        <v>18450000</v>
      </c>
      <c r="D8" s="202">
        <v>0</v>
      </c>
      <c r="E8" s="202">
        <v>0</v>
      </c>
      <c r="F8" s="202">
        <v>0</v>
      </c>
      <c r="G8" s="204">
        <f>ROUND(C8*110%,-3)</f>
        <v>20295000</v>
      </c>
      <c r="H8" s="202">
        <v>0</v>
      </c>
      <c r="I8" s="202">
        <v>0</v>
      </c>
      <c r="J8" s="202">
        <v>0</v>
      </c>
      <c r="K8" s="204">
        <f>ROUND(G8*110%,-3)</f>
        <v>22325000</v>
      </c>
      <c r="L8" s="202">
        <v>0</v>
      </c>
      <c r="M8" s="203">
        <v>0</v>
      </c>
    </row>
    <row r="9" spans="1:29" x14ac:dyDescent="0.35">
      <c r="A9" s="339" t="s">
        <v>56</v>
      </c>
      <c r="B9" s="340">
        <v>1</v>
      </c>
      <c r="C9" s="202">
        <f>IFERROR(VLOOKUP($A9,'Inv Inicial'!$A$7:$D$15,4,0),0)</f>
        <v>2700000</v>
      </c>
      <c r="D9" s="202">
        <v>0</v>
      </c>
      <c r="E9" s="202">
        <v>0</v>
      </c>
      <c r="F9" s="202">
        <v>0</v>
      </c>
      <c r="G9" s="204">
        <f t="shared" ref="G9:G14" si="0">ROUND(C9*110%,-3)</f>
        <v>2970000</v>
      </c>
      <c r="H9" s="202">
        <v>0</v>
      </c>
      <c r="I9" s="202">
        <v>0</v>
      </c>
      <c r="J9" s="202">
        <v>0</v>
      </c>
      <c r="K9" s="204">
        <f t="shared" ref="K9" si="1">ROUND(G9*110%,-3)</f>
        <v>3267000</v>
      </c>
      <c r="L9" s="202">
        <v>0</v>
      </c>
      <c r="M9" s="203">
        <v>0</v>
      </c>
    </row>
    <row r="10" spans="1:29" x14ac:dyDescent="0.35">
      <c r="A10" s="339" t="s">
        <v>61</v>
      </c>
      <c r="B10" s="340">
        <v>1</v>
      </c>
      <c r="C10" s="202">
        <f>IFERROR(VLOOKUP($A10,'Inv Inicial'!$A$7:$D$15,4,0),0)</f>
        <v>9350000</v>
      </c>
      <c r="D10" s="202">
        <v>0</v>
      </c>
      <c r="E10" s="202">
        <v>0</v>
      </c>
      <c r="F10" s="202">
        <v>0</v>
      </c>
      <c r="G10" s="204">
        <f>ROUND(C10*105%,-3)</f>
        <v>9818000</v>
      </c>
      <c r="H10" s="202">
        <v>0</v>
      </c>
      <c r="I10" s="202">
        <v>0</v>
      </c>
      <c r="J10" s="202">
        <v>0</v>
      </c>
      <c r="K10" s="204">
        <f>ROUND(G10*105%,-3)</f>
        <v>10309000</v>
      </c>
      <c r="L10" s="202">
        <v>0</v>
      </c>
      <c r="M10" s="203">
        <v>0</v>
      </c>
    </row>
    <row r="11" spans="1:29" x14ac:dyDescent="0.35">
      <c r="A11" s="339" t="s">
        <v>63</v>
      </c>
      <c r="B11" s="340">
        <v>1</v>
      </c>
      <c r="C11" s="202">
        <f>IFERROR(VLOOKUP($A11,'Inv Inicial'!$A$7:$D$15,4,0),0)</f>
        <v>2000000</v>
      </c>
      <c r="D11" s="202">
        <v>0</v>
      </c>
      <c r="E11" s="202">
        <v>0</v>
      </c>
      <c r="F11" s="202">
        <v>0</v>
      </c>
      <c r="G11" s="204">
        <f>ROUND(C11*105%,-3)</f>
        <v>2100000</v>
      </c>
      <c r="H11" s="202">
        <v>0</v>
      </c>
      <c r="I11" s="202">
        <v>0</v>
      </c>
      <c r="J11" s="202">
        <v>0</v>
      </c>
      <c r="K11" s="204">
        <f>ROUND(G11*105%,-3)</f>
        <v>2205000</v>
      </c>
      <c r="L11" s="202">
        <v>0</v>
      </c>
      <c r="M11" s="203">
        <v>0</v>
      </c>
    </row>
    <row r="12" spans="1:29" x14ac:dyDescent="0.35">
      <c r="A12" s="339" t="s">
        <v>64</v>
      </c>
      <c r="B12" s="340">
        <v>1</v>
      </c>
      <c r="C12" s="202">
        <f>IFERROR(VLOOKUP($A12,'Inv Inicial'!$A$7:$D$15,4,0),0)</f>
        <v>1900000</v>
      </c>
      <c r="D12" s="202">
        <v>0</v>
      </c>
      <c r="E12" s="202">
        <v>0</v>
      </c>
      <c r="F12" s="202">
        <v>0</v>
      </c>
      <c r="G12" s="204">
        <f>ROUND(C12*105%,-3)</f>
        <v>1995000</v>
      </c>
      <c r="H12" s="202">
        <v>0</v>
      </c>
      <c r="I12" s="202">
        <v>0</v>
      </c>
      <c r="J12" s="202">
        <v>0</v>
      </c>
      <c r="K12" s="204">
        <f>ROUND(G12*105%,-3)</f>
        <v>2095000</v>
      </c>
      <c r="L12" s="202">
        <v>0</v>
      </c>
      <c r="M12" s="203">
        <v>0</v>
      </c>
    </row>
    <row r="13" spans="1:29" x14ac:dyDescent="0.35">
      <c r="A13" s="339" t="s">
        <v>153</v>
      </c>
      <c r="B13" s="340">
        <v>1</v>
      </c>
      <c r="C13" s="202">
        <f>IFERROR(VLOOKUP($A13,'Inv Inicial'!$A$7:$D$15,4,0),0)</f>
        <v>15000000</v>
      </c>
      <c r="D13" s="202">
        <v>0</v>
      </c>
      <c r="E13" s="202">
        <f>ROUND(C13*20%*110%,-3)</f>
        <v>3300000</v>
      </c>
      <c r="F13" s="202">
        <v>0</v>
      </c>
      <c r="G13" s="202">
        <f>ROUND(E13*100%*110%,-3)</f>
        <v>3630000</v>
      </c>
      <c r="H13" s="202">
        <v>0</v>
      </c>
      <c r="I13" s="202">
        <f>ROUND(G13*100%*110%,-3)</f>
        <v>3993000</v>
      </c>
      <c r="J13" s="202">
        <v>0</v>
      </c>
      <c r="K13" s="202">
        <f>ROUND(I13*100%*110%,-3)</f>
        <v>4392000</v>
      </c>
      <c r="L13" s="202">
        <v>0</v>
      </c>
      <c r="M13" s="328">
        <f>ROUND(K13*100%*110%,-3)*0</f>
        <v>0</v>
      </c>
    </row>
    <row r="14" spans="1:29" x14ac:dyDescent="0.35">
      <c r="A14" s="339" t="s">
        <v>192</v>
      </c>
      <c r="B14" s="340">
        <v>1</v>
      </c>
      <c r="C14" s="202">
        <f>IFERROR(VLOOKUP($A14,'Inv Inicial'!$A$7:$D$15,4,0),0)</f>
        <v>0</v>
      </c>
      <c r="D14" s="202">
        <v>12000000</v>
      </c>
      <c r="E14" s="202">
        <v>0</v>
      </c>
      <c r="F14" s="202">
        <f>ROUND(D14*50%*110%,-3)</f>
        <v>6600000</v>
      </c>
      <c r="G14" s="204">
        <f t="shared" si="0"/>
        <v>0</v>
      </c>
      <c r="H14" s="202">
        <f>ROUND(F14*100%*110%,-3)</f>
        <v>7260000</v>
      </c>
      <c r="I14" s="202">
        <v>0</v>
      </c>
      <c r="J14" s="202">
        <f>ROUND(H14*100%*110%,-3)</f>
        <v>7986000</v>
      </c>
      <c r="K14" s="202">
        <v>0</v>
      </c>
      <c r="L14" s="202">
        <f>ROUND(J14*100%*110%,-3)</f>
        <v>8785000</v>
      </c>
      <c r="M14" s="203">
        <v>0</v>
      </c>
    </row>
    <row r="15" spans="1:29" x14ac:dyDescent="0.35">
      <c r="A15" s="339" t="s">
        <v>159</v>
      </c>
      <c r="B15" s="340">
        <v>1</v>
      </c>
      <c r="C15" s="202">
        <f>IFERROR(VLOOKUP($A15,'Inv Inicial'!$A$7:$D$15,4,0),0)</f>
        <v>1250000</v>
      </c>
      <c r="D15" s="202">
        <v>0</v>
      </c>
      <c r="E15" s="202">
        <v>0</v>
      </c>
      <c r="F15" s="202">
        <v>0</v>
      </c>
      <c r="G15" s="204">
        <v>0</v>
      </c>
      <c r="H15" s="202">
        <v>0</v>
      </c>
      <c r="I15" s="202">
        <v>0</v>
      </c>
      <c r="J15" s="202">
        <v>0</v>
      </c>
      <c r="K15" s="202">
        <v>0</v>
      </c>
      <c r="L15" s="202">
        <v>0</v>
      </c>
      <c r="M15" s="203">
        <v>0</v>
      </c>
    </row>
    <row r="16" spans="1:29" x14ac:dyDescent="0.35">
      <c r="A16" s="339" t="s">
        <v>195</v>
      </c>
      <c r="B16" s="340" t="str">
        <f>IF(Variables!$B$51=1,1,"")</f>
        <v/>
      </c>
      <c r="C16" s="202">
        <v>0</v>
      </c>
      <c r="D16" s="202">
        <v>0</v>
      </c>
      <c r="E16" s="202">
        <f>IF(B16=1,350000000,0)</f>
        <v>0</v>
      </c>
      <c r="F16" s="202">
        <v>0</v>
      </c>
      <c r="G16" s="202">
        <v>0</v>
      </c>
      <c r="H16" s="202">
        <v>0</v>
      </c>
      <c r="I16" s="202">
        <v>0</v>
      </c>
      <c r="J16" s="202">
        <v>0</v>
      </c>
      <c r="K16" s="202">
        <v>0</v>
      </c>
      <c r="L16" s="202">
        <v>0</v>
      </c>
      <c r="M16" s="203">
        <v>0</v>
      </c>
    </row>
    <row r="17" spans="1:13" x14ac:dyDescent="0.35">
      <c r="A17" s="300" t="s">
        <v>62</v>
      </c>
      <c r="B17" s="340">
        <v>1</v>
      </c>
      <c r="C17" s="202">
        <f>IFERROR(VLOOKUP($A17,'Inv Inicial'!$A$7:$D$15,4,0),0)</f>
        <v>194000000</v>
      </c>
      <c r="D17" s="301">
        <v>0</v>
      </c>
      <c r="E17" s="301">
        <v>0</v>
      </c>
      <c r="F17" s="301">
        <v>0</v>
      </c>
      <c r="G17" s="301">
        <v>0</v>
      </c>
      <c r="H17" s="301">
        <v>0</v>
      </c>
      <c r="I17" s="301">
        <v>0</v>
      </c>
      <c r="J17" s="301">
        <v>0</v>
      </c>
      <c r="K17" s="301">
        <v>0</v>
      </c>
      <c r="L17" s="301">
        <v>0</v>
      </c>
      <c r="M17" s="302">
        <v>0</v>
      </c>
    </row>
    <row r="18" spans="1:13" ht="15" thickBot="1" x14ac:dyDescent="0.4">
      <c r="A18" s="24" t="s">
        <v>65</v>
      </c>
      <c r="B18" s="337"/>
      <c r="C18" s="199">
        <f>SUM(C7:C17)</f>
        <v>264650000</v>
      </c>
      <c r="D18" s="199">
        <f t="shared" ref="D18:M18" si="2">SUM(D7:D17)</f>
        <v>12000000</v>
      </c>
      <c r="E18" s="199">
        <f t="shared" si="2"/>
        <v>3300000</v>
      </c>
      <c r="F18" s="199">
        <f t="shared" si="2"/>
        <v>6600000</v>
      </c>
      <c r="G18" s="199">
        <f t="shared" si="2"/>
        <v>40808000</v>
      </c>
      <c r="H18" s="199">
        <f t="shared" si="2"/>
        <v>7260000</v>
      </c>
      <c r="I18" s="199">
        <f t="shared" si="2"/>
        <v>3993000</v>
      </c>
      <c r="J18" s="199">
        <f t="shared" si="2"/>
        <v>7986000</v>
      </c>
      <c r="K18" s="199">
        <f t="shared" si="2"/>
        <v>44593000</v>
      </c>
      <c r="L18" s="199">
        <f t="shared" si="2"/>
        <v>8785000</v>
      </c>
      <c r="M18" s="200">
        <f t="shared" si="2"/>
        <v>0</v>
      </c>
    </row>
    <row r="19" spans="1:13" ht="15" thickBot="1" x14ac:dyDescent="0.4"/>
    <row r="20" spans="1:13" ht="19" thickBot="1" x14ac:dyDescent="0.5">
      <c r="A20" s="949" t="s">
        <v>194</v>
      </c>
      <c r="B20" s="950"/>
      <c r="C20" s="950"/>
      <c r="D20" s="950"/>
      <c r="E20" s="950"/>
      <c r="F20" s="950"/>
      <c r="G20" s="950"/>
      <c r="H20" s="950"/>
      <c r="I20" s="950"/>
      <c r="J20" s="950"/>
      <c r="K20" s="950"/>
      <c r="L20" s="950"/>
      <c r="M20" s="951"/>
    </row>
    <row r="21" spans="1:13" ht="15" thickBot="1" x14ac:dyDescent="0.4"/>
    <row r="22" spans="1:13" x14ac:dyDescent="0.35">
      <c r="A22" s="171" t="s">
        <v>57</v>
      </c>
      <c r="B22" s="333"/>
      <c r="C22" s="201">
        <f>C6</f>
        <v>42004</v>
      </c>
      <c r="D22" s="201">
        <f t="shared" ref="D22:L22" si="3">D6</f>
        <v>42185</v>
      </c>
      <c r="E22" s="201">
        <f t="shared" si="3"/>
        <v>42369</v>
      </c>
      <c r="F22" s="201">
        <f t="shared" si="3"/>
        <v>42551</v>
      </c>
      <c r="G22" s="201">
        <f t="shared" si="3"/>
        <v>42735</v>
      </c>
      <c r="H22" s="201">
        <f t="shared" si="3"/>
        <v>42916</v>
      </c>
      <c r="I22" s="201">
        <f t="shared" si="3"/>
        <v>43100</v>
      </c>
      <c r="J22" s="201">
        <f t="shared" si="3"/>
        <v>43281</v>
      </c>
      <c r="K22" s="201">
        <f t="shared" si="3"/>
        <v>43465</v>
      </c>
      <c r="L22" s="201">
        <f t="shared" si="3"/>
        <v>43646</v>
      </c>
      <c r="M22" s="201">
        <f>M6</f>
        <v>43830</v>
      </c>
    </row>
    <row r="23" spans="1:13" x14ac:dyDescent="0.35">
      <c r="A23" s="170" t="s">
        <v>155</v>
      </c>
      <c r="B23" s="334"/>
      <c r="C23" s="202">
        <f>C18-C16-C25</f>
        <v>50000000</v>
      </c>
      <c r="D23" s="202">
        <v>0</v>
      </c>
      <c r="E23" s="202">
        <v>0</v>
      </c>
      <c r="F23" s="202">
        <v>0</v>
      </c>
      <c r="G23" s="202">
        <v>0</v>
      </c>
      <c r="H23" s="202">
        <v>0</v>
      </c>
      <c r="I23" s="202">
        <v>0</v>
      </c>
      <c r="J23" s="202">
        <v>0</v>
      </c>
      <c r="K23" s="202">
        <v>0</v>
      </c>
      <c r="L23" s="202">
        <v>0</v>
      </c>
      <c r="M23" s="203">
        <v>0</v>
      </c>
    </row>
    <row r="24" spans="1:13" x14ac:dyDescent="0.35">
      <c r="A24" s="293" t="s">
        <v>368</v>
      </c>
      <c r="B24" s="334"/>
      <c r="C24" s="303">
        <v>0</v>
      </c>
      <c r="D24" s="303">
        <f>D18-D16</f>
        <v>12000000</v>
      </c>
      <c r="E24" s="303">
        <f t="shared" ref="E24:M24" si="4">E18-E16</f>
        <v>3300000</v>
      </c>
      <c r="F24" s="303">
        <f t="shared" si="4"/>
        <v>6600000</v>
      </c>
      <c r="G24" s="303">
        <f t="shared" si="4"/>
        <v>40808000</v>
      </c>
      <c r="H24" s="303">
        <f t="shared" si="4"/>
        <v>7260000</v>
      </c>
      <c r="I24" s="303">
        <f t="shared" si="4"/>
        <v>3993000</v>
      </c>
      <c r="J24" s="303">
        <f t="shared" si="4"/>
        <v>7986000</v>
      </c>
      <c r="K24" s="303">
        <f t="shared" si="4"/>
        <v>44593000</v>
      </c>
      <c r="L24" s="303">
        <f t="shared" si="4"/>
        <v>8785000</v>
      </c>
      <c r="M24" s="203">
        <f t="shared" si="4"/>
        <v>0</v>
      </c>
    </row>
    <row r="25" spans="1:13" x14ac:dyDescent="0.35">
      <c r="A25" s="957" t="s">
        <v>369</v>
      </c>
      <c r="B25" s="335"/>
      <c r="C25" s="303">
        <f>'Inv Inicial'!D22</f>
        <v>214650000</v>
      </c>
      <c r="D25" s="303">
        <v>0</v>
      </c>
      <c r="E25" s="303">
        <v>0</v>
      </c>
      <c r="F25" s="303">
        <v>0</v>
      </c>
      <c r="G25" s="303">
        <v>0</v>
      </c>
      <c r="H25" s="303">
        <v>0</v>
      </c>
      <c r="I25" s="303">
        <v>0</v>
      </c>
      <c r="J25" s="303">
        <v>0</v>
      </c>
      <c r="K25" s="303">
        <v>0</v>
      </c>
      <c r="L25" s="303">
        <v>0</v>
      </c>
      <c r="M25" s="203">
        <v>0</v>
      </c>
    </row>
    <row r="26" spans="1:13" x14ac:dyDescent="0.35">
      <c r="A26" s="958"/>
      <c r="B26" s="336"/>
      <c r="C26" s="304">
        <v>0.05</v>
      </c>
      <c r="D26" s="304"/>
      <c r="E26" s="304"/>
      <c r="F26" s="304"/>
      <c r="G26" s="304"/>
      <c r="H26" s="304"/>
      <c r="I26" s="304"/>
      <c r="J26" s="304"/>
      <c r="K26" s="304"/>
      <c r="L26" s="304"/>
      <c r="M26" s="305"/>
    </row>
    <row r="27" spans="1:13" x14ac:dyDescent="0.35">
      <c r="A27" s="957" t="s">
        <v>370</v>
      </c>
      <c r="B27" s="335"/>
      <c r="C27" s="303">
        <f>C16</f>
        <v>0</v>
      </c>
      <c r="D27" s="303">
        <f t="shared" ref="D27:L27" si="5">D16</f>
        <v>0</v>
      </c>
      <c r="E27" s="303">
        <f t="shared" si="5"/>
        <v>0</v>
      </c>
      <c r="F27" s="303">
        <f t="shared" si="5"/>
        <v>0</v>
      </c>
      <c r="G27" s="303">
        <f t="shared" si="5"/>
        <v>0</v>
      </c>
      <c r="H27" s="303">
        <f t="shared" si="5"/>
        <v>0</v>
      </c>
      <c r="I27" s="303">
        <f t="shared" si="5"/>
        <v>0</v>
      </c>
      <c r="J27" s="303">
        <f t="shared" si="5"/>
        <v>0</v>
      </c>
      <c r="K27" s="303">
        <f t="shared" si="5"/>
        <v>0</v>
      </c>
      <c r="L27" s="303">
        <f t="shared" si="5"/>
        <v>0</v>
      </c>
      <c r="M27" s="203">
        <f>M16</f>
        <v>0</v>
      </c>
    </row>
    <row r="28" spans="1:13" x14ac:dyDescent="0.35">
      <c r="A28" s="958"/>
      <c r="B28" s="336"/>
      <c r="C28" s="304"/>
      <c r="D28" s="304"/>
      <c r="E28" s="304">
        <v>0.05</v>
      </c>
      <c r="F28" s="304"/>
      <c r="G28" s="304"/>
      <c r="H28" s="304"/>
      <c r="I28" s="304"/>
      <c r="J28" s="304"/>
      <c r="K28" s="304"/>
      <c r="L28" s="304"/>
      <c r="M28" s="305"/>
    </row>
    <row r="29" spans="1:13" ht="15" thickBot="1" x14ac:dyDescent="0.4">
      <c r="A29" s="24" t="s">
        <v>65</v>
      </c>
      <c r="B29" s="332"/>
      <c r="C29" s="199">
        <f>SUM(C23:C25)+C27</f>
        <v>264650000</v>
      </c>
      <c r="D29" s="199">
        <f t="shared" ref="D29:L29" si="6">SUM(D23:D27)</f>
        <v>12000000</v>
      </c>
      <c r="E29" s="199">
        <f t="shared" si="6"/>
        <v>3300000</v>
      </c>
      <c r="F29" s="199">
        <f t="shared" si="6"/>
        <v>6600000</v>
      </c>
      <c r="G29" s="199">
        <f t="shared" si="6"/>
        <v>40808000</v>
      </c>
      <c r="H29" s="199">
        <f t="shared" si="6"/>
        <v>7260000</v>
      </c>
      <c r="I29" s="199">
        <f t="shared" si="6"/>
        <v>3993000</v>
      </c>
      <c r="J29" s="199">
        <f t="shared" si="6"/>
        <v>7986000</v>
      </c>
      <c r="K29" s="199">
        <f t="shared" si="6"/>
        <v>44593000</v>
      </c>
      <c r="L29" s="199">
        <f t="shared" si="6"/>
        <v>8785000</v>
      </c>
      <c r="M29" s="22">
        <f>SUM(M23:M27)</f>
        <v>0</v>
      </c>
    </row>
    <row r="31" spans="1:13" x14ac:dyDescent="0.35">
      <c r="C31" s="15">
        <f>C29-C18</f>
        <v>0</v>
      </c>
      <c r="D31" s="15">
        <f t="shared" ref="D31:M31" si="7">D29-D18</f>
        <v>0</v>
      </c>
      <c r="E31" s="15">
        <f t="shared" si="7"/>
        <v>0</v>
      </c>
      <c r="F31" s="15">
        <f t="shared" si="7"/>
        <v>0</v>
      </c>
      <c r="G31" s="15">
        <f t="shared" si="7"/>
        <v>0</v>
      </c>
      <c r="H31" s="15">
        <f t="shared" si="7"/>
        <v>0</v>
      </c>
      <c r="I31" s="15">
        <f t="shared" si="7"/>
        <v>0</v>
      </c>
      <c r="J31" s="15">
        <f t="shared" si="7"/>
        <v>0</v>
      </c>
      <c r="K31" s="15">
        <f t="shared" si="7"/>
        <v>0</v>
      </c>
      <c r="L31" s="15">
        <f t="shared" si="7"/>
        <v>0</v>
      </c>
      <c r="M31" s="15">
        <f t="shared" si="7"/>
        <v>0</v>
      </c>
    </row>
  </sheetData>
  <mergeCells count="4">
    <mergeCell ref="A4:M4"/>
    <mergeCell ref="A20:M20"/>
    <mergeCell ref="A25:A26"/>
    <mergeCell ref="A27:A28"/>
  </mergeCells>
  <conditionalFormatting sqref="B7:B17">
    <cfRule type="expression" priority="1" stopIfTrue="1">
      <formula>B7&lt;&gt;A7</formula>
    </cfRule>
  </conditionalFormatting>
  <dataValidations count="1">
    <dataValidation type="list" allowBlank="1" showInputMessage="1" showErrorMessage="1" sqref="B7:B18">
      <formula1>SIONO</formula1>
    </dataValidation>
  </dataValidations>
  <printOptions horizontalCentered="1" verticalCentered="1"/>
  <pageMargins left="0.31496062992125984" right="0.11811023622047245" top="0.15748031496062992" bottom="0.35433070866141736" header="0.31496062992125984" footer="0.31496062992125984"/>
  <pageSetup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BU81"/>
  <sheetViews>
    <sheetView workbookViewId="0">
      <pane xSplit="2" ySplit="6" topLeftCell="M7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3" max="3" width="11.1796875" bestFit="1" customWidth="1"/>
    <col min="4" max="5" width="11.1796875" customWidth="1"/>
    <col min="12" max="12" width="11.1796875" bestFit="1" customWidth="1"/>
    <col min="13" max="14" width="11.1796875" customWidth="1"/>
    <col min="15" max="15" width="11.1796875" bestFit="1" customWidth="1"/>
    <col min="16" max="17" width="11.1796875" customWidth="1"/>
    <col min="18" max="20" width="11.6328125" customWidth="1"/>
    <col min="21" max="21" width="11.1796875" bestFit="1" customWidth="1"/>
    <col min="22" max="53" width="11.1796875" customWidth="1"/>
    <col min="55" max="55" width="13.26953125" bestFit="1" customWidth="1"/>
    <col min="57" max="57" width="10.90625" customWidth="1"/>
  </cols>
  <sheetData>
    <row r="1" spans="1:73" x14ac:dyDescent="0.35">
      <c r="BB1">
        <f>COLUMN()</f>
        <v>54</v>
      </c>
      <c r="BJ1">
        <f>COLUMN()</f>
        <v>62</v>
      </c>
      <c r="BK1">
        <f>COLUMN()</f>
        <v>63</v>
      </c>
      <c r="BM1">
        <f>COLUMN()</f>
        <v>65</v>
      </c>
      <c r="BN1">
        <f>COLUMN()</f>
        <v>66</v>
      </c>
    </row>
    <row r="3" spans="1:73" x14ac:dyDescent="0.35">
      <c r="BJ3" s="955" t="s">
        <v>538</v>
      </c>
      <c r="BK3" s="955"/>
      <c r="BL3" s="955"/>
      <c r="BM3" s="955" t="s">
        <v>559</v>
      </c>
      <c r="BN3" s="955"/>
      <c r="BO3" s="955"/>
      <c r="BP3" s="956" t="s">
        <v>65</v>
      </c>
      <c r="BQ3" s="956"/>
      <c r="BR3" s="956"/>
      <c r="BS3" s="956" t="s">
        <v>77</v>
      </c>
      <c r="BT3" s="956"/>
      <c r="BU3" s="956"/>
    </row>
    <row r="4" spans="1:73" ht="14.5" customHeight="1" x14ac:dyDescent="0.35">
      <c r="A4" s="179" t="s">
        <v>179</v>
      </c>
      <c r="B4" s="180" t="s">
        <v>180</v>
      </c>
      <c r="C4" s="929" t="s">
        <v>192</v>
      </c>
      <c r="D4" s="930"/>
      <c r="E4" s="954"/>
      <c r="F4" s="929" t="s">
        <v>153</v>
      </c>
      <c r="G4" s="930"/>
      <c r="H4" s="954"/>
      <c r="I4" s="929" t="s">
        <v>195</v>
      </c>
      <c r="J4" s="930"/>
      <c r="K4" s="954"/>
      <c r="L4" s="929" t="s">
        <v>192</v>
      </c>
      <c r="M4" s="930"/>
      <c r="N4" s="954"/>
      <c r="O4" s="929" t="s">
        <v>376</v>
      </c>
      <c r="P4" s="930"/>
      <c r="Q4" s="954"/>
      <c r="R4" s="929" t="s">
        <v>377</v>
      </c>
      <c r="S4" s="930"/>
      <c r="T4" s="954"/>
      <c r="U4" s="929" t="s">
        <v>378</v>
      </c>
      <c r="V4" s="930"/>
      <c r="W4" s="954"/>
      <c r="X4" s="929" t="s">
        <v>153</v>
      </c>
      <c r="Y4" s="930"/>
      <c r="Z4" s="954"/>
      <c r="AA4" s="929" t="s">
        <v>192</v>
      </c>
      <c r="AB4" s="930"/>
      <c r="AC4" s="954"/>
      <c r="AD4" s="929" t="s">
        <v>153</v>
      </c>
      <c r="AE4" s="930"/>
      <c r="AF4" s="954"/>
      <c r="AG4" s="929" t="s">
        <v>192</v>
      </c>
      <c r="AH4" s="930"/>
      <c r="AI4" s="954"/>
      <c r="AJ4" s="929" t="s">
        <v>376</v>
      </c>
      <c r="AK4" s="930"/>
      <c r="AL4" s="954"/>
      <c r="AM4" s="929" t="s">
        <v>377</v>
      </c>
      <c r="AN4" s="930"/>
      <c r="AO4" s="954"/>
      <c r="AP4" s="929" t="s">
        <v>378</v>
      </c>
      <c r="AQ4" s="930"/>
      <c r="AR4" s="954"/>
      <c r="AS4" s="929" t="s">
        <v>153</v>
      </c>
      <c r="AT4" s="930"/>
      <c r="AU4" s="954"/>
      <c r="AV4" s="929" t="s">
        <v>192</v>
      </c>
      <c r="AW4" s="930"/>
      <c r="AX4" s="954"/>
      <c r="AY4" s="929" t="s">
        <v>153</v>
      </c>
      <c r="AZ4" s="930"/>
      <c r="BA4" s="954"/>
      <c r="BB4" s="899" t="s">
        <v>484</v>
      </c>
      <c r="BC4" s="899" t="s">
        <v>485</v>
      </c>
      <c r="BD4" s="882" t="s">
        <v>486</v>
      </c>
      <c r="BE4" s="899" t="s">
        <v>487</v>
      </c>
      <c r="BF4" s="899" t="s">
        <v>485</v>
      </c>
      <c r="BG4" s="882" t="s">
        <v>486</v>
      </c>
      <c r="BH4" s="899" t="s">
        <v>487</v>
      </c>
      <c r="BI4" s="899" t="s">
        <v>77</v>
      </c>
      <c r="BJ4" s="899" t="s">
        <v>485</v>
      </c>
      <c r="BK4" s="882" t="s">
        <v>486</v>
      </c>
      <c r="BL4" s="899" t="s">
        <v>487</v>
      </c>
      <c r="BM4" s="899" t="s">
        <v>485</v>
      </c>
      <c r="BN4" s="882" t="s">
        <v>486</v>
      </c>
      <c r="BO4" s="899" t="s">
        <v>487</v>
      </c>
      <c r="BP4" s="899" t="s">
        <v>485</v>
      </c>
      <c r="BQ4" s="882" t="s">
        <v>486</v>
      </c>
      <c r="BR4" s="899" t="s">
        <v>487</v>
      </c>
      <c r="BS4" s="899" t="s">
        <v>485</v>
      </c>
      <c r="BT4" s="882" t="s">
        <v>486</v>
      </c>
      <c r="BU4" s="899" t="s">
        <v>487</v>
      </c>
    </row>
    <row r="5" spans="1:73" x14ac:dyDescent="0.35">
      <c r="A5" s="181"/>
      <c r="B5" s="181"/>
      <c r="C5" s="323" t="s">
        <v>381</v>
      </c>
      <c r="D5" s="323" t="s">
        <v>223</v>
      </c>
      <c r="E5" s="323" t="s">
        <v>382</v>
      </c>
      <c r="F5" s="323" t="s">
        <v>381</v>
      </c>
      <c r="G5" s="323" t="s">
        <v>223</v>
      </c>
      <c r="H5" s="323" t="s">
        <v>382</v>
      </c>
      <c r="I5" s="323" t="s">
        <v>381</v>
      </c>
      <c r="J5" s="323" t="s">
        <v>223</v>
      </c>
      <c r="K5" s="323" t="s">
        <v>382</v>
      </c>
      <c r="L5" s="323" t="s">
        <v>381</v>
      </c>
      <c r="M5" s="323" t="s">
        <v>223</v>
      </c>
      <c r="N5" s="323" t="s">
        <v>382</v>
      </c>
      <c r="O5" s="323" t="s">
        <v>381</v>
      </c>
      <c r="P5" s="323" t="s">
        <v>223</v>
      </c>
      <c r="Q5" s="323" t="s">
        <v>382</v>
      </c>
      <c r="R5" s="323" t="s">
        <v>381</v>
      </c>
      <c r="S5" s="323" t="s">
        <v>223</v>
      </c>
      <c r="T5" s="323" t="s">
        <v>382</v>
      </c>
      <c r="U5" s="323" t="s">
        <v>381</v>
      </c>
      <c r="V5" s="323" t="s">
        <v>223</v>
      </c>
      <c r="W5" s="323" t="s">
        <v>382</v>
      </c>
      <c r="X5" s="323" t="s">
        <v>381</v>
      </c>
      <c r="Y5" s="323" t="s">
        <v>223</v>
      </c>
      <c r="Z5" s="323" t="s">
        <v>382</v>
      </c>
      <c r="AA5" s="323" t="s">
        <v>381</v>
      </c>
      <c r="AB5" s="323" t="s">
        <v>223</v>
      </c>
      <c r="AC5" s="323" t="s">
        <v>382</v>
      </c>
      <c r="AD5" s="323" t="s">
        <v>381</v>
      </c>
      <c r="AE5" s="323" t="s">
        <v>223</v>
      </c>
      <c r="AF5" s="323" t="s">
        <v>382</v>
      </c>
      <c r="AG5" s="323" t="s">
        <v>381</v>
      </c>
      <c r="AH5" s="323" t="s">
        <v>223</v>
      </c>
      <c r="AI5" s="323" t="s">
        <v>382</v>
      </c>
      <c r="AJ5" s="323" t="s">
        <v>381</v>
      </c>
      <c r="AK5" s="323" t="s">
        <v>223</v>
      </c>
      <c r="AL5" s="323" t="s">
        <v>382</v>
      </c>
      <c r="AM5" s="323" t="s">
        <v>381</v>
      </c>
      <c r="AN5" s="323" t="s">
        <v>223</v>
      </c>
      <c r="AO5" s="323" t="s">
        <v>382</v>
      </c>
      <c r="AP5" s="323" t="s">
        <v>381</v>
      </c>
      <c r="AQ5" s="323" t="s">
        <v>223</v>
      </c>
      <c r="AR5" s="323" t="s">
        <v>382</v>
      </c>
      <c r="AS5" s="323" t="s">
        <v>381</v>
      </c>
      <c r="AT5" s="323" t="s">
        <v>223</v>
      </c>
      <c r="AU5" s="323" t="s">
        <v>382</v>
      </c>
      <c r="AV5" s="323" t="s">
        <v>381</v>
      </c>
      <c r="AW5" s="323" t="s">
        <v>223</v>
      </c>
      <c r="AX5" s="323" t="s">
        <v>382</v>
      </c>
      <c r="AY5" s="323" t="s">
        <v>381</v>
      </c>
      <c r="AZ5" s="323" t="s">
        <v>223</v>
      </c>
      <c r="BA5" s="323" t="s">
        <v>382</v>
      </c>
      <c r="BB5" s="900"/>
      <c r="BC5" s="900"/>
      <c r="BD5" s="883"/>
      <c r="BE5" s="900"/>
      <c r="BF5" s="900"/>
      <c r="BG5" s="883"/>
      <c r="BH5" s="900"/>
      <c r="BI5" s="900"/>
      <c r="BJ5" s="900"/>
      <c r="BK5" s="883"/>
      <c r="BL5" s="900"/>
      <c r="BM5" s="900"/>
      <c r="BN5" s="883"/>
      <c r="BO5" s="900"/>
      <c r="BP5" s="900"/>
      <c r="BQ5" s="883"/>
      <c r="BR5" s="900"/>
      <c r="BS5" s="900"/>
      <c r="BT5" s="883"/>
      <c r="BU5" s="900"/>
    </row>
    <row r="6" spans="1:73" x14ac:dyDescent="0.35">
      <c r="A6" s="181"/>
      <c r="B6" s="312"/>
      <c r="C6" s="313"/>
      <c r="D6" s="322">
        <v>12</v>
      </c>
      <c r="E6" s="313"/>
      <c r="F6" s="313"/>
      <c r="G6" s="322">
        <v>12</v>
      </c>
      <c r="H6" s="313"/>
      <c r="I6" s="41"/>
      <c r="J6" s="327">
        <v>240</v>
      </c>
      <c r="K6" s="41"/>
      <c r="L6" s="313"/>
      <c r="M6" s="322">
        <v>12</v>
      </c>
      <c r="N6" s="313"/>
      <c r="O6" s="313"/>
      <c r="P6" s="322">
        <v>24</v>
      </c>
      <c r="Q6" s="313"/>
      <c r="R6" s="313"/>
      <c r="S6" s="322">
        <v>36</v>
      </c>
      <c r="T6" s="313"/>
      <c r="U6" s="313"/>
      <c r="V6" s="322">
        <v>36</v>
      </c>
      <c r="W6" s="313"/>
      <c r="X6" s="313"/>
      <c r="Y6" s="322">
        <v>12</v>
      </c>
      <c r="Z6" s="313"/>
      <c r="AA6" s="313"/>
      <c r="AB6" s="322">
        <v>12</v>
      </c>
      <c r="AC6" s="313"/>
      <c r="AD6" s="313"/>
      <c r="AE6" s="322">
        <v>12</v>
      </c>
      <c r="AF6" s="313"/>
      <c r="AG6" s="313"/>
      <c r="AH6" s="322">
        <v>12</v>
      </c>
      <c r="AI6" s="313"/>
      <c r="AJ6" s="313"/>
      <c r="AK6" s="322">
        <v>24</v>
      </c>
      <c r="AL6" s="313"/>
      <c r="AM6" s="313"/>
      <c r="AN6" s="322">
        <v>36</v>
      </c>
      <c r="AO6" s="313"/>
      <c r="AP6" s="313"/>
      <c r="AQ6" s="322">
        <v>36</v>
      </c>
      <c r="AR6" s="313"/>
      <c r="AS6" s="313"/>
      <c r="AT6" s="322">
        <v>12</v>
      </c>
      <c r="AU6" s="313"/>
      <c r="AV6" s="313"/>
      <c r="AW6" s="322">
        <v>12</v>
      </c>
      <c r="AX6" s="313"/>
      <c r="AY6" s="313"/>
      <c r="AZ6" s="322">
        <v>12</v>
      </c>
      <c r="BA6" s="313"/>
      <c r="BB6" s="41"/>
      <c r="BC6" s="41"/>
      <c r="BD6" s="41"/>
      <c r="BE6" s="41"/>
      <c r="BF6" s="41"/>
      <c r="BG6" s="41"/>
      <c r="BH6" s="41"/>
      <c r="BI6" s="41"/>
    </row>
    <row r="7" spans="1:73" x14ac:dyDescent="0.35">
      <c r="A7" s="182">
        <v>0</v>
      </c>
      <c r="B7" s="183">
        <v>42004</v>
      </c>
      <c r="C7" s="178">
        <v>0</v>
      </c>
      <c r="D7" s="309">
        <f>IF(C7=0,0,IF(E6=0,MAX(D$6:D6),D6-1))</f>
        <v>0</v>
      </c>
      <c r="E7" s="309">
        <f t="shared" ref="E7:E67" si="0">IF(C7=0,0,IF(C6=0,0,ROUND(C7/D7,0)))</f>
        <v>0</v>
      </c>
      <c r="F7" s="178">
        <v>0</v>
      </c>
      <c r="G7" s="309">
        <f>IF(F7=0,0,IF(H6=0,MAX(G$6:G6),G6-1))</f>
        <v>0</v>
      </c>
      <c r="H7" s="309">
        <f t="shared" ref="H7:H67" si="1">IF(F7=0,0,IF(F6=0,0,ROUND(F7/G7,0)))</f>
        <v>0</v>
      </c>
      <c r="I7" s="178">
        <v>0</v>
      </c>
      <c r="J7" s="309">
        <f>IF(I7=0,0,IF(K6=0,MAX(J$6:J6),J6-1))</f>
        <v>0</v>
      </c>
      <c r="K7" s="309">
        <f t="shared" ref="K7:K67" si="2">IF(I7=0,0,IF(I6=0,0,ROUND(I7/J7,0)))</f>
        <v>0</v>
      </c>
      <c r="L7" s="175">
        <v>0</v>
      </c>
      <c r="M7" s="309">
        <f>IF(L7=0,0,IF(N6=0,MAX(M$6:M6),M6-1))</f>
        <v>0</v>
      </c>
      <c r="N7" s="309">
        <f t="shared" ref="N7:N67" si="3">IF(L7=0,0,IF(L6=0,0,ROUND(L7/M7,0)))</f>
        <v>0</v>
      </c>
      <c r="O7" s="178">
        <v>0</v>
      </c>
      <c r="P7" s="309">
        <f>IF(O7=0,0,IF(Q6=0,MAX(P$6:P6),P6-1))</f>
        <v>0</v>
      </c>
      <c r="Q7" s="309">
        <f t="shared" ref="Q7:Q67" si="4">IF(O7=0,0,IF(O6=0,0,ROUND(O7/P7,0)))</f>
        <v>0</v>
      </c>
      <c r="R7" s="178">
        <v>0</v>
      </c>
      <c r="S7" s="309">
        <f>IF(R7=0,0,IF(T6=0,MAX(S$6:S6),S6-1))</f>
        <v>0</v>
      </c>
      <c r="T7" s="309">
        <f t="shared" ref="T7:T67" si="5">IF(R7=0,0,IF(R6=0,0,ROUND(R7/S7,0)))</f>
        <v>0</v>
      </c>
      <c r="U7" s="175">
        <v>0</v>
      </c>
      <c r="V7" s="309">
        <f>IF(U7=0,0,IF(W6=0,MAX(V$6:V6),V6-1))</f>
        <v>0</v>
      </c>
      <c r="W7" s="309">
        <f t="shared" ref="W7:W67" si="6">IF(U7=0,0,IF(U6=0,0,ROUND(U7/V7,0)))</f>
        <v>0</v>
      </c>
      <c r="X7" s="175">
        <v>0</v>
      </c>
      <c r="Y7" s="309">
        <f>IF(X7=0,0,IF(Z6=0,MAX(Y$6:Y6),Y6-1))</f>
        <v>0</v>
      </c>
      <c r="Z7" s="309">
        <f t="shared" ref="Z7:Z67" si="7">IF(X7=0,0,IF(X6=0,0,ROUND(X7/Y7,0)))</f>
        <v>0</v>
      </c>
      <c r="AA7" s="309">
        <v>0</v>
      </c>
      <c r="AB7" s="309">
        <f>IF(AA7=0,0,IF(AC6=0,MAX(AB$6:AB6),AB6-1))</f>
        <v>0</v>
      </c>
      <c r="AC7" s="309">
        <f t="shared" ref="AC7:AC67" si="8">IF(AA7=0,0,IF(AA6=0,0,ROUND(AA7/AB7,0)))</f>
        <v>0</v>
      </c>
      <c r="AD7" s="175">
        <v>0</v>
      </c>
      <c r="AE7" s="309">
        <f>IF(AD7=0,0,IF(AF6=0,MAX(AE$6:AE6),AE6-1))</f>
        <v>0</v>
      </c>
      <c r="AF7" s="309">
        <f t="shared" ref="AF7:AF67" si="9">IF(AD7=0,0,IF(AD6=0,0,ROUND(AD7/AE7,0)))</f>
        <v>0</v>
      </c>
      <c r="AG7" s="175">
        <v>0</v>
      </c>
      <c r="AH7" s="309">
        <f>IF(AG7=0,0,IF(AI6=0,MAX(AH$6:AH6),AH6-1))</f>
        <v>0</v>
      </c>
      <c r="AI7" s="309">
        <f t="shared" ref="AI7:AI67" si="10">IF(AG7=0,0,IF(AG6=0,0,ROUND(AG7/AH7,0)))</f>
        <v>0</v>
      </c>
      <c r="AJ7" s="178">
        <v>0</v>
      </c>
      <c r="AK7" s="309">
        <f>IF(AJ7=0,0,IF(AL6=0,MAX(AK$6:AK6),AK6-1))</f>
        <v>0</v>
      </c>
      <c r="AL7" s="309">
        <f t="shared" ref="AL7:AL67" si="11">IF(AJ7=0,0,IF(AJ6=0,0,ROUND(AJ7/AK7,0)))</f>
        <v>0</v>
      </c>
      <c r="AM7" s="178">
        <v>0</v>
      </c>
      <c r="AN7" s="309">
        <f>IF(AM7=0,0,IF(AO6=0,MAX(AN$6:AN6),AN6-1))</f>
        <v>0</v>
      </c>
      <c r="AO7" s="309">
        <f t="shared" ref="AO7:AO67" si="12">IF(AM7=0,0,IF(AM6=0,0,ROUND(AM7/AN7,0)))</f>
        <v>0</v>
      </c>
      <c r="AP7" s="178">
        <v>0</v>
      </c>
      <c r="AQ7" s="309">
        <f>IF(AP7=0,0,IF(AR6=0,MAX(AQ$6:AQ6),AQ6-1))</f>
        <v>0</v>
      </c>
      <c r="AR7" s="309">
        <f t="shared" ref="AR7:AR67" si="13">IF(AP7=0,0,IF(AP6=0,0,ROUND(AP7/AQ7,0)))</f>
        <v>0</v>
      </c>
      <c r="AS7" s="178">
        <v>0</v>
      </c>
      <c r="AT7" s="309">
        <f>IF(AS7=0,0,IF(AU6=0,MAX(AT$6:AT6),AT6-1))</f>
        <v>0</v>
      </c>
      <c r="AU7" s="309">
        <f t="shared" ref="AU7:AU67" si="14">IF(AS7=0,0,IF(AS6=0,0,ROUND(AS7/AT7,0)))</f>
        <v>0</v>
      </c>
      <c r="AV7" s="309">
        <v>0</v>
      </c>
      <c r="AW7" s="309">
        <f>IF(AV7=0,0,IF(AX6=0,MAX(AW$6:AW6),AW6-1))</f>
        <v>0</v>
      </c>
      <c r="AX7" s="309">
        <f t="shared" ref="AX7:AX67" si="15">IF(AV7=0,0,IF(AV6=0,0,ROUND(AV7/AW7,0)))</f>
        <v>0</v>
      </c>
      <c r="AY7" s="178">
        <v>0</v>
      </c>
      <c r="AZ7" s="309">
        <f>IF(AY7=0,0,IF(BA6=0,MAX(AZ$6:AZ6),AZ6-1))</f>
        <v>0</v>
      </c>
      <c r="BA7" s="309">
        <f t="shared" ref="BA7:BA67" si="16">IF(AY7=0,0,IF(AY6=0,0,ROUND(AY7/AZ7,0)))</f>
        <v>0</v>
      </c>
      <c r="BB7" s="309">
        <f>E7+H7+K7+N7+Q7+T7+W7+Z7+AC7+AF7+AI7+AL7+AO7+AR7+AU7+AX7+BA7</f>
        <v>0</v>
      </c>
      <c r="BC7" s="309">
        <f>C7+F7+I7+L7+O7+R7+U7+X7+AA7+AD7+AG7+AJ7+AM7+AP7+AS7+AV7+AY7</f>
        <v>0</v>
      </c>
      <c r="BD7" s="309">
        <f t="shared" ref="BD7" si="17">E7+H7+K7+N7+Q7+T7+W7+Z7+AC7+AF7+AI7+AL7+AO7+AR7+AU7+AX7+BA7</f>
        <v>0</v>
      </c>
      <c r="BE7" s="309">
        <f t="shared" ref="BE7" si="18">BC7-BD7</f>
        <v>0</v>
      </c>
      <c r="BF7" s="309">
        <f>MAX(C$6:C7)+MAX(F$6:F7)+MAX(I$6:I7)+MAX(L$6:L7)+MAX(O$6:O7)+MAX(R$6:R7)+MAX(U$6:U7)+MAX(X$6:X7)+MAX(AA$6:AA7)+MAX(AD$6:AD7)+MAX(AG$6:AG7)+MAX(AJ$6:AJ7)+MAX(AM$6:AM7)+MAX(AP$6:AP7)+MAX(AS$6:AS7)+MAX(AV$6:AV7)+MAX(AY$6:AY7)</f>
        <v>0</v>
      </c>
      <c r="BG7" s="309">
        <f>SUM(E$6:E7)+SUM(H$6:H7)+SUM(K$6:K7)+SUM(N$6:N7)+SUM(Q$6:Q7)+SUM(T$6:T7)+SUM(W$6:W7)+SUM(Z$6:Z7)+SUM(AC$6:AC7)+SUM(AF$6:AF7)+SUM(AI$6:AI7)+SUM(AL$6:AL7)+SUM(AO$6:AO7)+SUM(AR$6:AR7)+SUM(AU$6:AU7)+SUM(AX$6:AX7)+SUM(BA$6:BA7)</f>
        <v>0</v>
      </c>
      <c r="BH7" s="309">
        <f>BF7-BG7</f>
        <v>0</v>
      </c>
      <c r="BI7" s="309">
        <f>BE7-BH7</f>
        <v>0</v>
      </c>
      <c r="BJ7" s="309">
        <f>MAX(I$6:I7)+MAX(O$6:O7)+MAX(R$6:R7)+MAX(U$6:U7)+MAX(AJ$6:AJ7)+MAX(AM$6:AM7)</f>
        <v>0</v>
      </c>
      <c r="BK7" s="309">
        <f>SUM(K$6:K7)+SUM(Q$6:Q7)+SUM(T$6:T7)+SUM(W$6:W7)+SUM(AL$6:AL7)+SUM(AO$6:AO7)</f>
        <v>0</v>
      </c>
      <c r="BL7" s="309">
        <f>BJ7-BK7</f>
        <v>0</v>
      </c>
      <c r="BM7" s="309">
        <f>MAX(C$6:C7)+MAX(F$6:F7)+MAX(L$6:L7)+MAX(X$6:X7)+MAX(AA$6:AA7)+MAX(AD$6:AD7)+MAX(AG$6:AG7)+MAX(AP$6:AP7)+MAX(AS$6:AS7)+MAX(AV$6:AV7)+MAX(AY$6:AY7)</f>
        <v>0</v>
      </c>
      <c r="BN7" s="309">
        <f>SUM(E$6:E7)+SUM(H$6:H7)+SUM(N$6:N7)+SUM(Z$6:Z7)+SUM(AC$6:AC7)+SUM(AF$6:AF7)+SUM(AI$6:AI7)+SUM(AR$6:AR7)+SUM(AU$6:AU7)+SUM(AX$6:AX7)+SUM(BA$6:BA7)</f>
        <v>0</v>
      </c>
      <c r="BO7" s="309">
        <f>BM7-BN7</f>
        <v>0</v>
      </c>
      <c r="BP7" s="309">
        <f>BJ7+BM7</f>
        <v>0</v>
      </c>
      <c r="BQ7" s="309">
        <f>BK7+BN7</f>
        <v>0</v>
      </c>
      <c r="BR7" s="309">
        <f>BP7-BQ7</f>
        <v>0</v>
      </c>
      <c r="BS7" s="309">
        <f>BP7-BF7</f>
        <v>0</v>
      </c>
      <c r="BT7" s="309">
        <f>BQ7-BG7</f>
        <v>0</v>
      </c>
      <c r="BU7" s="309">
        <f>BR7-BH7</f>
        <v>0</v>
      </c>
    </row>
    <row r="8" spans="1:73" x14ac:dyDescent="0.35">
      <c r="A8" s="18">
        <v>1</v>
      </c>
      <c r="B8" s="184">
        <v>42035</v>
      </c>
      <c r="C8" s="175">
        <f>MAX(C$6:C7)-SUM(E$6:E7)</f>
        <v>0</v>
      </c>
      <c r="D8" s="309">
        <f>IF(C8=0,0,IF(E7=0,MAX(D$6:D7),D7-1))</f>
        <v>0</v>
      </c>
      <c r="E8" s="309">
        <f t="shared" si="0"/>
        <v>0</v>
      </c>
      <c r="F8" s="178">
        <v>0</v>
      </c>
      <c r="G8" s="309">
        <f>IF(F8=0,0,IF(H7=0,MAX(G$6:G7),G7-1))</f>
        <v>0</v>
      </c>
      <c r="H8" s="309">
        <f t="shared" si="1"/>
        <v>0</v>
      </c>
      <c r="I8" s="178">
        <v>0</v>
      </c>
      <c r="J8" s="309">
        <f>IF(I8=0,0,IF(K7=0,MAX(J$6:J7),J7-1))</f>
        <v>0</v>
      </c>
      <c r="K8" s="309">
        <f t="shared" si="2"/>
        <v>0</v>
      </c>
      <c r="L8" s="175">
        <v>0</v>
      </c>
      <c r="M8" s="309">
        <f>IF(L8=0,0,IF(N7=0,MAX(M$6:M7),M7-1))</f>
        <v>0</v>
      </c>
      <c r="N8" s="309">
        <f t="shared" si="3"/>
        <v>0</v>
      </c>
      <c r="O8" s="178">
        <v>0</v>
      </c>
      <c r="P8" s="309">
        <f>IF(O8=0,0,IF(Q7=0,MAX(P$6:P7),P7-1))</f>
        <v>0</v>
      </c>
      <c r="Q8" s="309">
        <f t="shared" si="4"/>
        <v>0</v>
      </c>
      <c r="R8" s="175">
        <f>MAX(R$6:R7)-SUM(T$6:T7)</f>
        <v>0</v>
      </c>
      <c r="S8" s="309">
        <f>IF(R8=0,0,IF(T7=0,MAX(S$6:S7),S7-1))</f>
        <v>0</v>
      </c>
      <c r="T8" s="309">
        <f t="shared" si="5"/>
        <v>0</v>
      </c>
      <c r="U8" s="175">
        <v>0</v>
      </c>
      <c r="V8" s="309">
        <f>IF(U8=0,0,IF(W7=0,MAX(V$6:V7),V7-1))</f>
        <v>0</v>
      </c>
      <c r="W8" s="309">
        <f t="shared" si="6"/>
        <v>0</v>
      </c>
      <c r="X8" s="175">
        <f>MAX(X$6:X7)-SUM(Z$6:Z7)</f>
        <v>0</v>
      </c>
      <c r="Y8" s="309">
        <f>IF(X8=0,0,IF(Z7=0,MAX(Y$6:Y7),Y7-1))</f>
        <v>0</v>
      </c>
      <c r="Z8" s="309">
        <f t="shared" si="7"/>
        <v>0</v>
      </c>
      <c r="AA8" s="309">
        <v>0</v>
      </c>
      <c r="AB8" s="309">
        <f>IF(AA8=0,0,IF(AC7=0,MAX(AB$6:AB7),AB7-1))</f>
        <v>0</v>
      </c>
      <c r="AC8" s="309">
        <f t="shared" si="8"/>
        <v>0</v>
      </c>
      <c r="AD8" s="175">
        <v>0</v>
      </c>
      <c r="AE8" s="309">
        <f>IF(AD8=0,0,IF(AF7=0,MAX(AE$6:AE7),AE7-1))</f>
        <v>0</v>
      </c>
      <c r="AF8" s="309">
        <f t="shared" si="9"/>
        <v>0</v>
      </c>
      <c r="AG8" s="175">
        <v>0</v>
      </c>
      <c r="AH8" s="309">
        <f>IF(AG8=0,0,IF(AI7=0,MAX(AH$6:AH7),AH7-1))</f>
        <v>0</v>
      </c>
      <c r="AI8" s="309">
        <f t="shared" si="10"/>
        <v>0</v>
      </c>
      <c r="AJ8" s="178">
        <v>0</v>
      </c>
      <c r="AK8" s="309">
        <f>IF(AJ8=0,0,IF(AL7=0,MAX(AK$6:AK7),AK7-1))</f>
        <v>0</v>
      </c>
      <c r="AL8" s="309">
        <f t="shared" si="11"/>
        <v>0</v>
      </c>
      <c r="AM8" s="178">
        <v>0</v>
      </c>
      <c r="AN8" s="309">
        <f>IF(AM8=0,0,IF(AO7=0,MAX(AN$6:AN7),AN7-1))</f>
        <v>0</v>
      </c>
      <c r="AO8" s="309">
        <f t="shared" si="12"/>
        <v>0</v>
      </c>
      <c r="AP8" s="178">
        <v>0</v>
      </c>
      <c r="AQ8" s="309">
        <f>IF(AP8=0,0,IF(AR7=0,MAX(AQ$6:AQ7),AQ7-1))</f>
        <v>0</v>
      </c>
      <c r="AR8" s="309">
        <f t="shared" si="13"/>
        <v>0</v>
      </c>
      <c r="AS8" s="178">
        <v>0</v>
      </c>
      <c r="AT8" s="309">
        <f>IF(AS8=0,0,IF(AU7=0,MAX(AT$6:AT7),AT7-1))</f>
        <v>0</v>
      </c>
      <c r="AU8" s="309">
        <f t="shared" si="14"/>
        <v>0</v>
      </c>
      <c r="AV8" s="309">
        <v>0</v>
      </c>
      <c r="AW8" s="309">
        <f>IF(AV8=0,0,IF(AX7=0,MAX(AW$6:AW7),AW7-1))</f>
        <v>0</v>
      </c>
      <c r="AX8" s="309">
        <f t="shared" si="15"/>
        <v>0</v>
      </c>
      <c r="AY8" s="178">
        <v>0</v>
      </c>
      <c r="AZ8" s="309">
        <f>IF(AY8=0,0,IF(BA7=0,MAX(AZ$6:AZ7),AZ7-1))</f>
        <v>0</v>
      </c>
      <c r="BA8" s="309">
        <f t="shared" si="16"/>
        <v>0</v>
      </c>
      <c r="BB8" s="309">
        <f t="shared" ref="BB8:BB67" si="19">E8+H8+K8+N8+Q8+T8+W8+Z8+AC8+AF8+AI8+AL8+AO8+AR8+AU8+AX8+BA8</f>
        <v>0</v>
      </c>
      <c r="BC8" s="309">
        <f t="shared" ref="BC8:BC67" si="20">C8+F8+I8+L8+O8+R8+U8+X8+AA8+AD8+AG8+AJ8+AM8+AP8+AS8+AV8+AY8</f>
        <v>0</v>
      </c>
      <c r="BD8" s="309">
        <f t="shared" ref="BD8:BD67" si="21">E8+H8+K8+N8+Q8+T8+W8+Z8+AC8+AF8+AI8+AL8+AO8+AR8+AU8+AX8+BA8</f>
        <v>0</v>
      </c>
      <c r="BE8" s="309">
        <f t="shared" ref="BE8:BE69" si="22">BC8-BD8</f>
        <v>0</v>
      </c>
      <c r="BF8" s="309">
        <f>MAX(C$6:C8)+MAX(F$6:F8)+MAX(I$6:I8)+MAX(L$6:L8)+MAX(O$6:O8)+MAX(R$6:R8)+MAX(U$6:U8)+MAX(X$6:X8)+MAX(AA$6:AA8)+MAX(AD$6:AD8)+MAX(AG$6:AG8)+MAX(AJ$6:AJ8)+MAX(AM$6:AM8)+MAX(AP$6:AP8)+MAX(AS$6:AS8)+MAX(AV$6:AV8)+MAX(AY$6:AY8)</f>
        <v>0</v>
      </c>
      <c r="BG8" s="309">
        <f>SUM(E$6:E8)+SUM(H$6:H8)+SUM(K$6:K8)+SUM(N$6:N8)+SUM(Q$6:Q8)+SUM(T$6:T8)+SUM(W$6:W8)+SUM(Z$6:Z8)+SUM(AC$6:AC8)+SUM(AF$6:AF8)+SUM(AI$6:AI8)+SUM(AL$6:AL8)+SUM(AO$6:AO8)+SUM(AR$6:AR8)+SUM(AU$6:AU8)+SUM(AX$6:AX8)+SUM(BA$6:BA8)</f>
        <v>0</v>
      </c>
      <c r="BH8" s="309">
        <f t="shared" ref="BH8:BH67" si="23">BF8-BG8</f>
        <v>0</v>
      </c>
      <c r="BI8" s="309">
        <f t="shared" ref="BI8:BI69" si="24">BE8-BH8</f>
        <v>0</v>
      </c>
      <c r="BJ8" s="309">
        <f>MAX(I$6:I8)+MAX(O$6:O8)+MAX(R$6:R8)+MAX(U$6:U8)+MAX(AJ$6:AJ8)+MAX(AM$6:AM8)</f>
        <v>0</v>
      </c>
      <c r="BK8" s="309">
        <f>SUM(K$6:K8)+SUM(Q$6:Q8)+SUM(T$6:T8)+SUM(W$6:W8)+SUM(AL$6:AL8)+SUM(AO$6:AO8)</f>
        <v>0</v>
      </c>
      <c r="BL8" s="309">
        <f t="shared" ref="BL8:BL67" si="25">BJ8-BK8</f>
        <v>0</v>
      </c>
      <c r="BM8" s="309">
        <f>MAX(C$6:C8)+MAX(F$6:F8)+MAX(L$6:L8)+MAX(X$6:X8)+MAX(AA$6:AA8)+MAX(AD$6:AD8)+MAX(AG$6:AG8)+MAX(AP$6:AP8)+MAX(AS$6:AS8)+MAX(AV$6:AV8)+MAX(AY$6:AY8)</f>
        <v>0</v>
      </c>
      <c r="BN8" s="309">
        <f>SUM(E$6:E8)+SUM(H$6:H8)+SUM(N$6:N8)+SUM(Z$6:Z8)+SUM(AC$6:AC8)+SUM(AF$6:AF8)+SUM(AI$6:AI8)+SUM(AR$6:AR8)+SUM(AU$6:AU8)+SUM(AX$6:AX8)+SUM(BA$6:BA8)</f>
        <v>0</v>
      </c>
      <c r="BO8" s="309">
        <f t="shared" ref="BO8:BO67" si="26">BM8-BN8</f>
        <v>0</v>
      </c>
      <c r="BP8" s="309">
        <f t="shared" ref="BP8:BQ67" si="27">BJ8+BM8</f>
        <v>0</v>
      </c>
      <c r="BQ8" s="309">
        <f t="shared" si="27"/>
        <v>0</v>
      </c>
      <c r="BR8" s="309">
        <f t="shared" ref="BR8:BR67" si="28">BP8-BQ8</f>
        <v>0</v>
      </c>
      <c r="BS8" s="309">
        <f t="shared" ref="BS8:BT67" si="29">BP8-BF8</f>
        <v>0</v>
      </c>
      <c r="BT8" s="309">
        <f t="shared" si="29"/>
        <v>0</v>
      </c>
      <c r="BU8" s="309">
        <f t="shared" ref="BU8:BU67" si="30">BR8-BH8</f>
        <v>0</v>
      </c>
    </row>
    <row r="9" spans="1:73" x14ac:dyDescent="0.35">
      <c r="A9" s="18">
        <v>2</v>
      </c>
      <c r="B9" s="184">
        <v>42063</v>
      </c>
      <c r="C9" s="175">
        <f>MAX(C$6:C8)-SUM(E$6:E8)</f>
        <v>0</v>
      </c>
      <c r="D9" s="309">
        <f>IF(C9=0,0,IF(E8=0,MAX(D$6:D8),D8-1))</f>
        <v>0</v>
      </c>
      <c r="E9" s="309">
        <f t="shared" si="0"/>
        <v>0</v>
      </c>
      <c r="F9" s="178">
        <v>0</v>
      </c>
      <c r="G9" s="309">
        <f>IF(F9=0,0,IF(H8=0,MAX(G$6:G8),G8-1))</f>
        <v>0</v>
      </c>
      <c r="H9" s="309">
        <f t="shared" si="1"/>
        <v>0</v>
      </c>
      <c r="I9" s="178">
        <v>0</v>
      </c>
      <c r="J9" s="309">
        <f>IF(I9=0,0,IF(K8=0,MAX(J$6:J8),J8-1))</f>
        <v>0</v>
      </c>
      <c r="K9" s="309">
        <f t="shared" si="2"/>
        <v>0</v>
      </c>
      <c r="L9" s="175">
        <v>0</v>
      </c>
      <c r="M9" s="309">
        <f>IF(L9=0,0,IF(N8=0,MAX(M$6:M8),M8-1))</f>
        <v>0</v>
      </c>
      <c r="N9" s="309">
        <f t="shared" si="3"/>
        <v>0</v>
      </c>
      <c r="O9" s="178">
        <v>0</v>
      </c>
      <c r="P9" s="309">
        <f>IF(O9=0,0,IF(Q8=0,MAX(P$6:P8),P8-1))</f>
        <v>0</v>
      </c>
      <c r="Q9" s="309">
        <f t="shared" si="4"/>
        <v>0</v>
      </c>
      <c r="R9" s="175">
        <f>MAX(R$6:R8)-SUM(T$6:T8)</f>
        <v>0</v>
      </c>
      <c r="S9" s="309">
        <f>IF(R9=0,0,IF(T8=0,MAX(S$6:S8),S8-1))</f>
        <v>0</v>
      </c>
      <c r="T9" s="309">
        <f t="shared" si="5"/>
        <v>0</v>
      </c>
      <c r="U9" s="175">
        <v>0</v>
      </c>
      <c r="V9" s="309">
        <f>IF(U9=0,0,IF(W8=0,MAX(V$6:V8),V8-1))</f>
        <v>0</v>
      </c>
      <c r="W9" s="309">
        <f t="shared" si="6"/>
        <v>0</v>
      </c>
      <c r="X9" s="175">
        <f>MAX(X$6:X8)-SUM(Z$6:Z8)</f>
        <v>0</v>
      </c>
      <c r="Y9" s="309">
        <f>IF(X9=0,0,IF(Z8=0,MAX(Y$6:Y8),Y8-1))</f>
        <v>0</v>
      </c>
      <c r="Z9" s="309">
        <f t="shared" si="7"/>
        <v>0</v>
      </c>
      <c r="AA9" s="309">
        <v>0</v>
      </c>
      <c r="AB9" s="309">
        <f>IF(AA9=0,0,IF(AC8=0,MAX(AB$6:AB8),AB8-1))</f>
        <v>0</v>
      </c>
      <c r="AC9" s="309">
        <f t="shared" si="8"/>
        <v>0</v>
      </c>
      <c r="AD9" s="175">
        <v>0</v>
      </c>
      <c r="AE9" s="309">
        <f>IF(AD9=0,0,IF(AF8=0,MAX(AE$6:AE8),AE8-1))</f>
        <v>0</v>
      </c>
      <c r="AF9" s="309">
        <f t="shared" si="9"/>
        <v>0</v>
      </c>
      <c r="AG9" s="175">
        <v>0</v>
      </c>
      <c r="AH9" s="309">
        <f>IF(AG9=0,0,IF(AI8=0,MAX(AH$6:AH8),AH8-1))</f>
        <v>0</v>
      </c>
      <c r="AI9" s="309">
        <f t="shared" si="10"/>
        <v>0</v>
      </c>
      <c r="AJ9" s="178">
        <v>0</v>
      </c>
      <c r="AK9" s="309">
        <f>IF(AJ9=0,0,IF(AL8=0,MAX(AK$6:AK8),AK8-1))</f>
        <v>0</v>
      </c>
      <c r="AL9" s="309">
        <f t="shared" si="11"/>
        <v>0</v>
      </c>
      <c r="AM9" s="178">
        <v>0</v>
      </c>
      <c r="AN9" s="309">
        <f>IF(AM9=0,0,IF(AO8=0,MAX(AN$6:AN8),AN8-1))</f>
        <v>0</v>
      </c>
      <c r="AO9" s="309">
        <f t="shared" si="12"/>
        <v>0</v>
      </c>
      <c r="AP9" s="178">
        <v>0</v>
      </c>
      <c r="AQ9" s="309">
        <f>IF(AP9=0,0,IF(AR8=0,MAX(AQ$6:AQ8),AQ8-1))</f>
        <v>0</v>
      </c>
      <c r="AR9" s="309">
        <f t="shared" si="13"/>
        <v>0</v>
      </c>
      <c r="AS9" s="178">
        <v>0</v>
      </c>
      <c r="AT9" s="309">
        <f>IF(AS9=0,0,IF(AU8=0,MAX(AT$6:AT8),AT8-1))</f>
        <v>0</v>
      </c>
      <c r="AU9" s="309">
        <f t="shared" si="14"/>
        <v>0</v>
      </c>
      <c r="AV9" s="309">
        <v>0</v>
      </c>
      <c r="AW9" s="309">
        <f>IF(AV9=0,0,IF(AX8=0,MAX(AW$6:AW8),AW8-1))</f>
        <v>0</v>
      </c>
      <c r="AX9" s="309">
        <f t="shared" si="15"/>
        <v>0</v>
      </c>
      <c r="AY9" s="178">
        <v>0</v>
      </c>
      <c r="AZ9" s="309">
        <f>IF(AY9=0,0,IF(BA8=0,MAX(AZ$6:AZ8),AZ8-1))</f>
        <v>0</v>
      </c>
      <c r="BA9" s="309">
        <f t="shared" si="16"/>
        <v>0</v>
      </c>
      <c r="BB9" s="309">
        <f t="shared" si="19"/>
        <v>0</v>
      </c>
      <c r="BC9" s="309">
        <f t="shared" si="20"/>
        <v>0</v>
      </c>
      <c r="BD9" s="309">
        <f t="shared" si="21"/>
        <v>0</v>
      </c>
      <c r="BE9" s="309">
        <f t="shared" si="22"/>
        <v>0</v>
      </c>
      <c r="BF9" s="309">
        <f>MAX(C$6:C9)+MAX(F$6:F9)+MAX(I$6:I9)+MAX(L$6:L9)+MAX(O$6:O9)+MAX(R$6:R9)+MAX(U$6:U9)+MAX(X$6:X9)+MAX(AA$6:AA9)+MAX(AD$6:AD9)+MAX(AG$6:AG9)+MAX(AJ$6:AJ9)+MAX(AM$6:AM9)+MAX(AP$6:AP9)+MAX(AS$6:AS9)+MAX(AV$6:AV9)+MAX(AY$6:AY9)</f>
        <v>0</v>
      </c>
      <c r="BG9" s="309">
        <f>SUM(E$6:E9)+SUM(H$6:H9)+SUM(K$6:K9)+SUM(N$6:N9)+SUM(Q$6:Q9)+SUM(T$6:T9)+SUM(W$6:W9)+SUM(Z$6:Z9)+SUM(AC$6:AC9)+SUM(AF$6:AF9)+SUM(AI$6:AI9)+SUM(AL$6:AL9)+SUM(AO$6:AO9)+SUM(AR$6:AR9)+SUM(AU$6:AU9)+SUM(AX$6:AX9)+SUM(BA$6:BA9)</f>
        <v>0</v>
      </c>
      <c r="BH9" s="309">
        <f t="shared" si="23"/>
        <v>0</v>
      </c>
      <c r="BI9" s="309">
        <f t="shared" si="24"/>
        <v>0</v>
      </c>
      <c r="BJ9" s="309">
        <f>MAX(I$6:I9)+MAX(O$6:O9)+MAX(R$6:R9)+MAX(U$6:U9)+MAX(AJ$6:AJ9)+MAX(AM$6:AM9)</f>
        <v>0</v>
      </c>
      <c r="BK9" s="309">
        <f>SUM(K$6:K9)+SUM(Q$6:Q9)+SUM(T$6:T9)+SUM(W$6:W9)+SUM(AL$6:AL9)+SUM(AO$6:AO9)</f>
        <v>0</v>
      </c>
      <c r="BL9" s="309">
        <f t="shared" si="25"/>
        <v>0</v>
      </c>
      <c r="BM9" s="309">
        <f>MAX(C$6:C9)+MAX(F$6:F9)+MAX(L$6:L9)+MAX(X$6:X9)+MAX(AA$6:AA9)+MAX(AD$6:AD9)+MAX(AG$6:AG9)+MAX(AP$6:AP9)+MAX(AS$6:AS9)+MAX(AV$6:AV9)+MAX(AY$6:AY9)</f>
        <v>0</v>
      </c>
      <c r="BN9" s="309">
        <f>SUM(E$6:E9)+SUM(H$6:H9)+SUM(N$6:N9)+SUM(Z$6:Z9)+SUM(AC$6:AC9)+SUM(AF$6:AF9)+SUM(AI$6:AI9)+SUM(AR$6:AR9)+SUM(AU$6:AU9)+SUM(AX$6:AX9)+SUM(BA$6:BA9)</f>
        <v>0</v>
      </c>
      <c r="BO9" s="309">
        <f t="shared" si="26"/>
        <v>0</v>
      </c>
      <c r="BP9" s="309">
        <f t="shared" si="27"/>
        <v>0</v>
      </c>
      <c r="BQ9" s="309">
        <f t="shared" si="27"/>
        <v>0</v>
      </c>
      <c r="BR9" s="309">
        <f t="shared" si="28"/>
        <v>0</v>
      </c>
      <c r="BS9" s="309">
        <f t="shared" si="29"/>
        <v>0</v>
      </c>
      <c r="BT9" s="309">
        <f t="shared" si="29"/>
        <v>0</v>
      </c>
      <c r="BU9" s="309">
        <f t="shared" si="30"/>
        <v>0</v>
      </c>
    </row>
    <row r="10" spans="1:73" x14ac:dyDescent="0.35">
      <c r="A10" s="18">
        <v>3</v>
      </c>
      <c r="B10" s="184">
        <v>42094</v>
      </c>
      <c r="C10" s="175">
        <f>MAX(C$6:C9)-SUM(E$6:E9)</f>
        <v>0</v>
      </c>
      <c r="D10" s="309">
        <f>IF(C10=0,0,IF(E9=0,MAX(D$6:D9),D9-1))</f>
        <v>0</v>
      </c>
      <c r="E10" s="309">
        <f t="shared" si="0"/>
        <v>0</v>
      </c>
      <c r="F10" s="178">
        <v>0</v>
      </c>
      <c r="G10" s="309">
        <f>IF(F10=0,0,IF(H9=0,MAX(G$6:G9),G9-1))</f>
        <v>0</v>
      </c>
      <c r="H10" s="309">
        <f t="shared" si="1"/>
        <v>0</v>
      </c>
      <c r="I10" s="178">
        <v>0</v>
      </c>
      <c r="J10" s="309">
        <f>IF(I10=0,0,IF(K9=0,MAX(J$6:J9),J9-1))</f>
        <v>0</v>
      </c>
      <c r="K10" s="309">
        <f t="shared" si="2"/>
        <v>0</v>
      </c>
      <c r="L10" s="175">
        <v>0</v>
      </c>
      <c r="M10" s="309">
        <f>IF(L10=0,0,IF(N9=0,MAX(M$6:M9),M9-1))</f>
        <v>0</v>
      </c>
      <c r="N10" s="309">
        <f t="shared" si="3"/>
        <v>0</v>
      </c>
      <c r="O10" s="178">
        <v>0</v>
      </c>
      <c r="P10" s="309">
        <f>IF(O10=0,0,IF(Q9=0,MAX(P$6:P9),P9-1))</f>
        <v>0</v>
      </c>
      <c r="Q10" s="309">
        <f t="shared" si="4"/>
        <v>0</v>
      </c>
      <c r="R10" s="175">
        <f>MAX(R$6:R9)-SUM(T$6:T9)</f>
        <v>0</v>
      </c>
      <c r="S10" s="309">
        <f>IF(R10=0,0,IF(T9=0,MAX(S$6:S9),S9-1))</f>
        <v>0</v>
      </c>
      <c r="T10" s="309">
        <f t="shared" si="5"/>
        <v>0</v>
      </c>
      <c r="U10" s="175">
        <v>0</v>
      </c>
      <c r="V10" s="309">
        <f>IF(U10=0,0,IF(W9=0,MAX(V$6:V9),V9-1))</f>
        <v>0</v>
      </c>
      <c r="W10" s="309">
        <f t="shared" si="6"/>
        <v>0</v>
      </c>
      <c r="X10" s="175">
        <f>MAX(X$6:X9)-SUM(Z$6:Z9)</f>
        <v>0</v>
      </c>
      <c r="Y10" s="309">
        <f>IF(X10=0,0,IF(Z9=0,MAX(Y$6:Y9),Y9-1))</f>
        <v>0</v>
      </c>
      <c r="Z10" s="309">
        <f t="shared" si="7"/>
        <v>0</v>
      </c>
      <c r="AA10" s="309">
        <v>0</v>
      </c>
      <c r="AB10" s="309">
        <f>IF(AA10=0,0,IF(AC9=0,MAX(AB$6:AB9),AB9-1))</f>
        <v>0</v>
      </c>
      <c r="AC10" s="309">
        <f t="shared" si="8"/>
        <v>0</v>
      </c>
      <c r="AD10" s="175">
        <v>0</v>
      </c>
      <c r="AE10" s="309">
        <f>IF(AD10=0,0,IF(AF9=0,MAX(AE$6:AE9),AE9-1))</f>
        <v>0</v>
      </c>
      <c r="AF10" s="309">
        <f t="shared" si="9"/>
        <v>0</v>
      </c>
      <c r="AG10" s="175">
        <v>0</v>
      </c>
      <c r="AH10" s="309">
        <f>IF(AG10=0,0,IF(AI9=0,MAX(AH$6:AH9),AH9-1))</f>
        <v>0</v>
      </c>
      <c r="AI10" s="309">
        <f t="shared" si="10"/>
        <v>0</v>
      </c>
      <c r="AJ10" s="178">
        <v>0</v>
      </c>
      <c r="AK10" s="309">
        <f>IF(AJ10=0,0,IF(AL9=0,MAX(AK$6:AK9),AK9-1))</f>
        <v>0</v>
      </c>
      <c r="AL10" s="309">
        <f t="shared" si="11"/>
        <v>0</v>
      </c>
      <c r="AM10" s="178">
        <v>0</v>
      </c>
      <c r="AN10" s="309">
        <f>IF(AM10=0,0,IF(AO9=0,MAX(AN$6:AN9),AN9-1))</f>
        <v>0</v>
      </c>
      <c r="AO10" s="309">
        <f t="shared" si="12"/>
        <v>0</v>
      </c>
      <c r="AP10" s="178">
        <v>0</v>
      </c>
      <c r="AQ10" s="309">
        <f>IF(AP10=0,0,IF(AR9=0,MAX(AQ$6:AQ9),AQ9-1))</f>
        <v>0</v>
      </c>
      <c r="AR10" s="309">
        <f t="shared" si="13"/>
        <v>0</v>
      </c>
      <c r="AS10" s="178">
        <v>0</v>
      </c>
      <c r="AT10" s="309">
        <f>IF(AS10=0,0,IF(AU9=0,MAX(AT$6:AT9),AT9-1))</f>
        <v>0</v>
      </c>
      <c r="AU10" s="309">
        <f t="shared" si="14"/>
        <v>0</v>
      </c>
      <c r="AV10" s="309">
        <v>0</v>
      </c>
      <c r="AW10" s="309">
        <f>IF(AV10=0,0,IF(AX9=0,MAX(AW$6:AW9),AW9-1))</f>
        <v>0</v>
      </c>
      <c r="AX10" s="309">
        <f t="shared" si="15"/>
        <v>0</v>
      </c>
      <c r="AY10" s="178">
        <v>0</v>
      </c>
      <c r="AZ10" s="309">
        <f>IF(AY10=0,0,IF(BA9=0,MAX(AZ$6:AZ9),AZ9-1))</f>
        <v>0</v>
      </c>
      <c r="BA10" s="309">
        <f t="shared" si="16"/>
        <v>0</v>
      </c>
      <c r="BB10" s="309">
        <f t="shared" si="19"/>
        <v>0</v>
      </c>
      <c r="BC10" s="309">
        <f t="shared" si="20"/>
        <v>0</v>
      </c>
      <c r="BD10" s="309">
        <f t="shared" si="21"/>
        <v>0</v>
      </c>
      <c r="BE10" s="309">
        <f t="shared" si="22"/>
        <v>0</v>
      </c>
      <c r="BF10" s="309">
        <f>MAX(C$6:C10)+MAX(F$6:F10)+MAX(I$6:I10)+MAX(L$6:L10)+MAX(O$6:O10)+MAX(R$6:R10)+MAX(U$6:U10)+MAX(X$6:X10)+MAX(AA$6:AA10)+MAX(AD$6:AD10)+MAX(AG$6:AG10)+MAX(AJ$6:AJ10)+MAX(AM$6:AM10)+MAX(AP$6:AP10)+MAX(AS$6:AS10)+MAX(AV$6:AV10)+MAX(AY$6:AY10)</f>
        <v>0</v>
      </c>
      <c r="BG10" s="309">
        <f>SUM(E$6:E10)+SUM(H$6:H10)+SUM(K$6:K10)+SUM(N$6:N10)+SUM(Q$6:Q10)+SUM(T$6:T10)+SUM(W$6:W10)+SUM(Z$6:Z10)+SUM(AC$6:AC10)+SUM(AF$6:AF10)+SUM(AI$6:AI10)+SUM(AL$6:AL10)+SUM(AO$6:AO10)+SUM(AR$6:AR10)+SUM(AU$6:AU10)+SUM(AX$6:AX10)+SUM(BA$6:BA10)</f>
        <v>0</v>
      </c>
      <c r="BH10" s="309">
        <f t="shared" si="23"/>
        <v>0</v>
      </c>
      <c r="BI10" s="309">
        <f t="shared" si="24"/>
        <v>0</v>
      </c>
      <c r="BJ10" s="309">
        <f>MAX(I$6:I10)+MAX(O$6:O10)+MAX(R$6:R10)+MAX(U$6:U10)+MAX(AJ$6:AJ10)+MAX(AM$6:AM10)</f>
        <v>0</v>
      </c>
      <c r="BK10" s="309">
        <f>SUM(K$6:K10)+SUM(Q$6:Q10)+SUM(T$6:T10)+SUM(W$6:W10)+SUM(AL$6:AL10)+SUM(AO$6:AO10)</f>
        <v>0</v>
      </c>
      <c r="BL10" s="309">
        <f t="shared" si="25"/>
        <v>0</v>
      </c>
      <c r="BM10" s="309">
        <f>MAX(C$6:C10)+MAX(F$6:F10)+MAX(L$6:L10)+MAX(X$6:X10)+MAX(AA$6:AA10)+MAX(AD$6:AD10)+MAX(AG$6:AG10)+MAX(AP$6:AP10)+MAX(AS$6:AS10)+MAX(AV$6:AV10)+MAX(AY$6:AY10)</f>
        <v>0</v>
      </c>
      <c r="BN10" s="309">
        <f>SUM(E$6:E10)+SUM(H$6:H10)+SUM(N$6:N10)+SUM(Z$6:Z10)+SUM(AC$6:AC10)+SUM(AF$6:AF10)+SUM(AI$6:AI10)+SUM(AR$6:AR10)+SUM(AU$6:AU10)+SUM(AX$6:AX10)+SUM(BA$6:BA10)</f>
        <v>0</v>
      </c>
      <c r="BO10" s="309">
        <f t="shared" si="26"/>
        <v>0</v>
      </c>
      <c r="BP10" s="309">
        <f t="shared" si="27"/>
        <v>0</v>
      </c>
      <c r="BQ10" s="309">
        <f t="shared" si="27"/>
        <v>0</v>
      </c>
      <c r="BR10" s="309">
        <f t="shared" si="28"/>
        <v>0</v>
      </c>
      <c r="BS10" s="309">
        <f t="shared" si="29"/>
        <v>0</v>
      </c>
      <c r="BT10" s="309">
        <f t="shared" si="29"/>
        <v>0</v>
      </c>
      <c r="BU10" s="309">
        <f t="shared" si="30"/>
        <v>0</v>
      </c>
    </row>
    <row r="11" spans="1:73" x14ac:dyDescent="0.35">
      <c r="A11" s="18">
        <v>4</v>
      </c>
      <c r="B11" s="184">
        <v>42124</v>
      </c>
      <c r="C11" s="175">
        <f>MAX(C$6:C10)-SUM(E$6:E10)</f>
        <v>0</v>
      </c>
      <c r="D11" s="309">
        <f>IF(C11=0,0,IF(E10=0,MAX(D$6:D10),D10-1))</f>
        <v>0</v>
      </c>
      <c r="E11" s="309">
        <f t="shared" si="0"/>
        <v>0</v>
      </c>
      <c r="F11" s="178">
        <v>0</v>
      </c>
      <c r="G11" s="309">
        <f>IF(F11=0,0,IF(H10=0,MAX(G$6:G10),G10-1))</f>
        <v>0</v>
      </c>
      <c r="H11" s="309">
        <f t="shared" si="1"/>
        <v>0</v>
      </c>
      <c r="I11" s="178">
        <v>0</v>
      </c>
      <c r="J11" s="309">
        <f>IF(I11=0,0,IF(K10=0,MAX(J$6:J10),J10-1))</f>
        <v>0</v>
      </c>
      <c r="K11" s="309">
        <f t="shared" si="2"/>
        <v>0</v>
      </c>
      <c r="L11" s="175">
        <v>0</v>
      </c>
      <c r="M11" s="309">
        <f>IF(L11=0,0,IF(N10=0,MAX(M$6:M10),M10-1))</f>
        <v>0</v>
      </c>
      <c r="N11" s="309">
        <f t="shared" si="3"/>
        <v>0</v>
      </c>
      <c r="O11" s="178">
        <v>0</v>
      </c>
      <c r="P11" s="309">
        <f>IF(O11=0,0,IF(Q10=0,MAX(P$6:P10),P10-1))</f>
        <v>0</v>
      </c>
      <c r="Q11" s="309">
        <f t="shared" si="4"/>
        <v>0</v>
      </c>
      <c r="R11" s="175">
        <f>MAX(R$6:R10)-SUM(T$6:T10)</f>
        <v>0</v>
      </c>
      <c r="S11" s="309">
        <f>IF(R11=0,0,IF(T10=0,MAX(S$6:S10),S10-1))</f>
        <v>0</v>
      </c>
      <c r="T11" s="309">
        <f t="shared" si="5"/>
        <v>0</v>
      </c>
      <c r="U11" s="175">
        <v>0</v>
      </c>
      <c r="V11" s="309">
        <f>IF(U11=0,0,IF(W10=0,MAX(V$6:V10),V10-1))</f>
        <v>0</v>
      </c>
      <c r="W11" s="309">
        <f t="shared" si="6"/>
        <v>0</v>
      </c>
      <c r="X11" s="175">
        <f>MAX(X$6:X10)-SUM(Z$6:Z10)</f>
        <v>0</v>
      </c>
      <c r="Y11" s="309">
        <f>IF(X11=0,0,IF(Z10=0,MAX(Y$6:Y10),Y10-1))</f>
        <v>0</v>
      </c>
      <c r="Z11" s="309">
        <f t="shared" si="7"/>
        <v>0</v>
      </c>
      <c r="AA11" s="309">
        <v>0</v>
      </c>
      <c r="AB11" s="309">
        <f>IF(AA11=0,0,IF(AC10=0,MAX(AB$6:AB10),AB10-1))</f>
        <v>0</v>
      </c>
      <c r="AC11" s="309">
        <f t="shared" si="8"/>
        <v>0</v>
      </c>
      <c r="AD11" s="175">
        <v>0</v>
      </c>
      <c r="AE11" s="309">
        <f>IF(AD11=0,0,IF(AF10=0,MAX(AE$6:AE10),AE10-1))</f>
        <v>0</v>
      </c>
      <c r="AF11" s="309">
        <f t="shared" si="9"/>
        <v>0</v>
      </c>
      <c r="AG11" s="175">
        <v>0</v>
      </c>
      <c r="AH11" s="309">
        <f>IF(AG11=0,0,IF(AI10=0,MAX(AH$6:AH10),AH10-1))</f>
        <v>0</v>
      </c>
      <c r="AI11" s="309">
        <f t="shared" si="10"/>
        <v>0</v>
      </c>
      <c r="AJ11" s="178">
        <v>0</v>
      </c>
      <c r="AK11" s="309">
        <f>IF(AJ11=0,0,IF(AL10=0,MAX(AK$6:AK10),AK10-1))</f>
        <v>0</v>
      </c>
      <c r="AL11" s="309">
        <f t="shared" si="11"/>
        <v>0</v>
      </c>
      <c r="AM11" s="178">
        <v>0</v>
      </c>
      <c r="AN11" s="309">
        <f>IF(AM11=0,0,IF(AO10=0,MAX(AN$6:AN10),AN10-1))</f>
        <v>0</v>
      </c>
      <c r="AO11" s="309">
        <f t="shared" si="12"/>
        <v>0</v>
      </c>
      <c r="AP11" s="178">
        <v>0</v>
      </c>
      <c r="AQ11" s="309">
        <f>IF(AP11=0,0,IF(AR10=0,MAX(AQ$6:AQ10),AQ10-1))</f>
        <v>0</v>
      </c>
      <c r="AR11" s="309">
        <f t="shared" si="13"/>
        <v>0</v>
      </c>
      <c r="AS11" s="178">
        <v>0</v>
      </c>
      <c r="AT11" s="309">
        <f>IF(AS11=0,0,IF(AU10=0,MAX(AT$6:AT10),AT10-1))</f>
        <v>0</v>
      </c>
      <c r="AU11" s="309">
        <f t="shared" si="14"/>
        <v>0</v>
      </c>
      <c r="AV11" s="309">
        <v>0</v>
      </c>
      <c r="AW11" s="309">
        <f>IF(AV11=0,0,IF(AX10=0,MAX(AW$6:AW10),AW10-1))</f>
        <v>0</v>
      </c>
      <c r="AX11" s="309">
        <f t="shared" si="15"/>
        <v>0</v>
      </c>
      <c r="AY11" s="178">
        <v>0</v>
      </c>
      <c r="AZ11" s="309">
        <f>IF(AY11=0,0,IF(BA10=0,MAX(AZ$6:AZ10),AZ10-1))</f>
        <v>0</v>
      </c>
      <c r="BA11" s="309">
        <f t="shared" si="16"/>
        <v>0</v>
      </c>
      <c r="BB11" s="309">
        <f t="shared" si="19"/>
        <v>0</v>
      </c>
      <c r="BC11" s="309">
        <f t="shared" si="20"/>
        <v>0</v>
      </c>
      <c r="BD11" s="309">
        <f t="shared" si="21"/>
        <v>0</v>
      </c>
      <c r="BE11" s="309">
        <f t="shared" si="22"/>
        <v>0</v>
      </c>
      <c r="BF11" s="309">
        <f>MAX(C$6:C11)+MAX(F$6:F11)+MAX(I$6:I11)+MAX(L$6:L11)+MAX(O$6:O11)+MAX(R$6:R11)+MAX(U$6:U11)+MAX(X$6:X11)+MAX(AA$6:AA11)+MAX(AD$6:AD11)+MAX(AG$6:AG11)+MAX(AJ$6:AJ11)+MAX(AM$6:AM11)+MAX(AP$6:AP11)+MAX(AS$6:AS11)+MAX(AV$6:AV11)+MAX(AY$6:AY11)</f>
        <v>0</v>
      </c>
      <c r="BG11" s="309">
        <f>SUM(E$6:E11)+SUM(H$6:H11)+SUM(K$6:K11)+SUM(N$6:N11)+SUM(Q$6:Q11)+SUM(T$6:T11)+SUM(W$6:W11)+SUM(Z$6:Z11)+SUM(AC$6:AC11)+SUM(AF$6:AF11)+SUM(AI$6:AI11)+SUM(AL$6:AL11)+SUM(AO$6:AO11)+SUM(AR$6:AR11)+SUM(AU$6:AU11)+SUM(AX$6:AX11)+SUM(BA$6:BA11)</f>
        <v>0</v>
      </c>
      <c r="BH11" s="309">
        <f t="shared" si="23"/>
        <v>0</v>
      </c>
      <c r="BI11" s="309">
        <f t="shared" si="24"/>
        <v>0</v>
      </c>
      <c r="BJ11" s="309">
        <f>MAX(I$6:I11)+MAX(O$6:O11)+MAX(R$6:R11)+MAX(U$6:U11)+MAX(AJ$6:AJ11)+MAX(AM$6:AM11)</f>
        <v>0</v>
      </c>
      <c r="BK11" s="309">
        <f>SUM(K$6:K11)+SUM(Q$6:Q11)+SUM(T$6:T11)+SUM(W$6:W11)+SUM(AL$6:AL11)+SUM(AO$6:AO11)</f>
        <v>0</v>
      </c>
      <c r="BL11" s="309">
        <f t="shared" si="25"/>
        <v>0</v>
      </c>
      <c r="BM11" s="309">
        <f>MAX(C$6:C11)+MAX(F$6:F11)+MAX(L$6:L11)+MAX(X$6:X11)+MAX(AA$6:AA11)+MAX(AD$6:AD11)+MAX(AG$6:AG11)+MAX(AP$6:AP11)+MAX(AS$6:AS11)+MAX(AV$6:AV11)+MAX(AY$6:AY11)</f>
        <v>0</v>
      </c>
      <c r="BN11" s="309">
        <f>SUM(E$6:E11)+SUM(H$6:H11)+SUM(N$6:N11)+SUM(Z$6:Z11)+SUM(AC$6:AC11)+SUM(AF$6:AF11)+SUM(AI$6:AI11)+SUM(AR$6:AR11)+SUM(AU$6:AU11)+SUM(AX$6:AX11)+SUM(BA$6:BA11)</f>
        <v>0</v>
      </c>
      <c r="BO11" s="309">
        <f t="shared" si="26"/>
        <v>0</v>
      </c>
      <c r="BP11" s="309">
        <f t="shared" si="27"/>
        <v>0</v>
      </c>
      <c r="BQ11" s="309">
        <f t="shared" si="27"/>
        <v>0</v>
      </c>
      <c r="BR11" s="309">
        <f t="shared" si="28"/>
        <v>0</v>
      </c>
      <c r="BS11" s="309">
        <f t="shared" si="29"/>
        <v>0</v>
      </c>
      <c r="BT11" s="309">
        <f t="shared" si="29"/>
        <v>0</v>
      </c>
      <c r="BU11" s="309">
        <f t="shared" si="30"/>
        <v>0</v>
      </c>
    </row>
    <row r="12" spans="1:73" x14ac:dyDescent="0.35">
      <c r="A12" s="18">
        <v>5</v>
      </c>
      <c r="B12" s="184">
        <v>42155</v>
      </c>
      <c r="C12" s="175">
        <f>MAX(C$6:C11)-SUM(E$6:E11)</f>
        <v>0</v>
      </c>
      <c r="D12" s="309">
        <f>IF(C12=0,0,IF(E11=0,MAX(D$6:D11),D11-1))</f>
        <v>0</v>
      </c>
      <c r="E12" s="309">
        <f t="shared" si="0"/>
        <v>0</v>
      </c>
      <c r="F12" s="178">
        <v>0</v>
      </c>
      <c r="G12" s="309">
        <f>IF(F12=0,0,IF(H11=0,MAX(G$6:G11),G11-1))</f>
        <v>0</v>
      </c>
      <c r="H12" s="309">
        <f t="shared" si="1"/>
        <v>0</v>
      </c>
      <c r="I12" s="178">
        <v>0</v>
      </c>
      <c r="J12" s="309">
        <f>IF(I12=0,0,IF(K11=0,MAX(J$6:J11),J11-1))</f>
        <v>0</v>
      </c>
      <c r="K12" s="309">
        <f t="shared" si="2"/>
        <v>0</v>
      </c>
      <c r="L12" s="175">
        <v>0</v>
      </c>
      <c r="M12" s="309">
        <f>IF(L12=0,0,IF(N11=0,MAX(M$6:M11),M11-1))</f>
        <v>0</v>
      </c>
      <c r="N12" s="309">
        <f t="shared" si="3"/>
        <v>0</v>
      </c>
      <c r="O12" s="178">
        <v>0</v>
      </c>
      <c r="P12" s="309">
        <f>IF(O12=0,0,IF(Q11=0,MAX(P$6:P11),P11-1))</f>
        <v>0</v>
      </c>
      <c r="Q12" s="309">
        <f t="shared" si="4"/>
        <v>0</v>
      </c>
      <c r="R12" s="175">
        <f>MAX(R$6:R11)-SUM(T$6:T11)</f>
        <v>0</v>
      </c>
      <c r="S12" s="309">
        <f>IF(R12=0,0,IF(T11=0,MAX(S$6:S11),S11-1))</f>
        <v>0</v>
      </c>
      <c r="T12" s="309">
        <f t="shared" si="5"/>
        <v>0</v>
      </c>
      <c r="U12" s="175">
        <v>0</v>
      </c>
      <c r="V12" s="309">
        <f>IF(U12=0,0,IF(W11=0,MAX(V$6:V11),V11-1))</f>
        <v>0</v>
      </c>
      <c r="W12" s="309">
        <f t="shared" si="6"/>
        <v>0</v>
      </c>
      <c r="X12" s="175">
        <f>MAX(X$6:X11)-SUM(Z$6:Z11)</f>
        <v>0</v>
      </c>
      <c r="Y12" s="309">
        <f>IF(X12=0,0,IF(Z11=0,MAX(Y$6:Y11),Y11-1))</f>
        <v>0</v>
      </c>
      <c r="Z12" s="309">
        <f t="shared" si="7"/>
        <v>0</v>
      </c>
      <c r="AA12" s="309">
        <v>0</v>
      </c>
      <c r="AB12" s="309">
        <f>IF(AA12=0,0,IF(AC11=0,MAX(AB$6:AB11),AB11-1))</f>
        <v>0</v>
      </c>
      <c r="AC12" s="309">
        <f t="shared" si="8"/>
        <v>0</v>
      </c>
      <c r="AD12" s="175">
        <v>0</v>
      </c>
      <c r="AE12" s="309">
        <f>IF(AD12=0,0,IF(AF11=0,MAX(AE$6:AE11),AE11-1))</f>
        <v>0</v>
      </c>
      <c r="AF12" s="309">
        <f t="shared" si="9"/>
        <v>0</v>
      </c>
      <c r="AG12" s="175">
        <v>0</v>
      </c>
      <c r="AH12" s="309">
        <f>IF(AG12=0,0,IF(AI11=0,MAX(AH$6:AH11),AH11-1))</f>
        <v>0</v>
      </c>
      <c r="AI12" s="309">
        <f t="shared" si="10"/>
        <v>0</v>
      </c>
      <c r="AJ12" s="178">
        <v>0</v>
      </c>
      <c r="AK12" s="309">
        <f>IF(AJ12=0,0,IF(AL11=0,MAX(AK$6:AK11),AK11-1))</f>
        <v>0</v>
      </c>
      <c r="AL12" s="309">
        <f t="shared" si="11"/>
        <v>0</v>
      </c>
      <c r="AM12" s="178">
        <v>0</v>
      </c>
      <c r="AN12" s="309">
        <f>IF(AM12=0,0,IF(AO11=0,MAX(AN$6:AN11),AN11-1))</f>
        <v>0</v>
      </c>
      <c r="AO12" s="309">
        <f t="shared" si="12"/>
        <v>0</v>
      </c>
      <c r="AP12" s="178">
        <v>0</v>
      </c>
      <c r="AQ12" s="309">
        <f>IF(AP12=0,0,IF(AR11=0,MAX(AQ$6:AQ11),AQ11-1))</f>
        <v>0</v>
      </c>
      <c r="AR12" s="309">
        <f t="shared" si="13"/>
        <v>0</v>
      </c>
      <c r="AS12" s="178">
        <v>0</v>
      </c>
      <c r="AT12" s="309">
        <f>IF(AS12=0,0,IF(AU11=0,MAX(AT$6:AT11),AT11-1))</f>
        <v>0</v>
      </c>
      <c r="AU12" s="309">
        <f t="shared" si="14"/>
        <v>0</v>
      </c>
      <c r="AV12" s="309">
        <v>0</v>
      </c>
      <c r="AW12" s="309">
        <f>IF(AV12=0,0,IF(AX11=0,MAX(AW$6:AW11),AW11-1))</f>
        <v>0</v>
      </c>
      <c r="AX12" s="309">
        <f t="shared" si="15"/>
        <v>0</v>
      </c>
      <c r="AY12" s="178">
        <v>0</v>
      </c>
      <c r="AZ12" s="309">
        <f>IF(AY12=0,0,IF(BA11=0,MAX(AZ$6:AZ11),AZ11-1))</f>
        <v>0</v>
      </c>
      <c r="BA12" s="309">
        <f t="shared" si="16"/>
        <v>0</v>
      </c>
      <c r="BB12" s="309">
        <f t="shared" si="19"/>
        <v>0</v>
      </c>
      <c r="BC12" s="309">
        <f t="shared" si="20"/>
        <v>0</v>
      </c>
      <c r="BD12" s="309">
        <f t="shared" si="21"/>
        <v>0</v>
      </c>
      <c r="BE12" s="309">
        <f t="shared" si="22"/>
        <v>0</v>
      </c>
      <c r="BF12" s="309">
        <f>MAX(C$6:C12)+MAX(F$6:F12)+MAX(I$6:I12)+MAX(L$6:L12)+MAX(O$6:O12)+MAX(R$6:R12)+MAX(U$6:U12)+MAX(X$6:X12)+MAX(AA$6:AA12)+MAX(AD$6:AD12)+MAX(AG$6:AG12)+MAX(AJ$6:AJ12)+MAX(AM$6:AM12)+MAX(AP$6:AP12)+MAX(AS$6:AS12)+MAX(AV$6:AV12)+MAX(AY$6:AY12)</f>
        <v>0</v>
      </c>
      <c r="BG12" s="309">
        <f>SUM(E$6:E12)+SUM(H$6:H12)+SUM(K$6:K12)+SUM(N$6:N12)+SUM(Q$6:Q12)+SUM(T$6:T12)+SUM(W$6:W12)+SUM(Z$6:Z12)+SUM(AC$6:AC12)+SUM(AF$6:AF12)+SUM(AI$6:AI12)+SUM(AL$6:AL12)+SUM(AO$6:AO12)+SUM(AR$6:AR12)+SUM(AU$6:AU12)+SUM(AX$6:AX12)+SUM(BA$6:BA12)</f>
        <v>0</v>
      </c>
      <c r="BH12" s="309">
        <f t="shared" si="23"/>
        <v>0</v>
      </c>
      <c r="BI12" s="309">
        <f t="shared" si="24"/>
        <v>0</v>
      </c>
      <c r="BJ12" s="309">
        <f>MAX(I$6:I12)+MAX(O$6:O12)+MAX(R$6:R12)+MAX(U$6:U12)+MAX(AJ$6:AJ12)+MAX(AM$6:AM12)</f>
        <v>0</v>
      </c>
      <c r="BK12" s="309">
        <f>SUM(K$6:K12)+SUM(Q$6:Q12)+SUM(T$6:T12)+SUM(W$6:W12)+SUM(AL$6:AL12)+SUM(AO$6:AO12)</f>
        <v>0</v>
      </c>
      <c r="BL12" s="309">
        <f t="shared" si="25"/>
        <v>0</v>
      </c>
      <c r="BM12" s="309">
        <f>MAX(C$6:C12)+MAX(F$6:F12)+MAX(L$6:L12)+MAX(X$6:X12)+MAX(AA$6:AA12)+MAX(AD$6:AD12)+MAX(AG$6:AG12)+MAX(AP$6:AP12)+MAX(AS$6:AS12)+MAX(AV$6:AV12)+MAX(AY$6:AY12)</f>
        <v>0</v>
      </c>
      <c r="BN12" s="309">
        <f>SUM(E$6:E12)+SUM(H$6:H12)+SUM(N$6:N12)+SUM(Z$6:Z12)+SUM(AC$6:AC12)+SUM(AF$6:AF12)+SUM(AI$6:AI12)+SUM(AR$6:AR12)+SUM(AU$6:AU12)+SUM(AX$6:AX12)+SUM(BA$6:BA12)</f>
        <v>0</v>
      </c>
      <c r="BO12" s="309">
        <f t="shared" si="26"/>
        <v>0</v>
      </c>
      <c r="BP12" s="309">
        <f t="shared" si="27"/>
        <v>0</v>
      </c>
      <c r="BQ12" s="309">
        <f t="shared" si="27"/>
        <v>0</v>
      </c>
      <c r="BR12" s="309">
        <f t="shared" si="28"/>
        <v>0</v>
      </c>
      <c r="BS12" s="309">
        <f t="shared" si="29"/>
        <v>0</v>
      </c>
      <c r="BT12" s="309">
        <f t="shared" si="29"/>
        <v>0</v>
      </c>
      <c r="BU12" s="309">
        <f t="shared" si="30"/>
        <v>0</v>
      </c>
    </row>
    <row r="13" spans="1:73" x14ac:dyDescent="0.35">
      <c r="A13" s="18">
        <v>6</v>
      </c>
      <c r="B13" s="184">
        <v>42185</v>
      </c>
      <c r="C13" s="175">
        <f>'Inv Adic'!D14</f>
        <v>12000000</v>
      </c>
      <c r="D13" s="309">
        <f>IF(C13=0,0,IF(E12=0,MAX(D$6:D12),D12-1))</f>
        <v>12</v>
      </c>
      <c r="E13" s="309">
        <f t="shared" si="0"/>
        <v>0</v>
      </c>
      <c r="F13" s="178">
        <v>0</v>
      </c>
      <c r="G13" s="309">
        <f>IF(F13=0,0,IF(H12=0,MAX(G$6:G12),G12-1))</f>
        <v>0</v>
      </c>
      <c r="H13" s="309">
        <f t="shared" si="1"/>
        <v>0</v>
      </c>
      <c r="I13" s="178">
        <v>0</v>
      </c>
      <c r="J13" s="309">
        <f>IF(I13=0,0,IF(K12=0,MAX(J$6:J12),J12-1))</f>
        <v>0</v>
      </c>
      <c r="K13" s="309">
        <f t="shared" si="2"/>
        <v>0</v>
      </c>
      <c r="L13" s="175">
        <v>0</v>
      </c>
      <c r="M13" s="309">
        <f>IF(L13=0,0,IF(N12=0,MAX(M$6:M12),M12-1))</f>
        <v>0</v>
      </c>
      <c r="N13" s="309">
        <f t="shared" si="3"/>
        <v>0</v>
      </c>
      <c r="O13" s="178">
        <v>0</v>
      </c>
      <c r="P13" s="309">
        <f>IF(O13=0,0,IF(Q12=0,MAX(P$6:P12),P12-1))</f>
        <v>0</v>
      </c>
      <c r="Q13" s="309">
        <f t="shared" si="4"/>
        <v>0</v>
      </c>
      <c r="R13" s="175">
        <f>MAX(R$6:R12)-SUM(T$6:T12)</f>
        <v>0</v>
      </c>
      <c r="S13" s="309">
        <f>IF(R13=0,0,IF(T12=0,MAX(S$6:S12),S12-1))</f>
        <v>0</v>
      </c>
      <c r="T13" s="309">
        <f t="shared" si="5"/>
        <v>0</v>
      </c>
      <c r="U13" s="175">
        <v>0</v>
      </c>
      <c r="V13" s="309">
        <f>IF(U13=0,0,IF(W12=0,MAX(V$6:V12),V12-1))</f>
        <v>0</v>
      </c>
      <c r="W13" s="309">
        <f t="shared" si="6"/>
        <v>0</v>
      </c>
      <c r="X13" s="175">
        <f>MAX(X$6:X12)-SUM(Z$6:Z12)</f>
        <v>0</v>
      </c>
      <c r="Y13" s="309">
        <f>IF(X13=0,0,IF(Z12=0,MAX(Y$6:Y12),Y12-1))</f>
        <v>0</v>
      </c>
      <c r="Z13" s="309">
        <f t="shared" si="7"/>
        <v>0</v>
      </c>
      <c r="AA13" s="309">
        <v>0</v>
      </c>
      <c r="AB13" s="309">
        <f>IF(AA13=0,0,IF(AC12=0,MAX(AB$6:AB12),AB12-1))</f>
        <v>0</v>
      </c>
      <c r="AC13" s="309">
        <f t="shared" si="8"/>
        <v>0</v>
      </c>
      <c r="AD13" s="175">
        <v>0</v>
      </c>
      <c r="AE13" s="309">
        <f>IF(AD13=0,0,IF(AF12=0,MAX(AE$6:AE12),AE12-1))</f>
        <v>0</v>
      </c>
      <c r="AF13" s="309">
        <f t="shared" si="9"/>
        <v>0</v>
      </c>
      <c r="AG13" s="175">
        <v>0</v>
      </c>
      <c r="AH13" s="309">
        <f>IF(AG13=0,0,IF(AI12=0,MAX(AH$6:AH12),AH12-1))</f>
        <v>0</v>
      </c>
      <c r="AI13" s="309">
        <f t="shared" si="10"/>
        <v>0</v>
      </c>
      <c r="AJ13" s="178">
        <v>0</v>
      </c>
      <c r="AK13" s="309">
        <f>IF(AJ13=0,0,IF(AL12=0,MAX(AK$6:AK12),AK12-1))</f>
        <v>0</v>
      </c>
      <c r="AL13" s="309">
        <f t="shared" si="11"/>
        <v>0</v>
      </c>
      <c r="AM13" s="178">
        <v>0</v>
      </c>
      <c r="AN13" s="309">
        <f>IF(AM13=0,0,IF(AO12=0,MAX(AN$6:AN12),AN12-1))</f>
        <v>0</v>
      </c>
      <c r="AO13" s="309">
        <f t="shared" si="12"/>
        <v>0</v>
      </c>
      <c r="AP13" s="178">
        <v>0</v>
      </c>
      <c r="AQ13" s="309">
        <f>IF(AP13=0,0,IF(AR12=0,MAX(AQ$6:AQ12),AQ12-1))</f>
        <v>0</v>
      </c>
      <c r="AR13" s="309">
        <f t="shared" si="13"/>
        <v>0</v>
      </c>
      <c r="AS13" s="178">
        <v>0</v>
      </c>
      <c r="AT13" s="309">
        <f>IF(AS13=0,0,IF(AU12=0,MAX(AT$6:AT12),AT12-1))</f>
        <v>0</v>
      </c>
      <c r="AU13" s="309">
        <f t="shared" si="14"/>
        <v>0</v>
      </c>
      <c r="AV13" s="309">
        <v>0</v>
      </c>
      <c r="AW13" s="309">
        <f>IF(AV13=0,0,IF(AX12=0,MAX(AW$6:AW12),AW12-1))</f>
        <v>0</v>
      </c>
      <c r="AX13" s="309">
        <f t="shared" si="15"/>
        <v>0</v>
      </c>
      <c r="AY13" s="178">
        <v>0</v>
      </c>
      <c r="AZ13" s="309">
        <f>IF(AY13=0,0,IF(BA12=0,MAX(AZ$6:AZ12),AZ12-1))</f>
        <v>0</v>
      </c>
      <c r="BA13" s="309">
        <f t="shared" si="16"/>
        <v>0</v>
      </c>
      <c r="BB13" s="309">
        <f t="shared" si="19"/>
        <v>0</v>
      </c>
      <c r="BC13" s="309">
        <f t="shared" si="20"/>
        <v>12000000</v>
      </c>
      <c r="BD13" s="309">
        <f t="shared" si="21"/>
        <v>0</v>
      </c>
      <c r="BE13" s="309">
        <f t="shared" si="22"/>
        <v>12000000</v>
      </c>
      <c r="BF13" s="309">
        <f>MAX(C$6:C13)+MAX(F$6:F13)+MAX(I$6:I13)+MAX(L$6:L13)+MAX(O$6:O13)+MAX(R$6:R13)+MAX(U$6:U13)+MAX(X$6:X13)+MAX(AA$6:AA13)+MAX(AD$6:AD13)+MAX(AG$6:AG13)+MAX(AJ$6:AJ13)+MAX(AM$6:AM13)+MAX(AP$6:AP13)+MAX(AS$6:AS13)+MAX(AV$6:AV13)+MAX(AY$6:AY13)</f>
        <v>12000000</v>
      </c>
      <c r="BG13" s="309">
        <f>SUM(E$6:E13)+SUM(H$6:H13)+SUM(K$6:K13)+SUM(N$6:N13)+SUM(Q$6:Q13)+SUM(T$6:T13)+SUM(W$6:W13)+SUM(Z$6:Z13)+SUM(AC$6:AC13)+SUM(AF$6:AF13)+SUM(AI$6:AI13)+SUM(AL$6:AL13)+SUM(AO$6:AO13)+SUM(AR$6:AR13)+SUM(AU$6:AU13)+SUM(AX$6:AX13)+SUM(BA$6:BA13)</f>
        <v>0</v>
      </c>
      <c r="BH13" s="309">
        <f t="shared" si="23"/>
        <v>12000000</v>
      </c>
      <c r="BI13" s="309">
        <f t="shared" si="24"/>
        <v>0</v>
      </c>
      <c r="BJ13" s="309">
        <f>MAX(I$6:I13)+MAX(O$6:O13)+MAX(R$6:R13)+MAX(U$6:U13)+MAX(AJ$6:AJ13)+MAX(AM$6:AM13)</f>
        <v>0</v>
      </c>
      <c r="BK13" s="309">
        <f>SUM(K$6:K13)+SUM(Q$6:Q13)+SUM(T$6:T13)+SUM(W$6:W13)+SUM(AL$6:AL13)+SUM(AO$6:AO13)</f>
        <v>0</v>
      </c>
      <c r="BL13" s="309">
        <f t="shared" si="25"/>
        <v>0</v>
      </c>
      <c r="BM13" s="309">
        <f>MAX(C$6:C13)+MAX(F$6:F13)+MAX(L$6:L13)+MAX(X$6:X13)+MAX(AA$6:AA13)+MAX(AD$6:AD13)+MAX(AG$6:AG13)+MAX(AP$6:AP13)+MAX(AS$6:AS13)+MAX(AV$6:AV13)+MAX(AY$6:AY13)</f>
        <v>12000000</v>
      </c>
      <c r="BN13" s="309">
        <f>SUM(E$6:E13)+SUM(H$6:H13)+SUM(N$6:N13)+SUM(Z$6:Z13)+SUM(AC$6:AC13)+SUM(AF$6:AF13)+SUM(AI$6:AI13)+SUM(AR$6:AR13)+SUM(AU$6:AU13)+SUM(AX$6:AX13)+SUM(BA$6:BA13)</f>
        <v>0</v>
      </c>
      <c r="BO13" s="309">
        <f t="shared" si="26"/>
        <v>12000000</v>
      </c>
      <c r="BP13" s="309">
        <f t="shared" si="27"/>
        <v>12000000</v>
      </c>
      <c r="BQ13" s="309">
        <f t="shared" si="27"/>
        <v>0</v>
      </c>
      <c r="BR13" s="309">
        <f t="shared" si="28"/>
        <v>12000000</v>
      </c>
      <c r="BS13" s="309">
        <f t="shared" si="29"/>
        <v>0</v>
      </c>
      <c r="BT13" s="309">
        <f t="shared" si="29"/>
        <v>0</v>
      </c>
      <c r="BU13" s="309">
        <f t="shared" si="30"/>
        <v>0</v>
      </c>
    </row>
    <row r="14" spans="1:73" x14ac:dyDescent="0.35">
      <c r="A14" s="18">
        <v>7</v>
      </c>
      <c r="B14" s="184">
        <v>42216</v>
      </c>
      <c r="C14" s="175">
        <f>MAX(C$6:C13)-SUM(E$6:E13)</f>
        <v>12000000</v>
      </c>
      <c r="D14" s="309">
        <f>IF(C14=0,0,IF(E13=0,MAX(D$6:D13),D13-1))</f>
        <v>12</v>
      </c>
      <c r="E14" s="309">
        <f t="shared" si="0"/>
        <v>1000000</v>
      </c>
      <c r="F14" s="178">
        <v>0</v>
      </c>
      <c r="G14" s="309">
        <f>IF(F14=0,0,IF(H13=0,MAX(G$6:G13),G13-1))</f>
        <v>0</v>
      </c>
      <c r="H14" s="309">
        <f t="shared" si="1"/>
        <v>0</v>
      </c>
      <c r="I14" s="178">
        <v>0</v>
      </c>
      <c r="J14" s="309">
        <f>IF(I14=0,0,IF(K13=0,MAX(J$6:J13),J13-1))</f>
        <v>0</v>
      </c>
      <c r="K14" s="309">
        <f t="shared" si="2"/>
        <v>0</v>
      </c>
      <c r="L14" s="175">
        <v>0</v>
      </c>
      <c r="M14" s="309">
        <f>IF(L14=0,0,IF(N13=0,MAX(M$6:M13),M13-1))</f>
        <v>0</v>
      </c>
      <c r="N14" s="309">
        <f t="shared" si="3"/>
        <v>0</v>
      </c>
      <c r="O14" s="178">
        <v>0</v>
      </c>
      <c r="P14" s="309">
        <f>IF(O14=0,0,IF(Q13=0,MAX(P$6:P13),P13-1))</f>
        <v>0</v>
      </c>
      <c r="Q14" s="309">
        <f t="shared" si="4"/>
        <v>0</v>
      </c>
      <c r="R14" s="175">
        <f>MAX(R$6:R13)-SUM(T$6:T13)</f>
        <v>0</v>
      </c>
      <c r="S14" s="309">
        <f>IF(R14=0,0,IF(T13=0,MAX(S$6:S13),S13-1))</f>
        <v>0</v>
      </c>
      <c r="T14" s="309">
        <f t="shared" si="5"/>
        <v>0</v>
      </c>
      <c r="U14" s="175">
        <v>0</v>
      </c>
      <c r="V14" s="309">
        <f>IF(U14=0,0,IF(W13=0,MAX(V$6:V13),V13-1))</f>
        <v>0</v>
      </c>
      <c r="W14" s="309">
        <f t="shared" si="6"/>
        <v>0</v>
      </c>
      <c r="X14" s="175">
        <f>MAX(X$6:X13)-SUM(Z$6:Z13)</f>
        <v>0</v>
      </c>
      <c r="Y14" s="309">
        <f>IF(X14=0,0,IF(Z13=0,MAX(Y$6:Y13),Y13-1))</f>
        <v>0</v>
      </c>
      <c r="Z14" s="309">
        <f t="shared" si="7"/>
        <v>0</v>
      </c>
      <c r="AA14" s="309">
        <v>0</v>
      </c>
      <c r="AB14" s="309">
        <f>IF(AA14=0,0,IF(AC13=0,MAX(AB$6:AB13),AB13-1))</f>
        <v>0</v>
      </c>
      <c r="AC14" s="309">
        <f t="shared" si="8"/>
        <v>0</v>
      </c>
      <c r="AD14" s="175">
        <v>0</v>
      </c>
      <c r="AE14" s="309">
        <f>IF(AD14=0,0,IF(AF13=0,MAX(AE$6:AE13),AE13-1))</f>
        <v>0</v>
      </c>
      <c r="AF14" s="309">
        <f t="shared" si="9"/>
        <v>0</v>
      </c>
      <c r="AG14" s="175">
        <v>0</v>
      </c>
      <c r="AH14" s="309">
        <f>IF(AG14=0,0,IF(AI13=0,MAX(AH$6:AH13),AH13-1))</f>
        <v>0</v>
      </c>
      <c r="AI14" s="309">
        <f t="shared" si="10"/>
        <v>0</v>
      </c>
      <c r="AJ14" s="178">
        <v>0</v>
      </c>
      <c r="AK14" s="309">
        <f>IF(AJ14=0,0,IF(AL13=0,MAX(AK$6:AK13),AK13-1))</f>
        <v>0</v>
      </c>
      <c r="AL14" s="309">
        <f t="shared" si="11"/>
        <v>0</v>
      </c>
      <c r="AM14" s="178">
        <v>0</v>
      </c>
      <c r="AN14" s="309">
        <f>IF(AM14=0,0,IF(AO13=0,MAX(AN$6:AN13),AN13-1))</f>
        <v>0</v>
      </c>
      <c r="AO14" s="309">
        <f t="shared" si="12"/>
        <v>0</v>
      </c>
      <c r="AP14" s="178">
        <v>0</v>
      </c>
      <c r="AQ14" s="309">
        <f>IF(AP14=0,0,IF(AR13=0,MAX(AQ$6:AQ13),AQ13-1))</f>
        <v>0</v>
      </c>
      <c r="AR14" s="309">
        <f t="shared" si="13"/>
        <v>0</v>
      </c>
      <c r="AS14" s="178">
        <v>0</v>
      </c>
      <c r="AT14" s="309">
        <f>IF(AS14=0,0,IF(AU13=0,MAX(AT$6:AT13),AT13-1))</f>
        <v>0</v>
      </c>
      <c r="AU14" s="309">
        <f t="shared" si="14"/>
        <v>0</v>
      </c>
      <c r="AV14" s="309">
        <v>0</v>
      </c>
      <c r="AW14" s="309">
        <f>IF(AV14=0,0,IF(AX13=0,MAX(AW$6:AW13),AW13-1))</f>
        <v>0</v>
      </c>
      <c r="AX14" s="309">
        <f t="shared" si="15"/>
        <v>0</v>
      </c>
      <c r="AY14" s="178">
        <v>0</v>
      </c>
      <c r="AZ14" s="309">
        <f>IF(AY14=0,0,IF(BA13=0,MAX(AZ$6:AZ13),AZ13-1))</f>
        <v>0</v>
      </c>
      <c r="BA14" s="309">
        <f t="shared" si="16"/>
        <v>0</v>
      </c>
      <c r="BB14" s="309">
        <f t="shared" si="19"/>
        <v>1000000</v>
      </c>
      <c r="BC14" s="309">
        <f t="shared" si="20"/>
        <v>12000000</v>
      </c>
      <c r="BD14" s="309">
        <f t="shared" si="21"/>
        <v>1000000</v>
      </c>
      <c r="BE14" s="309">
        <f t="shared" si="22"/>
        <v>11000000</v>
      </c>
      <c r="BF14" s="309">
        <f>MAX(C$6:C14)+MAX(F$6:F14)+MAX(I$6:I14)+MAX(L$6:L14)+MAX(O$6:O14)+MAX(R$6:R14)+MAX(U$6:U14)+MAX(X$6:X14)+MAX(AA$6:AA14)+MAX(AD$6:AD14)+MAX(AG$6:AG14)+MAX(AJ$6:AJ14)+MAX(AM$6:AM14)+MAX(AP$6:AP14)+MAX(AS$6:AS14)+MAX(AV$6:AV14)+MAX(AY$6:AY14)</f>
        <v>12000000</v>
      </c>
      <c r="BG14" s="309">
        <f>SUM(E$6:E14)+SUM(H$6:H14)+SUM(K$6:K14)+SUM(N$6:N14)+SUM(Q$6:Q14)+SUM(T$6:T14)+SUM(W$6:W14)+SUM(Z$6:Z14)+SUM(AC$6:AC14)+SUM(AF$6:AF14)+SUM(AI$6:AI14)+SUM(AL$6:AL14)+SUM(AO$6:AO14)+SUM(AR$6:AR14)+SUM(AU$6:AU14)+SUM(AX$6:AX14)+SUM(BA$6:BA14)</f>
        <v>1000000</v>
      </c>
      <c r="BH14" s="309">
        <f t="shared" si="23"/>
        <v>11000000</v>
      </c>
      <c r="BI14" s="309">
        <f t="shared" si="24"/>
        <v>0</v>
      </c>
      <c r="BJ14" s="309">
        <f>MAX(I$6:I14)+MAX(O$6:O14)+MAX(R$6:R14)+MAX(U$6:U14)+MAX(AJ$6:AJ14)+MAX(AM$6:AM14)</f>
        <v>0</v>
      </c>
      <c r="BK14" s="309">
        <f>SUM(K$6:K14)+SUM(Q$6:Q14)+SUM(T$6:T14)+SUM(W$6:W14)+SUM(AL$6:AL14)+SUM(AO$6:AO14)</f>
        <v>0</v>
      </c>
      <c r="BL14" s="309">
        <f t="shared" si="25"/>
        <v>0</v>
      </c>
      <c r="BM14" s="309">
        <f>MAX(C$6:C14)+MAX(F$6:F14)+MAX(L$6:L14)+MAX(X$6:X14)+MAX(AA$6:AA14)+MAX(AD$6:AD14)+MAX(AG$6:AG14)+MAX(AP$6:AP14)+MAX(AS$6:AS14)+MAX(AV$6:AV14)+MAX(AY$6:AY14)</f>
        <v>12000000</v>
      </c>
      <c r="BN14" s="309">
        <f>SUM(E$6:E14)+SUM(H$6:H14)+SUM(N$6:N14)+SUM(Z$6:Z14)+SUM(AC$6:AC14)+SUM(AF$6:AF14)+SUM(AI$6:AI14)+SUM(AR$6:AR14)+SUM(AU$6:AU14)+SUM(AX$6:AX14)+SUM(BA$6:BA14)</f>
        <v>1000000</v>
      </c>
      <c r="BO14" s="309">
        <f t="shared" si="26"/>
        <v>11000000</v>
      </c>
      <c r="BP14" s="309">
        <f t="shared" si="27"/>
        <v>12000000</v>
      </c>
      <c r="BQ14" s="309">
        <f t="shared" si="27"/>
        <v>1000000</v>
      </c>
      <c r="BR14" s="309">
        <f t="shared" si="28"/>
        <v>11000000</v>
      </c>
      <c r="BS14" s="309">
        <f t="shared" si="29"/>
        <v>0</v>
      </c>
      <c r="BT14" s="309">
        <f t="shared" si="29"/>
        <v>0</v>
      </c>
      <c r="BU14" s="309">
        <f t="shared" si="30"/>
        <v>0</v>
      </c>
    </row>
    <row r="15" spans="1:73" x14ac:dyDescent="0.35">
      <c r="A15" s="18">
        <v>8</v>
      </c>
      <c r="B15" s="184">
        <v>42247</v>
      </c>
      <c r="C15" s="175">
        <f>MAX(C$6:C14)-SUM(E$6:E14)</f>
        <v>11000000</v>
      </c>
      <c r="D15" s="309">
        <f>IF(C15=0,0,IF(E14=0,MAX(D$6:D14),D14-1))</f>
        <v>11</v>
      </c>
      <c r="E15" s="309">
        <f t="shared" si="0"/>
        <v>1000000</v>
      </c>
      <c r="F15" s="178">
        <v>0</v>
      </c>
      <c r="G15" s="309">
        <f>IF(F15=0,0,IF(H14=0,MAX(G$6:G14),G14-1))</f>
        <v>0</v>
      </c>
      <c r="H15" s="309">
        <f t="shared" si="1"/>
        <v>0</v>
      </c>
      <c r="I15" s="178">
        <v>0</v>
      </c>
      <c r="J15" s="309">
        <f>IF(I15=0,0,IF(K14=0,MAX(J$6:J14),J14-1))</f>
        <v>0</v>
      </c>
      <c r="K15" s="309">
        <f t="shared" si="2"/>
        <v>0</v>
      </c>
      <c r="L15" s="175">
        <v>0</v>
      </c>
      <c r="M15" s="309">
        <f>IF(L15=0,0,IF(N14=0,MAX(M$6:M14),M14-1))</f>
        <v>0</v>
      </c>
      <c r="N15" s="309">
        <f t="shared" si="3"/>
        <v>0</v>
      </c>
      <c r="O15" s="178">
        <v>0</v>
      </c>
      <c r="P15" s="309">
        <f>IF(O15=0,0,IF(Q14=0,MAX(P$6:P14),P14-1))</f>
        <v>0</v>
      </c>
      <c r="Q15" s="309">
        <f t="shared" si="4"/>
        <v>0</v>
      </c>
      <c r="R15" s="175">
        <f>MAX(R$6:R14)-SUM(T$6:T14)</f>
        <v>0</v>
      </c>
      <c r="S15" s="309">
        <f>IF(R15=0,0,IF(T14=0,MAX(S$6:S14),S14-1))</f>
        <v>0</v>
      </c>
      <c r="T15" s="309">
        <f t="shared" si="5"/>
        <v>0</v>
      </c>
      <c r="U15" s="175">
        <v>0</v>
      </c>
      <c r="V15" s="309">
        <f>IF(U15=0,0,IF(W14=0,MAX(V$6:V14),V14-1))</f>
        <v>0</v>
      </c>
      <c r="W15" s="309">
        <f t="shared" si="6"/>
        <v>0</v>
      </c>
      <c r="X15" s="175">
        <f>MAX(X$6:X14)-SUM(Z$6:Z14)</f>
        <v>0</v>
      </c>
      <c r="Y15" s="309">
        <f>IF(X15=0,0,IF(Z14=0,MAX(Y$6:Y14),Y14-1))</f>
        <v>0</v>
      </c>
      <c r="Z15" s="309">
        <f t="shared" si="7"/>
        <v>0</v>
      </c>
      <c r="AA15" s="309">
        <v>0</v>
      </c>
      <c r="AB15" s="309">
        <f>IF(AA15=0,0,IF(AC14=0,MAX(AB$6:AB14),AB14-1))</f>
        <v>0</v>
      </c>
      <c r="AC15" s="309">
        <f t="shared" si="8"/>
        <v>0</v>
      </c>
      <c r="AD15" s="175">
        <v>0</v>
      </c>
      <c r="AE15" s="309">
        <f>IF(AD15=0,0,IF(AF14=0,MAX(AE$6:AE14),AE14-1))</f>
        <v>0</v>
      </c>
      <c r="AF15" s="309">
        <f t="shared" si="9"/>
        <v>0</v>
      </c>
      <c r="AG15" s="175">
        <v>0</v>
      </c>
      <c r="AH15" s="309">
        <f>IF(AG15=0,0,IF(AI14=0,MAX(AH$6:AH14),AH14-1))</f>
        <v>0</v>
      </c>
      <c r="AI15" s="309">
        <f t="shared" si="10"/>
        <v>0</v>
      </c>
      <c r="AJ15" s="178">
        <v>0</v>
      </c>
      <c r="AK15" s="309">
        <f>IF(AJ15=0,0,IF(AL14=0,MAX(AK$6:AK14),AK14-1))</f>
        <v>0</v>
      </c>
      <c r="AL15" s="309">
        <f t="shared" si="11"/>
        <v>0</v>
      </c>
      <c r="AM15" s="178">
        <v>0</v>
      </c>
      <c r="AN15" s="309">
        <f>IF(AM15=0,0,IF(AO14=0,MAX(AN$6:AN14),AN14-1))</f>
        <v>0</v>
      </c>
      <c r="AO15" s="309">
        <f t="shared" si="12"/>
        <v>0</v>
      </c>
      <c r="AP15" s="178">
        <v>0</v>
      </c>
      <c r="AQ15" s="309">
        <f>IF(AP15=0,0,IF(AR14=0,MAX(AQ$6:AQ14),AQ14-1))</f>
        <v>0</v>
      </c>
      <c r="AR15" s="309">
        <f t="shared" si="13"/>
        <v>0</v>
      </c>
      <c r="AS15" s="178">
        <v>0</v>
      </c>
      <c r="AT15" s="309">
        <f>IF(AS15=0,0,IF(AU14=0,MAX(AT$6:AT14),AT14-1))</f>
        <v>0</v>
      </c>
      <c r="AU15" s="309">
        <f t="shared" si="14"/>
        <v>0</v>
      </c>
      <c r="AV15" s="309">
        <v>0</v>
      </c>
      <c r="AW15" s="309">
        <f>IF(AV15=0,0,IF(AX14=0,MAX(AW$6:AW14),AW14-1))</f>
        <v>0</v>
      </c>
      <c r="AX15" s="309">
        <f t="shared" si="15"/>
        <v>0</v>
      </c>
      <c r="AY15" s="178">
        <v>0</v>
      </c>
      <c r="AZ15" s="309">
        <f>IF(AY15=0,0,IF(BA14=0,MAX(AZ$6:AZ14),AZ14-1))</f>
        <v>0</v>
      </c>
      <c r="BA15" s="309">
        <f t="shared" si="16"/>
        <v>0</v>
      </c>
      <c r="BB15" s="309">
        <f t="shared" si="19"/>
        <v>1000000</v>
      </c>
      <c r="BC15" s="309">
        <f t="shared" si="20"/>
        <v>11000000</v>
      </c>
      <c r="BD15" s="309">
        <f t="shared" si="21"/>
        <v>1000000</v>
      </c>
      <c r="BE15" s="309">
        <f t="shared" si="22"/>
        <v>10000000</v>
      </c>
      <c r="BF15" s="309">
        <f>MAX(C$6:C15)+MAX(F$6:F15)+MAX(I$6:I15)+MAX(L$6:L15)+MAX(O$6:O15)+MAX(R$6:R15)+MAX(U$6:U15)+MAX(X$6:X15)+MAX(AA$6:AA15)+MAX(AD$6:AD15)+MAX(AG$6:AG15)+MAX(AJ$6:AJ15)+MAX(AM$6:AM15)+MAX(AP$6:AP15)+MAX(AS$6:AS15)+MAX(AV$6:AV15)+MAX(AY$6:AY15)</f>
        <v>12000000</v>
      </c>
      <c r="BG15" s="309">
        <f>SUM(E$6:E15)+SUM(H$6:H15)+SUM(K$6:K15)+SUM(N$6:N15)+SUM(Q$6:Q15)+SUM(T$6:T15)+SUM(W$6:W15)+SUM(Z$6:Z15)+SUM(AC$6:AC15)+SUM(AF$6:AF15)+SUM(AI$6:AI15)+SUM(AL$6:AL15)+SUM(AO$6:AO15)+SUM(AR$6:AR15)+SUM(AU$6:AU15)+SUM(AX$6:AX15)+SUM(BA$6:BA15)</f>
        <v>2000000</v>
      </c>
      <c r="BH15" s="309">
        <f t="shared" si="23"/>
        <v>10000000</v>
      </c>
      <c r="BI15" s="309">
        <f t="shared" si="24"/>
        <v>0</v>
      </c>
      <c r="BJ15" s="309">
        <f>MAX(I$6:I15)+MAX(O$6:O15)+MAX(R$6:R15)+MAX(U$6:U15)+MAX(AJ$6:AJ15)+MAX(AM$6:AM15)</f>
        <v>0</v>
      </c>
      <c r="BK15" s="309">
        <f>SUM(K$6:K15)+SUM(Q$6:Q15)+SUM(T$6:T15)+SUM(W$6:W15)+SUM(AL$6:AL15)+SUM(AO$6:AO15)</f>
        <v>0</v>
      </c>
      <c r="BL15" s="309">
        <f t="shared" si="25"/>
        <v>0</v>
      </c>
      <c r="BM15" s="309">
        <f>MAX(C$6:C15)+MAX(F$6:F15)+MAX(L$6:L15)+MAX(X$6:X15)+MAX(AA$6:AA15)+MAX(AD$6:AD15)+MAX(AG$6:AG15)+MAX(AP$6:AP15)+MAX(AS$6:AS15)+MAX(AV$6:AV15)+MAX(AY$6:AY15)</f>
        <v>12000000</v>
      </c>
      <c r="BN15" s="309">
        <f>SUM(E$6:E15)+SUM(H$6:H15)+SUM(N$6:N15)+SUM(Z$6:Z15)+SUM(AC$6:AC15)+SUM(AF$6:AF15)+SUM(AI$6:AI15)+SUM(AR$6:AR15)+SUM(AU$6:AU15)+SUM(AX$6:AX15)+SUM(BA$6:BA15)</f>
        <v>2000000</v>
      </c>
      <c r="BO15" s="309">
        <f t="shared" si="26"/>
        <v>10000000</v>
      </c>
      <c r="BP15" s="309">
        <f t="shared" si="27"/>
        <v>12000000</v>
      </c>
      <c r="BQ15" s="309">
        <f t="shared" si="27"/>
        <v>2000000</v>
      </c>
      <c r="BR15" s="309">
        <f t="shared" si="28"/>
        <v>10000000</v>
      </c>
      <c r="BS15" s="309">
        <f t="shared" si="29"/>
        <v>0</v>
      </c>
      <c r="BT15" s="309">
        <f t="shared" si="29"/>
        <v>0</v>
      </c>
      <c r="BU15" s="309">
        <f t="shared" si="30"/>
        <v>0</v>
      </c>
    </row>
    <row r="16" spans="1:73" x14ac:dyDescent="0.35">
      <c r="A16" s="18">
        <v>9</v>
      </c>
      <c r="B16" s="184">
        <v>42277</v>
      </c>
      <c r="C16" s="175">
        <f>MAX(C$6:C15)-SUM(E$6:E15)</f>
        <v>10000000</v>
      </c>
      <c r="D16" s="309">
        <f>IF(C16=0,0,IF(E15=0,MAX(D$6:D15),D15-1))</f>
        <v>10</v>
      </c>
      <c r="E16" s="309">
        <f t="shared" si="0"/>
        <v>1000000</v>
      </c>
      <c r="F16" s="178">
        <v>0</v>
      </c>
      <c r="G16" s="309">
        <f>IF(F16=0,0,IF(H15=0,MAX(G$6:G15),G15-1))</f>
        <v>0</v>
      </c>
      <c r="H16" s="309">
        <f t="shared" si="1"/>
        <v>0</v>
      </c>
      <c r="I16" s="178">
        <v>0</v>
      </c>
      <c r="J16" s="309">
        <f>IF(I16=0,0,IF(K15=0,MAX(J$6:J15),J15-1))</f>
        <v>0</v>
      </c>
      <c r="K16" s="309">
        <f t="shared" si="2"/>
        <v>0</v>
      </c>
      <c r="L16" s="175">
        <v>0</v>
      </c>
      <c r="M16" s="309">
        <f>IF(L16=0,0,IF(N15=0,MAX(M$6:M15),M15-1))</f>
        <v>0</v>
      </c>
      <c r="N16" s="309">
        <f t="shared" si="3"/>
        <v>0</v>
      </c>
      <c r="O16" s="178">
        <v>0</v>
      </c>
      <c r="P16" s="309">
        <f>IF(O16=0,0,IF(Q15=0,MAX(P$6:P15),P15-1))</f>
        <v>0</v>
      </c>
      <c r="Q16" s="309">
        <f t="shared" si="4"/>
        <v>0</v>
      </c>
      <c r="R16" s="175">
        <f>MAX(R$6:R15)-SUM(T$6:T15)</f>
        <v>0</v>
      </c>
      <c r="S16" s="309">
        <f>IF(R16=0,0,IF(T15=0,MAX(S$6:S15),S15-1))</f>
        <v>0</v>
      </c>
      <c r="T16" s="309">
        <f t="shared" si="5"/>
        <v>0</v>
      </c>
      <c r="U16" s="175">
        <v>0</v>
      </c>
      <c r="V16" s="309">
        <f>IF(U16=0,0,IF(W15=0,MAX(V$6:V15),V15-1))</f>
        <v>0</v>
      </c>
      <c r="W16" s="309">
        <f t="shared" si="6"/>
        <v>0</v>
      </c>
      <c r="X16" s="175">
        <f>MAX(X$6:X15)-SUM(Z$6:Z15)</f>
        <v>0</v>
      </c>
      <c r="Y16" s="309">
        <f>IF(X16=0,0,IF(Z15=0,MAX(Y$6:Y15),Y15-1))</f>
        <v>0</v>
      </c>
      <c r="Z16" s="309">
        <f t="shared" si="7"/>
        <v>0</v>
      </c>
      <c r="AA16" s="309">
        <v>0</v>
      </c>
      <c r="AB16" s="309">
        <f>IF(AA16=0,0,IF(AC15=0,MAX(AB$6:AB15),AB15-1))</f>
        <v>0</v>
      </c>
      <c r="AC16" s="309">
        <f t="shared" si="8"/>
        <v>0</v>
      </c>
      <c r="AD16" s="175">
        <v>0</v>
      </c>
      <c r="AE16" s="309">
        <f>IF(AD16=0,0,IF(AF15=0,MAX(AE$6:AE15),AE15-1))</f>
        <v>0</v>
      </c>
      <c r="AF16" s="309">
        <f t="shared" si="9"/>
        <v>0</v>
      </c>
      <c r="AG16" s="175">
        <v>0</v>
      </c>
      <c r="AH16" s="309">
        <f>IF(AG16=0,0,IF(AI15=0,MAX(AH$6:AH15),AH15-1))</f>
        <v>0</v>
      </c>
      <c r="AI16" s="309">
        <f t="shared" si="10"/>
        <v>0</v>
      </c>
      <c r="AJ16" s="178">
        <v>0</v>
      </c>
      <c r="AK16" s="309">
        <f>IF(AJ16=0,0,IF(AL15=0,MAX(AK$6:AK15),AK15-1))</f>
        <v>0</v>
      </c>
      <c r="AL16" s="309">
        <f t="shared" si="11"/>
        <v>0</v>
      </c>
      <c r="AM16" s="178">
        <v>0</v>
      </c>
      <c r="AN16" s="309">
        <f>IF(AM16=0,0,IF(AO15=0,MAX(AN$6:AN15),AN15-1))</f>
        <v>0</v>
      </c>
      <c r="AO16" s="309">
        <f t="shared" si="12"/>
        <v>0</v>
      </c>
      <c r="AP16" s="178">
        <v>0</v>
      </c>
      <c r="AQ16" s="309">
        <f>IF(AP16=0,0,IF(AR15=0,MAX(AQ$6:AQ15),AQ15-1))</f>
        <v>0</v>
      </c>
      <c r="AR16" s="309">
        <f t="shared" si="13"/>
        <v>0</v>
      </c>
      <c r="AS16" s="178">
        <v>0</v>
      </c>
      <c r="AT16" s="309">
        <f>IF(AS16=0,0,IF(AU15=0,MAX(AT$6:AT15),AT15-1))</f>
        <v>0</v>
      </c>
      <c r="AU16" s="309">
        <f t="shared" si="14"/>
        <v>0</v>
      </c>
      <c r="AV16" s="309">
        <v>0</v>
      </c>
      <c r="AW16" s="309">
        <f>IF(AV16=0,0,IF(AX15=0,MAX(AW$6:AW15),AW15-1))</f>
        <v>0</v>
      </c>
      <c r="AX16" s="309">
        <f t="shared" si="15"/>
        <v>0</v>
      </c>
      <c r="AY16" s="178">
        <v>0</v>
      </c>
      <c r="AZ16" s="309">
        <f>IF(AY16=0,0,IF(BA15=0,MAX(AZ$6:AZ15),AZ15-1))</f>
        <v>0</v>
      </c>
      <c r="BA16" s="309">
        <f t="shared" si="16"/>
        <v>0</v>
      </c>
      <c r="BB16" s="309">
        <f t="shared" si="19"/>
        <v>1000000</v>
      </c>
      <c r="BC16" s="309">
        <f t="shared" si="20"/>
        <v>10000000</v>
      </c>
      <c r="BD16" s="309">
        <f t="shared" si="21"/>
        <v>1000000</v>
      </c>
      <c r="BE16" s="309">
        <f t="shared" si="22"/>
        <v>9000000</v>
      </c>
      <c r="BF16" s="309">
        <f>MAX(C$6:C16)+MAX(F$6:F16)+MAX(I$6:I16)+MAX(L$6:L16)+MAX(O$6:O16)+MAX(R$6:R16)+MAX(U$6:U16)+MAX(X$6:X16)+MAX(AA$6:AA16)+MAX(AD$6:AD16)+MAX(AG$6:AG16)+MAX(AJ$6:AJ16)+MAX(AM$6:AM16)+MAX(AP$6:AP16)+MAX(AS$6:AS16)+MAX(AV$6:AV16)+MAX(AY$6:AY16)</f>
        <v>12000000</v>
      </c>
      <c r="BG16" s="309">
        <f>SUM(E$6:E16)+SUM(H$6:H16)+SUM(K$6:K16)+SUM(N$6:N16)+SUM(Q$6:Q16)+SUM(T$6:T16)+SUM(W$6:W16)+SUM(Z$6:Z16)+SUM(AC$6:AC16)+SUM(AF$6:AF16)+SUM(AI$6:AI16)+SUM(AL$6:AL16)+SUM(AO$6:AO16)+SUM(AR$6:AR16)+SUM(AU$6:AU16)+SUM(AX$6:AX16)+SUM(BA$6:BA16)</f>
        <v>3000000</v>
      </c>
      <c r="BH16" s="309">
        <f t="shared" si="23"/>
        <v>9000000</v>
      </c>
      <c r="BI16" s="309">
        <f t="shared" si="24"/>
        <v>0</v>
      </c>
      <c r="BJ16" s="309">
        <f>MAX(I$6:I16)+MAX(O$6:O16)+MAX(R$6:R16)+MAX(U$6:U16)+MAX(AJ$6:AJ16)+MAX(AM$6:AM16)</f>
        <v>0</v>
      </c>
      <c r="BK16" s="309">
        <f>SUM(K$6:K16)+SUM(Q$6:Q16)+SUM(T$6:T16)+SUM(W$6:W16)+SUM(AL$6:AL16)+SUM(AO$6:AO16)</f>
        <v>0</v>
      </c>
      <c r="BL16" s="309">
        <f t="shared" si="25"/>
        <v>0</v>
      </c>
      <c r="BM16" s="309">
        <f>MAX(C$6:C16)+MAX(F$6:F16)+MAX(L$6:L16)+MAX(X$6:X16)+MAX(AA$6:AA16)+MAX(AD$6:AD16)+MAX(AG$6:AG16)+MAX(AP$6:AP16)+MAX(AS$6:AS16)+MAX(AV$6:AV16)+MAX(AY$6:AY16)</f>
        <v>12000000</v>
      </c>
      <c r="BN16" s="309">
        <f>SUM(E$6:E16)+SUM(H$6:H16)+SUM(N$6:N16)+SUM(Z$6:Z16)+SUM(AC$6:AC16)+SUM(AF$6:AF16)+SUM(AI$6:AI16)+SUM(AR$6:AR16)+SUM(AU$6:AU16)+SUM(AX$6:AX16)+SUM(BA$6:BA16)</f>
        <v>3000000</v>
      </c>
      <c r="BO16" s="309">
        <f t="shared" si="26"/>
        <v>9000000</v>
      </c>
      <c r="BP16" s="309">
        <f t="shared" si="27"/>
        <v>12000000</v>
      </c>
      <c r="BQ16" s="309">
        <f t="shared" si="27"/>
        <v>3000000</v>
      </c>
      <c r="BR16" s="309">
        <f t="shared" si="28"/>
        <v>9000000</v>
      </c>
      <c r="BS16" s="309">
        <f t="shared" si="29"/>
        <v>0</v>
      </c>
      <c r="BT16" s="309">
        <f t="shared" si="29"/>
        <v>0</v>
      </c>
      <c r="BU16" s="309">
        <f t="shared" si="30"/>
        <v>0</v>
      </c>
    </row>
    <row r="17" spans="1:73" x14ac:dyDescent="0.35">
      <c r="A17" s="18">
        <v>10</v>
      </c>
      <c r="B17" s="184">
        <v>42308</v>
      </c>
      <c r="C17" s="175">
        <f>MAX(C$6:C16)-SUM(E$6:E16)</f>
        <v>9000000</v>
      </c>
      <c r="D17" s="309">
        <f>IF(C17=0,0,IF(E16=0,MAX(D$6:D16),D16-1))</f>
        <v>9</v>
      </c>
      <c r="E17" s="309">
        <f t="shared" si="0"/>
        <v>1000000</v>
      </c>
      <c r="F17" s="178">
        <v>0</v>
      </c>
      <c r="G17" s="309">
        <f>IF(F17=0,0,IF(H16=0,MAX(G$6:G16),G16-1))</f>
        <v>0</v>
      </c>
      <c r="H17" s="309">
        <f t="shared" si="1"/>
        <v>0</v>
      </c>
      <c r="I17" s="178">
        <v>0</v>
      </c>
      <c r="J17" s="309">
        <f>IF(I17=0,0,IF(K16=0,MAX(J$6:J16),J16-1))</f>
        <v>0</v>
      </c>
      <c r="K17" s="309">
        <f t="shared" si="2"/>
        <v>0</v>
      </c>
      <c r="L17" s="175">
        <v>0</v>
      </c>
      <c r="M17" s="309">
        <f>IF(L17=0,0,IF(N16=0,MAX(M$6:M16),M16-1))</f>
        <v>0</v>
      </c>
      <c r="N17" s="309">
        <f t="shared" si="3"/>
        <v>0</v>
      </c>
      <c r="O17" s="178">
        <v>0</v>
      </c>
      <c r="P17" s="309">
        <f>IF(O17=0,0,IF(Q16=0,MAX(P$6:P16),P16-1))</f>
        <v>0</v>
      </c>
      <c r="Q17" s="309">
        <f t="shared" si="4"/>
        <v>0</v>
      </c>
      <c r="R17" s="175">
        <f>MAX(R$6:R16)-SUM(T$6:T16)</f>
        <v>0</v>
      </c>
      <c r="S17" s="309">
        <f>IF(R17=0,0,IF(T16=0,MAX(S$6:S16),S16-1))</f>
        <v>0</v>
      </c>
      <c r="T17" s="309">
        <f t="shared" si="5"/>
        <v>0</v>
      </c>
      <c r="U17" s="175">
        <v>0</v>
      </c>
      <c r="V17" s="309">
        <f>IF(U17=0,0,IF(W16=0,MAX(V$6:V16),V16-1))</f>
        <v>0</v>
      </c>
      <c r="W17" s="309">
        <f t="shared" si="6"/>
        <v>0</v>
      </c>
      <c r="X17" s="175">
        <f>MAX(X$6:X16)-SUM(Z$6:Z16)</f>
        <v>0</v>
      </c>
      <c r="Y17" s="309">
        <f>IF(X17=0,0,IF(Z16=0,MAX(Y$6:Y16),Y16-1))</f>
        <v>0</v>
      </c>
      <c r="Z17" s="309">
        <f t="shared" si="7"/>
        <v>0</v>
      </c>
      <c r="AA17" s="309">
        <v>0</v>
      </c>
      <c r="AB17" s="309">
        <f>IF(AA17=0,0,IF(AC16=0,MAX(AB$6:AB16),AB16-1))</f>
        <v>0</v>
      </c>
      <c r="AC17" s="309">
        <f t="shared" si="8"/>
        <v>0</v>
      </c>
      <c r="AD17" s="175">
        <v>0</v>
      </c>
      <c r="AE17" s="309">
        <f>IF(AD17=0,0,IF(AF16=0,MAX(AE$6:AE16),AE16-1))</f>
        <v>0</v>
      </c>
      <c r="AF17" s="309">
        <f t="shared" si="9"/>
        <v>0</v>
      </c>
      <c r="AG17" s="175">
        <v>0</v>
      </c>
      <c r="AH17" s="309">
        <f>IF(AG17=0,0,IF(AI16=0,MAX(AH$6:AH16),AH16-1))</f>
        <v>0</v>
      </c>
      <c r="AI17" s="309">
        <f t="shared" si="10"/>
        <v>0</v>
      </c>
      <c r="AJ17" s="178">
        <v>0</v>
      </c>
      <c r="AK17" s="309">
        <f>IF(AJ17=0,0,IF(AL16=0,MAX(AK$6:AK16),AK16-1))</f>
        <v>0</v>
      </c>
      <c r="AL17" s="309">
        <f t="shared" si="11"/>
        <v>0</v>
      </c>
      <c r="AM17" s="178">
        <v>0</v>
      </c>
      <c r="AN17" s="309">
        <f>IF(AM17=0,0,IF(AO16=0,MAX(AN$6:AN16),AN16-1))</f>
        <v>0</v>
      </c>
      <c r="AO17" s="309">
        <f t="shared" si="12"/>
        <v>0</v>
      </c>
      <c r="AP17" s="178">
        <v>0</v>
      </c>
      <c r="AQ17" s="309">
        <f>IF(AP17=0,0,IF(AR16=0,MAX(AQ$6:AQ16),AQ16-1))</f>
        <v>0</v>
      </c>
      <c r="AR17" s="309">
        <f t="shared" si="13"/>
        <v>0</v>
      </c>
      <c r="AS17" s="178">
        <v>0</v>
      </c>
      <c r="AT17" s="309">
        <f>IF(AS17=0,0,IF(AU16=0,MAX(AT$6:AT16),AT16-1))</f>
        <v>0</v>
      </c>
      <c r="AU17" s="309">
        <f t="shared" si="14"/>
        <v>0</v>
      </c>
      <c r="AV17" s="309">
        <v>0</v>
      </c>
      <c r="AW17" s="309">
        <f>IF(AV17=0,0,IF(AX16=0,MAX(AW$6:AW16),AW16-1))</f>
        <v>0</v>
      </c>
      <c r="AX17" s="309">
        <f t="shared" si="15"/>
        <v>0</v>
      </c>
      <c r="AY17" s="178">
        <v>0</v>
      </c>
      <c r="AZ17" s="309">
        <f>IF(AY17=0,0,IF(BA16=0,MAX(AZ$6:AZ16),AZ16-1))</f>
        <v>0</v>
      </c>
      <c r="BA17" s="309">
        <f t="shared" si="16"/>
        <v>0</v>
      </c>
      <c r="BB17" s="309">
        <f t="shared" si="19"/>
        <v>1000000</v>
      </c>
      <c r="BC17" s="309">
        <f t="shared" si="20"/>
        <v>9000000</v>
      </c>
      <c r="BD17" s="309">
        <f t="shared" si="21"/>
        <v>1000000</v>
      </c>
      <c r="BE17" s="309">
        <f t="shared" si="22"/>
        <v>8000000</v>
      </c>
      <c r="BF17" s="309">
        <f>MAX(C$6:C17)+MAX(F$6:F17)+MAX(I$6:I17)+MAX(L$6:L17)+MAX(O$6:O17)+MAX(R$6:R17)+MAX(U$6:U17)+MAX(X$6:X17)+MAX(AA$6:AA17)+MAX(AD$6:AD17)+MAX(AG$6:AG17)+MAX(AJ$6:AJ17)+MAX(AM$6:AM17)+MAX(AP$6:AP17)+MAX(AS$6:AS17)+MAX(AV$6:AV17)+MAX(AY$6:AY17)</f>
        <v>12000000</v>
      </c>
      <c r="BG17" s="309">
        <f>SUM(E$6:E17)+SUM(H$6:H17)+SUM(K$6:K17)+SUM(N$6:N17)+SUM(Q$6:Q17)+SUM(T$6:T17)+SUM(W$6:W17)+SUM(Z$6:Z17)+SUM(AC$6:AC17)+SUM(AF$6:AF17)+SUM(AI$6:AI17)+SUM(AL$6:AL17)+SUM(AO$6:AO17)+SUM(AR$6:AR17)+SUM(AU$6:AU17)+SUM(AX$6:AX17)+SUM(BA$6:BA17)</f>
        <v>4000000</v>
      </c>
      <c r="BH17" s="309">
        <f t="shared" si="23"/>
        <v>8000000</v>
      </c>
      <c r="BI17" s="309">
        <f t="shared" si="24"/>
        <v>0</v>
      </c>
      <c r="BJ17" s="309">
        <f>MAX(I$6:I17)+MAX(O$6:O17)+MAX(R$6:R17)+MAX(U$6:U17)+MAX(AJ$6:AJ17)+MAX(AM$6:AM17)</f>
        <v>0</v>
      </c>
      <c r="BK17" s="309">
        <f>SUM(K$6:K17)+SUM(Q$6:Q17)+SUM(T$6:T17)+SUM(W$6:W17)+SUM(AL$6:AL17)+SUM(AO$6:AO17)</f>
        <v>0</v>
      </c>
      <c r="BL17" s="309">
        <f t="shared" si="25"/>
        <v>0</v>
      </c>
      <c r="BM17" s="309">
        <f>MAX(C$6:C17)+MAX(F$6:F17)+MAX(L$6:L17)+MAX(X$6:X17)+MAX(AA$6:AA17)+MAX(AD$6:AD17)+MAX(AG$6:AG17)+MAX(AP$6:AP17)+MAX(AS$6:AS17)+MAX(AV$6:AV17)+MAX(AY$6:AY17)</f>
        <v>12000000</v>
      </c>
      <c r="BN17" s="309">
        <f>SUM(E$6:E17)+SUM(H$6:H17)+SUM(N$6:N17)+SUM(Z$6:Z17)+SUM(AC$6:AC17)+SUM(AF$6:AF17)+SUM(AI$6:AI17)+SUM(AR$6:AR17)+SUM(AU$6:AU17)+SUM(AX$6:AX17)+SUM(BA$6:BA17)</f>
        <v>4000000</v>
      </c>
      <c r="BO17" s="309">
        <f t="shared" si="26"/>
        <v>8000000</v>
      </c>
      <c r="BP17" s="309">
        <f t="shared" si="27"/>
        <v>12000000</v>
      </c>
      <c r="BQ17" s="309">
        <f t="shared" si="27"/>
        <v>4000000</v>
      </c>
      <c r="BR17" s="309">
        <f t="shared" si="28"/>
        <v>8000000</v>
      </c>
      <c r="BS17" s="309">
        <f t="shared" si="29"/>
        <v>0</v>
      </c>
      <c r="BT17" s="309">
        <f t="shared" si="29"/>
        <v>0</v>
      </c>
      <c r="BU17" s="309">
        <f t="shared" si="30"/>
        <v>0</v>
      </c>
    </row>
    <row r="18" spans="1:73" x14ac:dyDescent="0.35">
      <c r="A18" s="18">
        <v>11</v>
      </c>
      <c r="B18" s="184">
        <v>42338</v>
      </c>
      <c r="C18" s="175">
        <f>MAX(C$6:C17)-SUM(E$6:E17)</f>
        <v>8000000</v>
      </c>
      <c r="D18" s="309">
        <f>IF(C18=0,0,IF(E17=0,MAX(D$6:D17),D17-1))</f>
        <v>8</v>
      </c>
      <c r="E18" s="309">
        <f t="shared" si="0"/>
        <v>1000000</v>
      </c>
      <c r="F18" s="178">
        <v>0</v>
      </c>
      <c r="G18" s="309">
        <f>IF(F18=0,0,IF(H17=0,MAX(G$6:G17),G17-1))</f>
        <v>0</v>
      </c>
      <c r="H18" s="309">
        <f t="shared" si="1"/>
        <v>0</v>
      </c>
      <c r="I18" s="178">
        <v>0</v>
      </c>
      <c r="J18" s="309">
        <f>IF(I18=0,0,IF(K17=0,MAX(J$6:J17),J17-1))</f>
        <v>0</v>
      </c>
      <c r="K18" s="309">
        <f t="shared" si="2"/>
        <v>0</v>
      </c>
      <c r="L18" s="175">
        <v>0</v>
      </c>
      <c r="M18" s="309">
        <f>IF(L18=0,0,IF(N17=0,MAX(M$6:M17),M17-1))</f>
        <v>0</v>
      </c>
      <c r="N18" s="309">
        <f t="shared" si="3"/>
        <v>0</v>
      </c>
      <c r="O18" s="178">
        <v>0</v>
      </c>
      <c r="P18" s="309">
        <f>IF(O18=0,0,IF(Q17=0,MAX(P$6:P17),P17-1))</f>
        <v>0</v>
      </c>
      <c r="Q18" s="309">
        <f t="shared" si="4"/>
        <v>0</v>
      </c>
      <c r="R18" s="175">
        <f>MAX(R$6:R17)-SUM(T$6:T17)</f>
        <v>0</v>
      </c>
      <c r="S18" s="309">
        <f>IF(R18=0,0,IF(T17=0,MAX(S$6:S17),S17-1))</f>
        <v>0</v>
      </c>
      <c r="T18" s="309">
        <f t="shared" si="5"/>
        <v>0</v>
      </c>
      <c r="U18" s="175">
        <v>0</v>
      </c>
      <c r="V18" s="309">
        <f>IF(U18=0,0,IF(W17=0,MAX(V$6:V17),V17-1))</f>
        <v>0</v>
      </c>
      <c r="W18" s="309">
        <f t="shared" si="6"/>
        <v>0</v>
      </c>
      <c r="X18" s="175">
        <f>MAX(X$6:X17)-SUM(Z$6:Z17)</f>
        <v>0</v>
      </c>
      <c r="Y18" s="309">
        <f>IF(X18=0,0,IF(Z17=0,MAX(Y$6:Y17),Y17-1))</f>
        <v>0</v>
      </c>
      <c r="Z18" s="309">
        <f t="shared" si="7"/>
        <v>0</v>
      </c>
      <c r="AA18" s="309">
        <v>0</v>
      </c>
      <c r="AB18" s="309">
        <f>IF(AA18=0,0,IF(AC17=0,MAX(AB$6:AB17),AB17-1))</f>
        <v>0</v>
      </c>
      <c r="AC18" s="309">
        <f t="shared" si="8"/>
        <v>0</v>
      </c>
      <c r="AD18" s="175">
        <v>0</v>
      </c>
      <c r="AE18" s="309">
        <f>IF(AD18=0,0,IF(AF17=0,MAX(AE$6:AE17),AE17-1))</f>
        <v>0</v>
      </c>
      <c r="AF18" s="309">
        <f t="shared" si="9"/>
        <v>0</v>
      </c>
      <c r="AG18" s="175">
        <v>0</v>
      </c>
      <c r="AH18" s="309">
        <f>IF(AG18=0,0,IF(AI17=0,MAX(AH$6:AH17),AH17-1))</f>
        <v>0</v>
      </c>
      <c r="AI18" s="309">
        <f t="shared" si="10"/>
        <v>0</v>
      </c>
      <c r="AJ18" s="178">
        <v>0</v>
      </c>
      <c r="AK18" s="309">
        <f>IF(AJ18=0,0,IF(AL17=0,MAX(AK$6:AK17),AK17-1))</f>
        <v>0</v>
      </c>
      <c r="AL18" s="309">
        <f t="shared" si="11"/>
        <v>0</v>
      </c>
      <c r="AM18" s="178">
        <v>0</v>
      </c>
      <c r="AN18" s="309">
        <f>IF(AM18=0,0,IF(AO17=0,MAX(AN$6:AN17),AN17-1))</f>
        <v>0</v>
      </c>
      <c r="AO18" s="309">
        <f t="shared" si="12"/>
        <v>0</v>
      </c>
      <c r="AP18" s="178">
        <v>0</v>
      </c>
      <c r="AQ18" s="309">
        <f>IF(AP18=0,0,IF(AR17=0,MAX(AQ$6:AQ17),AQ17-1))</f>
        <v>0</v>
      </c>
      <c r="AR18" s="309">
        <f t="shared" si="13"/>
        <v>0</v>
      </c>
      <c r="AS18" s="178">
        <v>0</v>
      </c>
      <c r="AT18" s="309">
        <f>IF(AS18=0,0,IF(AU17=0,MAX(AT$6:AT17),AT17-1))</f>
        <v>0</v>
      </c>
      <c r="AU18" s="309">
        <f t="shared" si="14"/>
        <v>0</v>
      </c>
      <c r="AV18" s="309">
        <v>0</v>
      </c>
      <c r="AW18" s="309">
        <f>IF(AV18=0,0,IF(AX17=0,MAX(AW$6:AW17),AW17-1))</f>
        <v>0</v>
      </c>
      <c r="AX18" s="309">
        <f t="shared" si="15"/>
        <v>0</v>
      </c>
      <c r="AY18" s="178">
        <v>0</v>
      </c>
      <c r="AZ18" s="309">
        <f>IF(AY18=0,0,IF(BA17=0,MAX(AZ$6:AZ17),AZ17-1))</f>
        <v>0</v>
      </c>
      <c r="BA18" s="309">
        <f t="shared" si="16"/>
        <v>0</v>
      </c>
      <c r="BB18" s="309">
        <f t="shared" si="19"/>
        <v>1000000</v>
      </c>
      <c r="BC18" s="309">
        <f t="shared" si="20"/>
        <v>8000000</v>
      </c>
      <c r="BD18" s="309">
        <f t="shared" si="21"/>
        <v>1000000</v>
      </c>
      <c r="BE18" s="309">
        <f t="shared" si="22"/>
        <v>7000000</v>
      </c>
      <c r="BF18" s="309">
        <f>MAX(C$6:C18)+MAX(F$6:F18)+MAX(I$6:I18)+MAX(L$6:L18)+MAX(O$6:O18)+MAX(R$6:R18)+MAX(U$6:U18)+MAX(X$6:X18)+MAX(AA$6:AA18)+MAX(AD$6:AD18)+MAX(AG$6:AG18)+MAX(AJ$6:AJ18)+MAX(AM$6:AM18)+MAX(AP$6:AP18)+MAX(AS$6:AS18)+MAX(AV$6:AV18)+MAX(AY$6:AY18)</f>
        <v>12000000</v>
      </c>
      <c r="BG18" s="309">
        <f>SUM(E$6:E18)+SUM(H$6:H18)+SUM(K$6:K18)+SUM(N$6:N18)+SUM(Q$6:Q18)+SUM(T$6:T18)+SUM(W$6:W18)+SUM(Z$6:Z18)+SUM(AC$6:AC18)+SUM(AF$6:AF18)+SUM(AI$6:AI18)+SUM(AL$6:AL18)+SUM(AO$6:AO18)+SUM(AR$6:AR18)+SUM(AU$6:AU18)+SUM(AX$6:AX18)+SUM(BA$6:BA18)</f>
        <v>5000000</v>
      </c>
      <c r="BH18" s="309">
        <f t="shared" si="23"/>
        <v>7000000</v>
      </c>
      <c r="BI18" s="309">
        <f t="shared" si="24"/>
        <v>0</v>
      </c>
      <c r="BJ18" s="309">
        <f>MAX(I$6:I18)+MAX(O$6:O18)+MAX(R$6:R18)+MAX(U$6:U18)+MAX(AJ$6:AJ18)+MAX(AM$6:AM18)</f>
        <v>0</v>
      </c>
      <c r="BK18" s="309">
        <f>SUM(K$6:K18)+SUM(Q$6:Q18)+SUM(T$6:T18)+SUM(W$6:W18)+SUM(AL$6:AL18)+SUM(AO$6:AO18)</f>
        <v>0</v>
      </c>
      <c r="BL18" s="309">
        <f t="shared" si="25"/>
        <v>0</v>
      </c>
      <c r="BM18" s="309">
        <f>MAX(C$6:C18)+MAX(F$6:F18)+MAX(L$6:L18)+MAX(X$6:X18)+MAX(AA$6:AA18)+MAX(AD$6:AD18)+MAX(AG$6:AG18)+MAX(AP$6:AP18)+MAX(AS$6:AS18)+MAX(AV$6:AV18)+MAX(AY$6:AY18)</f>
        <v>12000000</v>
      </c>
      <c r="BN18" s="309">
        <f>SUM(E$6:E18)+SUM(H$6:H18)+SUM(N$6:N18)+SUM(Z$6:Z18)+SUM(AC$6:AC18)+SUM(AF$6:AF18)+SUM(AI$6:AI18)+SUM(AR$6:AR18)+SUM(AU$6:AU18)+SUM(AX$6:AX18)+SUM(BA$6:BA18)</f>
        <v>5000000</v>
      </c>
      <c r="BO18" s="309">
        <f t="shared" si="26"/>
        <v>7000000</v>
      </c>
      <c r="BP18" s="309">
        <f t="shared" si="27"/>
        <v>12000000</v>
      </c>
      <c r="BQ18" s="309">
        <f t="shared" si="27"/>
        <v>5000000</v>
      </c>
      <c r="BR18" s="309">
        <f t="shared" si="28"/>
        <v>7000000</v>
      </c>
      <c r="BS18" s="309">
        <f t="shared" si="29"/>
        <v>0</v>
      </c>
      <c r="BT18" s="309">
        <f t="shared" si="29"/>
        <v>0</v>
      </c>
      <c r="BU18" s="309">
        <f t="shared" si="30"/>
        <v>0</v>
      </c>
    </row>
    <row r="19" spans="1:73" x14ac:dyDescent="0.35">
      <c r="A19" s="18">
        <v>12</v>
      </c>
      <c r="B19" s="184">
        <v>42369</v>
      </c>
      <c r="C19" s="175">
        <f>MAX(C$6:C18)-SUM(E$6:E18)</f>
        <v>7000000</v>
      </c>
      <c r="D19" s="309">
        <f>IF(C19=0,0,IF(E18=0,MAX(D$6:D18),D18-1))</f>
        <v>7</v>
      </c>
      <c r="E19" s="309">
        <f t="shared" si="0"/>
        <v>1000000</v>
      </c>
      <c r="F19" s="178">
        <f>'Inv Adic'!E13</f>
        <v>3300000</v>
      </c>
      <c r="G19" s="309">
        <f>IF(F19=0,0,IF(H18=0,MAX(G$6:G18),G18-1))</f>
        <v>12</v>
      </c>
      <c r="H19" s="309">
        <f t="shared" si="1"/>
        <v>0</v>
      </c>
      <c r="I19" s="178">
        <f>'Inv Adic'!E16</f>
        <v>0</v>
      </c>
      <c r="J19" s="309">
        <f>IF(I19=0,0,IF(K18=0,MAX(J$6:J18),J18-1))</f>
        <v>0</v>
      </c>
      <c r="K19" s="309">
        <f t="shared" si="2"/>
        <v>0</v>
      </c>
      <c r="L19" s="175">
        <v>0</v>
      </c>
      <c r="M19" s="309">
        <f>IF(L19=0,0,IF(N18=0,MAX(M$6:M18),M18-1))</f>
        <v>0</v>
      </c>
      <c r="N19" s="309">
        <f t="shared" si="3"/>
        <v>0</v>
      </c>
      <c r="O19" s="178">
        <v>0</v>
      </c>
      <c r="P19" s="309">
        <f>IF(O19=0,0,IF(Q18=0,MAX(P$6:P18),P18-1))</f>
        <v>0</v>
      </c>
      <c r="Q19" s="309">
        <f t="shared" si="4"/>
        <v>0</v>
      </c>
      <c r="R19" s="175">
        <f>MAX(R$6:R18)-SUM(T$6:T18)</f>
        <v>0</v>
      </c>
      <c r="S19" s="309">
        <f>IF(R19=0,0,IF(T18=0,MAX(S$6:S18),S18-1))</f>
        <v>0</v>
      </c>
      <c r="T19" s="309">
        <f t="shared" si="5"/>
        <v>0</v>
      </c>
      <c r="U19" s="175">
        <v>0</v>
      </c>
      <c r="V19" s="309">
        <f>IF(U19=0,0,IF(W18=0,MAX(V$6:V18),V18-1))</f>
        <v>0</v>
      </c>
      <c r="W19" s="309">
        <f t="shared" si="6"/>
        <v>0</v>
      </c>
      <c r="X19" s="175">
        <f>MAX(X$6:X18)-SUM(Z$6:Z18)</f>
        <v>0</v>
      </c>
      <c r="Y19" s="309">
        <f>IF(X19=0,0,IF(Z18=0,MAX(Y$6:Y18),Y18-1))</f>
        <v>0</v>
      </c>
      <c r="Z19" s="309">
        <f t="shared" si="7"/>
        <v>0</v>
      </c>
      <c r="AA19" s="309">
        <v>0</v>
      </c>
      <c r="AB19" s="309">
        <f>IF(AA19=0,0,IF(AC18=0,MAX(AB$6:AB18),AB18-1))</f>
        <v>0</v>
      </c>
      <c r="AC19" s="309">
        <f t="shared" si="8"/>
        <v>0</v>
      </c>
      <c r="AD19" s="175">
        <v>0</v>
      </c>
      <c r="AE19" s="309">
        <f>IF(AD19=0,0,IF(AF18=0,MAX(AE$6:AE18),AE18-1))</f>
        <v>0</v>
      </c>
      <c r="AF19" s="309">
        <f t="shared" si="9"/>
        <v>0</v>
      </c>
      <c r="AG19" s="175">
        <v>0</v>
      </c>
      <c r="AH19" s="309">
        <f>IF(AG19=0,0,IF(AI18=0,MAX(AH$6:AH18),AH18-1))</f>
        <v>0</v>
      </c>
      <c r="AI19" s="309">
        <f t="shared" si="10"/>
        <v>0</v>
      </c>
      <c r="AJ19" s="178">
        <v>0</v>
      </c>
      <c r="AK19" s="309">
        <f>IF(AJ19=0,0,IF(AL18=0,MAX(AK$6:AK18),AK18-1))</f>
        <v>0</v>
      </c>
      <c r="AL19" s="309">
        <f t="shared" si="11"/>
        <v>0</v>
      </c>
      <c r="AM19" s="178">
        <v>0</v>
      </c>
      <c r="AN19" s="309">
        <f>IF(AM19=0,0,IF(AO18=0,MAX(AN$6:AN18),AN18-1))</f>
        <v>0</v>
      </c>
      <c r="AO19" s="309">
        <f t="shared" si="12"/>
        <v>0</v>
      </c>
      <c r="AP19" s="178">
        <v>0</v>
      </c>
      <c r="AQ19" s="309">
        <f>IF(AP19=0,0,IF(AR18=0,MAX(AQ$6:AQ18),AQ18-1))</f>
        <v>0</v>
      </c>
      <c r="AR19" s="309">
        <f t="shared" si="13"/>
        <v>0</v>
      </c>
      <c r="AS19" s="178">
        <v>0</v>
      </c>
      <c r="AT19" s="309">
        <f>IF(AS19=0,0,IF(AU18=0,MAX(AT$6:AT18),AT18-1))</f>
        <v>0</v>
      </c>
      <c r="AU19" s="309">
        <f t="shared" si="14"/>
        <v>0</v>
      </c>
      <c r="AV19" s="309">
        <v>0</v>
      </c>
      <c r="AW19" s="309">
        <f>IF(AV19=0,0,IF(AX18=0,MAX(AW$6:AW18),AW18-1))</f>
        <v>0</v>
      </c>
      <c r="AX19" s="309">
        <f t="shared" si="15"/>
        <v>0</v>
      </c>
      <c r="AY19" s="178">
        <v>0</v>
      </c>
      <c r="AZ19" s="309">
        <f>IF(AY19=0,0,IF(BA18=0,MAX(AZ$6:AZ18),AZ18-1))</f>
        <v>0</v>
      </c>
      <c r="BA19" s="309">
        <f t="shared" si="16"/>
        <v>0</v>
      </c>
      <c r="BB19" s="309">
        <f t="shared" si="19"/>
        <v>1000000</v>
      </c>
      <c r="BC19" s="309">
        <f t="shared" si="20"/>
        <v>10300000</v>
      </c>
      <c r="BD19" s="309">
        <f t="shared" si="21"/>
        <v>1000000</v>
      </c>
      <c r="BE19" s="309">
        <f t="shared" si="22"/>
        <v>9300000</v>
      </c>
      <c r="BF19" s="309">
        <f>MAX(C$6:C19)+MAX(F$6:F19)+MAX(I$6:I19)+MAX(L$6:L19)+MAX(O$6:O19)+MAX(R$6:R19)+MAX(U$6:U19)+MAX(X$6:X19)+MAX(AA$6:AA19)+MAX(AD$6:AD19)+MAX(AG$6:AG19)+MAX(AJ$6:AJ19)+MAX(AM$6:AM19)+MAX(AP$6:AP19)+MAX(AS$6:AS19)+MAX(AV$6:AV19)+MAX(AY$6:AY19)</f>
        <v>15300000</v>
      </c>
      <c r="BG19" s="309">
        <f>SUM(E$6:E19)+SUM(H$6:H19)+SUM(K$6:K19)+SUM(N$6:N19)+SUM(Q$6:Q19)+SUM(T$6:T19)+SUM(W$6:W19)+SUM(Z$6:Z19)+SUM(AC$6:AC19)+SUM(AF$6:AF19)+SUM(AI$6:AI19)+SUM(AL$6:AL19)+SUM(AO$6:AO19)+SUM(AR$6:AR19)+SUM(AU$6:AU19)+SUM(AX$6:AX19)+SUM(BA$6:BA19)</f>
        <v>6000000</v>
      </c>
      <c r="BH19" s="309">
        <f t="shared" si="23"/>
        <v>9300000</v>
      </c>
      <c r="BI19" s="309">
        <f t="shared" si="24"/>
        <v>0</v>
      </c>
      <c r="BJ19" s="309">
        <f>MAX(I$6:I19)+MAX(O$6:O19)+MAX(R$6:R19)+MAX(U$6:U19)+MAX(AJ$6:AJ19)+MAX(AM$6:AM19)</f>
        <v>0</v>
      </c>
      <c r="BK19" s="309">
        <f>SUM(K$6:K19)+SUM(Q$6:Q19)+SUM(T$6:T19)+SUM(W$6:W19)+SUM(AL$6:AL19)+SUM(AO$6:AO19)</f>
        <v>0</v>
      </c>
      <c r="BL19" s="309">
        <f t="shared" si="25"/>
        <v>0</v>
      </c>
      <c r="BM19" s="309">
        <f>MAX(C$6:C19)+MAX(F$6:F19)+MAX(L$6:L19)+MAX(X$6:X19)+MAX(AA$6:AA19)+MAX(AD$6:AD19)+MAX(AG$6:AG19)+MAX(AP$6:AP19)+MAX(AS$6:AS19)+MAX(AV$6:AV19)+MAX(AY$6:AY19)</f>
        <v>15300000</v>
      </c>
      <c r="BN19" s="309">
        <f>SUM(E$6:E19)+SUM(H$6:H19)+SUM(N$6:N19)+SUM(Z$6:Z19)+SUM(AC$6:AC19)+SUM(AF$6:AF19)+SUM(AI$6:AI19)+SUM(AR$6:AR19)+SUM(AU$6:AU19)+SUM(AX$6:AX19)+SUM(BA$6:BA19)</f>
        <v>6000000</v>
      </c>
      <c r="BO19" s="309">
        <f t="shared" si="26"/>
        <v>9300000</v>
      </c>
      <c r="BP19" s="309">
        <f t="shared" si="27"/>
        <v>15300000</v>
      </c>
      <c r="BQ19" s="309">
        <f t="shared" si="27"/>
        <v>6000000</v>
      </c>
      <c r="BR19" s="309">
        <f t="shared" si="28"/>
        <v>9300000</v>
      </c>
      <c r="BS19" s="309">
        <f t="shared" si="29"/>
        <v>0</v>
      </c>
      <c r="BT19" s="309">
        <f t="shared" si="29"/>
        <v>0</v>
      </c>
      <c r="BU19" s="309">
        <f t="shared" si="30"/>
        <v>0</v>
      </c>
    </row>
    <row r="20" spans="1:73" x14ac:dyDescent="0.35">
      <c r="A20" s="18">
        <v>13</v>
      </c>
      <c r="B20" s="184">
        <v>42400</v>
      </c>
      <c r="C20" s="175">
        <f>MAX(C$6:C19)-SUM(E$6:E19)</f>
        <v>6000000</v>
      </c>
      <c r="D20" s="309">
        <f>IF(C20=0,0,IF(E19=0,MAX(D$6:D19),D19-1))</f>
        <v>6</v>
      </c>
      <c r="E20" s="309">
        <f t="shared" si="0"/>
        <v>1000000</v>
      </c>
      <c r="F20" s="175">
        <f>MAX(F$6:F19)-SUM(H$6:H19)</f>
        <v>3300000</v>
      </c>
      <c r="G20" s="309">
        <f>IF(F20=0,0,IF(H19=0,MAX(G$6:G19),G19-1))</f>
        <v>12</v>
      </c>
      <c r="H20" s="309">
        <f t="shared" si="1"/>
        <v>275000</v>
      </c>
      <c r="I20" s="175">
        <f>MAX(I$6:I19)-SUM(K$6:K19)</f>
        <v>0</v>
      </c>
      <c r="J20" s="309">
        <f>IF(I20=0,0,IF(K19=0,MAX(J$6:J19),J19-1))</f>
        <v>0</v>
      </c>
      <c r="K20" s="309">
        <f t="shared" si="2"/>
        <v>0</v>
      </c>
      <c r="L20" s="175">
        <v>0</v>
      </c>
      <c r="M20" s="309">
        <f>IF(L20=0,0,IF(N19=0,MAX(M$6:M19),M19-1))</f>
        <v>0</v>
      </c>
      <c r="N20" s="309">
        <f t="shared" si="3"/>
        <v>0</v>
      </c>
      <c r="O20" s="178">
        <v>0</v>
      </c>
      <c r="P20" s="309">
        <f>IF(O20=0,0,IF(Q19=0,MAX(P$6:P19),P19-1))</f>
        <v>0</v>
      </c>
      <c r="Q20" s="309">
        <f t="shared" si="4"/>
        <v>0</v>
      </c>
      <c r="R20" s="175">
        <f>MAX(R$6:R19)-SUM(T$6:T19)</f>
        <v>0</v>
      </c>
      <c r="S20" s="309">
        <f>IF(R20=0,0,IF(T19=0,MAX(S$6:S19),S19-1))</f>
        <v>0</v>
      </c>
      <c r="T20" s="309">
        <f t="shared" si="5"/>
        <v>0</v>
      </c>
      <c r="U20" s="175">
        <v>0</v>
      </c>
      <c r="V20" s="309">
        <f>IF(U20=0,0,IF(W19=0,MAX(V$6:V19),V19-1))</f>
        <v>0</v>
      </c>
      <c r="W20" s="309">
        <f t="shared" si="6"/>
        <v>0</v>
      </c>
      <c r="X20" s="175">
        <f>MAX(X$6:X19)-SUM(Z$6:Z19)</f>
        <v>0</v>
      </c>
      <c r="Y20" s="309">
        <f>IF(X20=0,0,IF(Z19=0,MAX(Y$6:Y19),Y19-1))</f>
        <v>0</v>
      </c>
      <c r="Z20" s="309">
        <f t="shared" si="7"/>
        <v>0</v>
      </c>
      <c r="AA20" s="309">
        <v>0</v>
      </c>
      <c r="AB20" s="309">
        <f>IF(AA20=0,0,IF(AC19=0,MAX(AB$6:AB19),AB19-1))</f>
        <v>0</v>
      </c>
      <c r="AC20" s="309">
        <f t="shared" si="8"/>
        <v>0</v>
      </c>
      <c r="AD20" s="175">
        <v>0</v>
      </c>
      <c r="AE20" s="309">
        <f>IF(AD20=0,0,IF(AF19=0,MAX(AE$6:AE19),AE19-1))</f>
        <v>0</v>
      </c>
      <c r="AF20" s="309">
        <f t="shared" si="9"/>
        <v>0</v>
      </c>
      <c r="AG20" s="175">
        <v>0</v>
      </c>
      <c r="AH20" s="309">
        <f>IF(AG20=0,0,IF(AI19=0,MAX(AH$6:AH19),AH19-1))</f>
        <v>0</v>
      </c>
      <c r="AI20" s="309">
        <f t="shared" si="10"/>
        <v>0</v>
      </c>
      <c r="AJ20" s="178">
        <v>0</v>
      </c>
      <c r="AK20" s="309">
        <f>IF(AJ20=0,0,IF(AL19=0,MAX(AK$6:AK19),AK19-1))</f>
        <v>0</v>
      </c>
      <c r="AL20" s="309">
        <f t="shared" si="11"/>
        <v>0</v>
      </c>
      <c r="AM20" s="178">
        <v>0</v>
      </c>
      <c r="AN20" s="309">
        <f>IF(AM20=0,0,IF(AO19=0,MAX(AN$6:AN19),AN19-1))</f>
        <v>0</v>
      </c>
      <c r="AO20" s="309">
        <f t="shared" si="12"/>
        <v>0</v>
      </c>
      <c r="AP20" s="178">
        <v>0</v>
      </c>
      <c r="AQ20" s="309">
        <f>IF(AP20=0,0,IF(AR19=0,MAX(AQ$6:AQ19),AQ19-1))</f>
        <v>0</v>
      </c>
      <c r="AR20" s="309">
        <f t="shared" si="13"/>
        <v>0</v>
      </c>
      <c r="AS20" s="178">
        <v>0</v>
      </c>
      <c r="AT20" s="309">
        <f>IF(AS20=0,0,IF(AU19=0,MAX(AT$6:AT19),AT19-1))</f>
        <v>0</v>
      </c>
      <c r="AU20" s="309">
        <f t="shared" si="14"/>
        <v>0</v>
      </c>
      <c r="AV20" s="309">
        <v>0</v>
      </c>
      <c r="AW20" s="309">
        <f>IF(AV20=0,0,IF(AX19=0,MAX(AW$6:AW19),AW19-1))</f>
        <v>0</v>
      </c>
      <c r="AX20" s="309">
        <f t="shared" si="15"/>
        <v>0</v>
      </c>
      <c r="AY20" s="178">
        <v>0</v>
      </c>
      <c r="AZ20" s="309">
        <f>IF(AY20=0,0,IF(BA19=0,MAX(AZ$6:AZ19),AZ19-1))</f>
        <v>0</v>
      </c>
      <c r="BA20" s="309">
        <f t="shared" si="16"/>
        <v>0</v>
      </c>
      <c r="BB20" s="309">
        <f t="shared" si="19"/>
        <v>1275000</v>
      </c>
      <c r="BC20" s="309">
        <f t="shared" si="20"/>
        <v>9300000</v>
      </c>
      <c r="BD20" s="309">
        <f t="shared" si="21"/>
        <v>1275000</v>
      </c>
      <c r="BE20" s="309">
        <f t="shared" si="22"/>
        <v>8025000</v>
      </c>
      <c r="BF20" s="309">
        <f>MAX(C$6:C20)+MAX(F$6:F20)+MAX(I$6:I20)+MAX(L$6:L20)+MAX(O$6:O20)+MAX(R$6:R20)+MAX(U$6:U20)+MAX(X$6:X20)+MAX(AA$6:AA20)+MAX(AD$6:AD20)+MAX(AG$6:AG20)+MAX(AJ$6:AJ20)+MAX(AM$6:AM20)+MAX(AP$6:AP20)+MAX(AS$6:AS20)+MAX(AV$6:AV20)+MAX(AY$6:AY20)</f>
        <v>15300000</v>
      </c>
      <c r="BG20" s="309">
        <f>SUM(E$6:E20)+SUM(H$6:H20)+SUM(K$6:K20)+SUM(N$6:N20)+SUM(Q$6:Q20)+SUM(T$6:T20)+SUM(W$6:W20)+SUM(Z$6:Z20)+SUM(AC$6:AC20)+SUM(AF$6:AF20)+SUM(AI$6:AI20)+SUM(AL$6:AL20)+SUM(AO$6:AO20)+SUM(AR$6:AR20)+SUM(AU$6:AU20)+SUM(AX$6:AX20)+SUM(BA$6:BA20)</f>
        <v>7275000</v>
      </c>
      <c r="BH20" s="309">
        <f t="shared" si="23"/>
        <v>8025000</v>
      </c>
      <c r="BI20" s="309">
        <f t="shared" si="24"/>
        <v>0</v>
      </c>
      <c r="BJ20" s="309">
        <f>MAX(I$6:I20)+MAX(O$6:O20)+MAX(R$6:R20)+MAX(U$6:U20)+MAX(AJ$6:AJ20)+MAX(AM$6:AM20)</f>
        <v>0</v>
      </c>
      <c r="BK20" s="309">
        <f>SUM(K$6:K20)+SUM(Q$6:Q20)+SUM(T$6:T20)+SUM(W$6:W20)+SUM(AL$6:AL20)+SUM(AO$6:AO20)</f>
        <v>0</v>
      </c>
      <c r="BL20" s="309">
        <f t="shared" si="25"/>
        <v>0</v>
      </c>
      <c r="BM20" s="309">
        <f>MAX(C$6:C20)+MAX(F$6:F20)+MAX(L$6:L20)+MAX(X$6:X20)+MAX(AA$6:AA20)+MAX(AD$6:AD20)+MAX(AG$6:AG20)+MAX(AP$6:AP20)+MAX(AS$6:AS20)+MAX(AV$6:AV20)+MAX(AY$6:AY20)</f>
        <v>15300000</v>
      </c>
      <c r="BN20" s="309">
        <f>SUM(E$6:E20)+SUM(H$6:H20)+SUM(N$6:N20)+SUM(Z$6:Z20)+SUM(AC$6:AC20)+SUM(AF$6:AF20)+SUM(AI$6:AI20)+SUM(AR$6:AR20)+SUM(AU$6:AU20)+SUM(AX$6:AX20)+SUM(BA$6:BA20)</f>
        <v>7275000</v>
      </c>
      <c r="BO20" s="309">
        <f t="shared" si="26"/>
        <v>8025000</v>
      </c>
      <c r="BP20" s="309">
        <f t="shared" si="27"/>
        <v>15300000</v>
      </c>
      <c r="BQ20" s="309">
        <f t="shared" si="27"/>
        <v>7275000</v>
      </c>
      <c r="BR20" s="309">
        <f t="shared" si="28"/>
        <v>8025000</v>
      </c>
      <c r="BS20" s="309">
        <f t="shared" si="29"/>
        <v>0</v>
      </c>
      <c r="BT20" s="309">
        <f t="shared" si="29"/>
        <v>0</v>
      </c>
      <c r="BU20" s="309">
        <f t="shared" si="30"/>
        <v>0</v>
      </c>
    </row>
    <row r="21" spans="1:73" x14ac:dyDescent="0.35">
      <c r="A21" s="18">
        <v>14</v>
      </c>
      <c r="B21" s="184">
        <v>42429</v>
      </c>
      <c r="C21" s="175">
        <f>MAX(C$6:C20)-SUM(E$6:E20)</f>
        <v>5000000</v>
      </c>
      <c r="D21" s="309">
        <f>IF(C21=0,0,IF(E20=0,MAX(D$6:D20),D20-1))</f>
        <v>5</v>
      </c>
      <c r="E21" s="309">
        <f t="shared" si="0"/>
        <v>1000000</v>
      </c>
      <c r="F21" s="175">
        <f>MAX(F$6:F20)-SUM(H$6:H20)</f>
        <v>3025000</v>
      </c>
      <c r="G21" s="309">
        <f>IF(F21=0,0,IF(H20=0,MAX(G$6:G20),G20-1))</f>
        <v>11</v>
      </c>
      <c r="H21" s="309">
        <f t="shared" si="1"/>
        <v>275000</v>
      </c>
      <c r="I21" s="175">
        <f>MAX(I$6:I20)-SUM(K$6:K20)</f>
        <v>0</v>
      </c>
      <c r="J21" s="309">
        <f>IF(I21=0,0,IF(K20=0,MAX(J$6:J20),J20-1))</f>
        <v>0</v>
      </c>
      <c r="K21" s="309">
        <f t="shared" si="2"/>
        <v>0</v>
      </c>
      <c r="L21" s="175">
        <v>0</v>
      </c>
      <c r="M21" s="309">
        <f>IF(L21=0,0,IF(N20=0,MAX(M$6:M20),M20-1))</f>
        <v>0</v>
      </c>
      <c r="N21" s="309">
        <f t="shared" si="3"/>
        <v>0</v>
      </c>
      <c r="O21" s="178">
        <v>0</v>
      </c>
      <c r="P21" s="309">
        <f>IF(O21=0,0,IF(Q20=0,MAX(P$6:P20),P20-1))</f>
        <v>0</v>
      </c>
      <c r="Q21" s="309">
        <f t="shared" si="4"/>
        <v>0</v>
      </c>
      <c r="R21" s="175">
        <f>MAX(R$6:R20)-SUM(T$6:T20)</f>
        <v>0</v>
      </c>
      <c r="S21" s="309">
        <f>IF(R21=0,0,IF(T20=0,MAX(S$6:S20),S20-1))</f>
        <v>0</v>
      </c>
      <c r="T21" s="309">
        <f t="shared" si="5"/>
        <v>0</v>
      </c>
      <c r="U21" s="175">
        <v>0</v>
      </c>
      <c r="V21" s="309">
        <f>IF(U21=0,0,IF(W20=0,MAX(V$6:V20),V20-1))</f>
        <v>0</v>
      </c>
      <c r="W21" s="309">
        <f t="shared" si="6"/>
        <v>0</v>
      </c>
      <c r="X21" s="175">
        <f>MAX(X$6:X20)-SUM(Z$6:Z20)</f>
        <v>0</v>
      </c>
      <c r="Y21" s="309">
        <f>IF(X21=0,0,IF(Z20=0,MAX(Y$6:Y20),Y20-1))</f>
        <v>0</v>
      </c>
      <c r="Z21" s="309">
        <f t="shared" si="7"/>
        <v>0</v>
      </c>
      <c r="AA21" s="309">
        <v>0</v>
      </c>
      <c r="AB21" s="309">
        <f>IF(AA21=0,0,IF(AC20=0,MAX(AB$6:AB20),AB20-1))</f>
        <v>0</v>
      </c>
      <c r="AC21" s="309">
        <f t="shared" si="8"/>
        <v>0</v>
      </c>
      <c r="AD21" s="175">
        <v>0</v>
      </c>
      <c r="AE21" s="309">
        <f>IF(AD21=0,0,IF(AF20=0,MAX(AE$6:AE20),AE20-1))</f>
        <v>0</v>
      </c>
      <c r="AF21" s="309">
        <f t="shared" si="9"/>
        <v>0</v>
      </c>
      <c r="AG21" s="175">
        <v>0</v>
      </c>
      <c r="AH21" s="309">
        <f>IF(AG21=0,0,IF(AI20=0,MAX(AH$6:AH20),AH20-1))</f>
        <v>0</v>
      </c>
      <c r="AI21" s="309">
        <f t="shared" si="10"/>
        <v>0</v>
      </c>
      <c r="AJ21" s="178">
        <v>0</v>
      </c>
      <c r="AK21" s="309">
        <f>IF(AJ21=0,0,IF(AL20=0,MAX(AK$6:AK20),AK20-1))</f>
        <v>0</v>
      </c>
      <c r="AL21" s="309">
        <f t="shared" si="11"/>
        <v>0</v>
      </c>
      <c r="AM21" s="178">
        <v>0</v>
      </c>
      <c r="AN21" s="309">
        <f>IF(AM21=0,0,IF(AO20=0,MAX(AN$6:AN20),AN20-1))</f>
        <v>0</v>
      </c>
      <c r="AO21" s="309">
        <f t="shared" si="12"/>
        <v>0</v>
      </c>
      <c r="AP21" s="178">
        <v>0</v>
      </c>
      <c r="AQ21" s="309">
        <f>IF(AP21=0,0,IF(AR20=0,MAX(AQ$6:AQ20),AQ20-1))</f>
        <v>0</v>
      </c>
      <c r="AR21" s="309">
        <f t="shared" si="13"/>
        <v>0</v>
      </c>
      <c r="AS21" s="178">
        <v>0</v>
      </c>
      <c r="AT21" s="309">
        <f>IF(AS21=0,0,IF(AU20=0,MAX(AT$6:AT20),AT20-1))</f>
        <v>0</v>
      </c>
      <c r="AU21" s="309">
        <f t="shared" si="14"/>
        <v>0</v>
      </c>
      <c r="AV21" s="309">
        <v>0</v>
      </c>
      <c r="AW21" s="309">
        <f>IF(AV21=0,0,IF(AX20=0,MAX(AW$6:AW20),AW20-1))</f>
        <v>0</v>
      </c>
      <c r="AX21" s="309">
        <f t="shared" si="15"/>
        <v>0</v>
      </c>
      <c r="AY21" s="178">
        <v>0</v>
      </c>
      <c r="AZ21" s="309">
        <f>IF(AY21=0,0,IF(BA20=0,MAX(AZ$6:AZ20),AZ20-1))</f>
        <v>0</v>
      </c>
      <c r="BA21" s="309">
        <f t="shared" si="16"/>
        <v>0</v>
      </c>
      <c r="BB21" s="309">
        <f t="shared" si="19"/>
        <v>1275000</v>
      </c>
      <c r="BC21" s="309">
        <f t="shared" si="20"/>
        <v>8025000</v>
      </c>
      <c r="BD21" s="309">
        <f t="shared" si="21"/>
        <v>1275000</v>
      </c>
      <c r="BE21" s="309">
        <f t="shared" si="22"/>
        <v>6750000</v>
      </c>
      <c r="BF21" s="309">
        <f>MAX(C$6:C21)+MAX(F$6:F21)+MAX(I$6:I21)+MAX(L$6:L21)+MAX(O$6:O21)+MAX(R$6:R21)+MAX(U$6:U21)+MAX(X$6:X21)+MAX(AA$6:AA21)+MAX(AD$6:AD21)+MAX(AG$6:AG21)+MAX(AJ$6:AJ21)+MAX(AM$6:AM21)+MAX(AP$6:AP21)+MAX(AS$6:AS21)+MAX(AV$6:AV21)+MAX(AY$6:AY21)</f>
        <v>15300000</v>
      </c>
      <c r="BG21" s="309">
        <f>SUM(E$6:E21)+SUM(H$6:H21)+SUM(K$6:K21)+SUM(N$6:N21)+SUM(Q$6:Q21)+SUM(T$6:T21)+SUM(W$6:W21)+SUM(Z$6:Z21)+SUM(AC$6:AC21)+SUM(AF$6:AF21)+SUM(AI$6:AI21)+SUM(AL$6:AL21)+SUM(AO$6:AO21)+SUM(AR$6:AR21)+SUM(AU$6:AU21)+SUM(AX$6:AX21)+SUM(BA$6:BA21)</f>
        <v>8550000</v>
      </c>
      <c r="BH21" s="309">
        <f t="shared" si="23"/>
        <v>6750000</v>
      </c>
      <c r="BI21" s="309">
        <f t="shared" si="24"/>
        <v>0</v>
      </c>
      <c r="BJ21" s="309">
        <f>MAX(I$6:I21)+MAX(O$6:O21)+MAX(R$6:R21)+MAX(U$6:U21)+MAX(AJ$6:AJ21)+MAX(AM$6:AM21)</f>
        <v>0</v>
      </c>
      <c r="BK21" s="309">
        <f>SUM(K$6:K21)+SUM(Q$6:Q21)+SUM(T$6:T21)+SUM(W$6:W21)+SUM(AL$6:AL21)+SUM(AO$6:AO21)</f>
        <v>0</v>
      </c>
      <c r="BL21" s="309">
        <f t="shared" si="25"/>
        <v>0</v>
      </c>
      <c r="BM21" s="309">
        <f>MAX(C$6:C21)+MAX(F$6:F21)+MAX(L$6:L21)+MAX(X$6:X21)+MAX(AA$6:AA21)+MAX(AD$6:AD21)+MAX(AG$6:AG21)+MAX(AP$6:AP21)+MAX(AS$6:AS21)+MAX(AV$6:AV21)+MAX(AY$6:AY21)</f>
        <v>15300000</v>
      </c>
      <c r="BN21" s="309">
        <f>SUM(E$6:E21)+SUM(H$6:H21)+SUM(N$6:N21)+SUM(Z$6:Z21)+SUM(AC$6:AC21)+SUM(AF$6:AF21)+SUM(AI$6:AI21)+SUM(AR$6:AR21)+SUM(AU$6:AU21)+SUM(AX$6:AX21)+SUM(BA$6:BA21)</f>
        <v>8550000</v>
      </c>
      <c r="BO21" s="309">
        <f t="shared" si="26"/>
        <v>6750000</v>
      </c>
      <c r="BP21" s="309">
        <f t="shared" si="27"/>
        <v>15300000</v>
      </c>
      <c r="BQ21" s="309">
        <f t="shared" si="27"/>
        <v>8550000</v>
      </c>
      <c r="BR21" s="309">
        <f t="shared" si="28"/>
        <v>6750000</v>
      </c>
      <c r="BS21" s="309">
        <f t="shared" si="29"/>
        <v>0</v>
      </c>
      <c r="BT21" s="309">
        <f t="shared" si="29"/>
        <v>0</v>
      </c>
      <c r="BU21" s="309">
        <f t="shared" si="30"/>
        <v>0</v>
      </c>
    </row>
    <row r="22" spans="1:73" x14ac:dyDescent="0.35">
      <c r="A22" s="18">
        <v>15</v>
      </c>
      <c r="B22" s="184">
        <v>42460</v>
      </c>
      <c r="C22" s="175">
        <f>MAX(C$6:C21)-SUM(E$6:E21)</f>
        <v>4000000</v>
      </c>
      <c r="D22" s="309">
        <f>IF(C22=0,0,IF(E21=0,MAX(D$6:D21),D21-1))</f>
        <v>4</v>
      </c>
      <c r="E22" s="309">
        <f t="shared" si="0"/>
        <v>1000000</v>
      </c>
      <c r="F22" s="175">
        <f>MAX(F$6:F21)-SUM(H$6:H21)</f>
        <v>2750000</v>
      </c>
      <c r="G22" s="309">
        <f>IF(F22=0,0,IF(H21=0,MAX(G$6:G21),G21-1))</f>
        <v>10</v>
      </c>
      <c r="H22" s="309">
        <f t="shared" si="1"/>
        <v>275000</v>
      </c>
      <c r="I22" s="175">
        <f>MAX(I$6:I21)-SUM(K$6:K21)</f>
        <v>0</v>
      </c>
      <c r="J22" s="309">
        <f>IF(I22=0,0,IF(K21=0,MAX(J$6:J21),J21-1))</f>
        <v>0</v>
      </c>
      <c r="K22" s="309">
        <f t="shared" si="2"/>
        <v>0</v>
      </c>
      <c r="L22" s="175">
        <v>0</v>
      </c>
      <c r="M22" s="309">
        <f>IF(L22=0,0,IF(N21=0,MAX(M$6:M21),M21-1))</f>
        <v>0</v>
      </c>
      <c r="N22" s="309">
        <f t="shared" si="3"/>
        <v>0</v>
      </c>
      <c r="O22" s="178">
        <v>0</v>
      </c>
      <c r="P22" s="309">
        <f>IF(O22=0,0,IF(Q21=0,MAX(P$6:P21),P21-1))</f>
        <v>0</v>
      </c>
      <c r="Q22" s="309">
        <f t="shared" si="4"/>
        <v>0</v>
      </c>
      <c r="R22" s="175">
        <f>MAX(R$6:R21)-SUM(T$6:T21)</f>
        <v>0</v>
      </c>
      <c r="S22" s="309">
        <f>IF(R22=0,0,IF(T21=0,MAX(S$6:S21),S21-1))</f>
        <v>0</v>
      </c>
      <c r="T22" s="309">
        <f t="shared" si="5"/>
        <v>0</v>
      </c>
      <c r="U22" s="175">
        <v>0</v>
      </c>
      <c r="V22" s="309">
        <f>IF(U22=0,0,IF(W21=0,MAX(V$6:V21),V21-1))</f>
        <v>0</v>
      </c>
      <c r="W22" s="309">
        <f t="shared" si="6"/>
        <v>0</v>
      </c>
      <c r="X22" s="175">
        <f>MAX(X$6:X21)-SUM(Z$6:Z21)</f>
        <v>0</v>
      </c>
      <c r="Y22" s="309">
        <f>IF(X22=0,0,IF(Z21=0,MAX(Y$6:Y21),Y21-1))</f>
        <v>0</v>
      </c>
      <c r="Z22" s="309">
        <f t="shared" si="7"/>
        <v>0</v>
      </c>
      <c r="AA22" s="309">
        <v>0</v>
      </c>
      <c r="AB22" s="309">
        <f>IF(AA22=0,0,IF(AC21=0,MAX(AB$6:AB21),AB21-1))</f>
        <v>0</v>
      </c>
      <c r="AC22" s="309">
        <f t="shared" si="8"/>
        <v>0</v>
      </c>
      <c r="AD22" s="175">
        <v>0</v>
      </c>
      <c r="AE22" s="309">
        <f>IF(AD22=0,0,IF(AF21=0,MAX(AE$6:AE21),AE21-1))</f>
        <v>0</v>
      </c>
      <c r="AF22" s="309">
        <f t="shared" si="9"/>
        <v>0</v>
      </c>
      <c r="AG22" s="175">
        <v>0</v>
      </c>
      <c r="AH22" s="309">
        <f>IF(AG22=0,0,IF(AI21=0,MAX(AH$6:AH21),AH21-1))</f>
        <v>0</v>
      </c>
      <c r="AI22" s="309">
        <f t="shared" si="10"/>
        <v>0</v>
      </c>
      <c r="AJ22" s="178">
        <v>0</v>
      </c>
      <c r="AK22" s="309">
        <f>IF(AJ22=0,0,IF(AL21=0,MAX(AK$6:AK21),AK21-1))</f>
        <v>0</v>
      </c>
      <c r="AL22" s="309">
        <f t="shared" si="11"/>
        <v>0</v>
      </c>
      <c r="AM22" s="178">
        <v>0</v>
      </c>
      <c r="AN22" s="309">
        <f>IF(AM22=0,0,IF(AO21=0,MAX(AN$6:AN21),AN21-1))</f>
        <v>0</v>
      </c>
      <c r="AO22" s="309">
        <f t="shared" si="12"/>
        <v>0</v>
      </c>
      <c r="AP22" s="178">
        <v>0</v>
      </c>
      <c r="AQ22" s="309">
        <f>IF(AP22=0,0,IF(AR21=0,MAX(AQ$6:AQ21),AQ21-1))</f>
        <v>0</v>
      </c>
      <c r="AR22" s="309">
        <f t="shared" si="13"/>
        <v>0</v>
      </c>
      <c r="AS22" s="178">
        <v>0</v>
      </c>
      <c r="AT22" s="309">
        <f>IF(AS22=0,0,IF(AU21=0,MAX(AT$6:AT21),AT21-1))</f>
        <v>0</v>
      </c>
      <c r="AU22" s="309">
        <f t="shared" si="14"/>
        <v>0</v>
      </c>
      <c r="AV22" s="309">
        <v>0</v>
      </c>
      <c r="AW22" s="309">
        <f>IF(AV22=0,0,IF(AX21=0,MAX(AW$6:AW21),AW21-1))</f>
        <v>0</v>
      </c>
      <c r="AX22" s="309">
        <f t="shared" si="15"/>
        <v>0</v>
      </c>
      <c r="AY22" s="178">
        <v>0</v>
      </c>
      <c r="AZ22" s="309">
        <f>IF(AY22=0,0,IF(BA21=0,MAX(AZ$6:AZ21),AZ21-1))</f>
        <v>0</v>
      </c>
      <c r="BA22" s="309">
        <f t="shared" si="16"/>
        <v>0</v>
      </c>
      <c r="BB22" s="309">
        <f t="shared" si="19"/>
        <v>1275000</v>
      </c>
      <c r="BC22" s="309">
        <f t="shared" si="20"/>
        <v>6750000</v>
      </c>
      <c r="BD22" s="309">
        <f t="shared" si="21"/>
        <v>1275000</v>
      </c>
      <c r="BE22" s="309">
        <f t="shared" si="22"/>
        <v>5475000</v>
      </c>
      <c r="BF22" s="309">
        <f>MAX(C$6:C22)+MAX(F$6:F22)+MAX(I$6:I22)+MAX(L$6:L22)+MAX(O$6:O22)+MAX(R$6:R22)+MAX(U$6:U22)+MAX(X$6:X22)+MAX(AA$6:AA22)+MAX(AD$6:AD22)+MAX(AG$6:AG22)+MAX(AJ$6:AJ22)+MAX(AM$6:AM22)+MAX(AP$6:AP22)+MAX(AS$6:AS22)+MAX(AV$6:AV22)+MAX(AY$6:AY22)</f>
        <v>15300000</v>
      </c>
      <c r="BG22" s="309">
        <f>SUM(E$6:E22)+SUM(H$6:H22)+SUM(K$6:K22)+SUM(N$6:N22)+SUM(Q$6:Q22)+SUM(T$6:T22)+SUM(W$6:W22)+SUM(Z$6:Z22)+SUM(AC$6:AC22)+SUM(AF$6:AF22)+SUM(AI$6:AI22)+SUM(AL$6:AL22)+SUM(AO$6:AO22)+SUM(AR$6:AR22)+SUM(AU$6:AU22)+SUM(AX$6:AX22)+SUM(BA$6:BA22)</f>
        <v>9825000</v>
      </c>
      <c r="BH22" s="309">
        <f t="shared" si="23"/>
        <v>5475000</v>
      </c>
      <c r="BI22" s="309">
        <f t="shared" si="24"/>
        <v>0</v>
      </c>
      <c r="BJ22" s="309">
        <f>MAX(I$6:I22)+MAX(O$6:O22)+MAX(R$6:R22)+MAX(U$6:U22)+MAX(AJ$6:AJ22)+MAX(AM$6:AM22)</f>
        <v>0</v>
      </c>
      <c r="BK22" s="309">
        <f>SUM(K$6:K22)+SUM(Q$6:Q22)+SUM(T$6:T22)+SUM(W$6:W22)+SUM(AL$6:AL22)+SUM(AO$6:AO22)</f>
        <v>0</v>
      </c>
      <c r="BL22" s="309">
        <f t="shared" si="25"/>
        <v>0</v>
      </c>
      <c r="BM22" s="309">
        <f>MAX(C$6:C22)+MAX(F$6:F22)+MAX(L$6:L22)+MAX(X$6:X22)+MAX(AA$6:AA22)+MAX(AD$6:AD22)+MAX(AG$6:AG22)+MAX(AP$6:AP22)+MAX(AS$6:AS22)+MAX(AV$6:AV22)+MAX(AY$6:AY22)</f>
        <v>15300000</v>
      </c>
      <c r="BN22" s="309">
        <f>SUM(E$6:E22)+SUM(H$6:H22)+SUM(N$6:N22)+SUM(Z$6:Z22)+SUM(AC$6:AC22)+SUM(AF$6:AF22)+SUM(AI$6:AI22)+SUM(AR$6:AR22)+SUM(AU$6:AU22)+SUM(AX$6:AX22)+SUM(BA$6:BA22)</f>
        <v>9825000</v>
      </c>
      <c r="BO22" s="309">
        <f t="shared" si="26"/>
        <v>5475000</v>
      </c>
      <c r="BP22" s="309">
        <f t="shared" si="27"/>
        <v>15300000</v>
      </c>
      <c r="BQ22" s="309">
        <f t="shared" si="27"/>
        <v>9825000</v>
      </c>
      <c r="BR22" s="309">
        <f t="shared" si="28"/>
        <v>5475000</v>
      </c>
      <c r="BS22" s="309">
        <f t="shared" si="29"/>
        <v>0</v>
      </c>
      <c r="BT22" s="309">
        <f t="shared" si="29"/>
        <v>0</v>
      </c>
      <c r="BU22" s="309">
        <f t="shared" si="30"/>
        <v>0</v>
      </c>
    </row>
    <row r="23" spans="1:73" x14ac:dyDescent="0.35">
      <c r="A23" s="18">
        <v>16</v>
      </c>
      <c r="B23" s="184">
        <v>42490</v>
      </c>
      <c r="C23" s="175">
        <f>MAX(C$6:C22)-SUM(E$6:E22)</f>
        <v>3000000</v>
      </c>
      <c r="D23" s="309">
        <f>IF(C23=0,0,IF(E22=0,MAX(D$6:D22),D22-1))</f>
        <v>3</v>
      </c>
      <c r="E23" s="309">
        <f t="shared" si="0"/>
        <v>1000000</v>
      </c>
      <c r="F23" s="175">
        <f>MAX(F$6:F22)-SUM(H$6:H22)</f>
        <v>2475000</v>
      </c>
      <c r="G23" s="309">
        <f>IF(F23=0,0,IF(H22=0,MAX(G$6:G22),G22-1))</f>
        <v>9</v>
      </c>
      <c r="H23" s="309">
        <f t="shared" si="1"/>
        <v>275000</v>
      </c>
      <c r="I23" s="175">
        <f>MAX(I$6:I22)-SUM(K$6:K22)</f>
        <v>0</v>
      </c>
      <c r="J23" s="309">
        <f>IF(I23=0,0,IF(K22=0,MAX(J$6:J22),J22-1))</f>
        <v>0</v>
      </c>
      <c r="K23" s="309">
        <f t="shared" si="2"/>
        <v>0</v>
      </c>
      <c r="L23" s="175">
        <v>0</v>
      </c>
      <c r="M23" s="309">
        <f>IF(L23=0,0,IF(N22=0,MAX(M$6:M22),M22-1))</f>
        <v>0</v>
      </c>
      <c r="N23" s="309">
        <f t="shared" si="3"/>
        <v>0</v>
      </c>
      <c r="O23" s="178">
        <v>0</v>
      </c>
      <c r="P23" s="309">
        <f>IF(O23=0,0,IF(Q22=0,MAX(P$6:P22),P22-1))</f>
        <v>0</v>
      </c>
      <c r="Q23" s="309">
        <f t="shared" si="4"/>
        <v>0</v>
      </c>
      <c r="R23" s="175">
        <f>MAX(R$6:R22)-SUM(T$6:T22)</f>
        <v>0</v>
      </c>
      <c r="S23" s="309">
        <f>IF(R23=0,0,IF(T22=0,MAX(S$6:S22),S22-1))</f>
        <v>0</v>
      </c>
      <c r="T23" s="309">
        <f t="shared" si="5"/>
        <v>0</v>
      </c>
      <c r="U23" s="175">
        <v>0</v>
      </c>
      <c r="V23" s="309">
        <f>IF(U23=0,0,IF(W22=0,MAX(V$6:V22),V22-1))</f>
        <v>0</v>
      </c>
      <c r="W23" s="309">
        <f t="shared" si="6"/>
        <v>0</v>
      </c>
      <c r="X23" s="175">
        <f>MAX(X$6:X22)-SUM(Z$6:Z22)</f>
        <v>0</v>
      </c>
      <c r="Y23" s="309">
        <f>IF(X23=0,0,IF(Z22=0,MAX(Y$6:Y22),Y22-1))</f>
        <v>0</v>
      </c>
      <c r="Z23" s="309">
        <f t="shared" si="7"/>
        <v>0</v>
      </c>
      <c r="AA23" s="309">
        <v>0</v>
      </c>
      <c r="AB23" s="309">
        <f>IF(AA23=0,0,IF(AC22=0,MAX(AB$6:AB22),AB22-1))</f>
        <v>0</v>
      </c>
      <c r="AC23" s="309">
        <f t="shared" si="8"/>
        <v>0</v>
      </c>
      <c r="AD23" s="175">
        <v>0</v>
      </c>
      <c r="AE23" s="309">
        <f>IF(AD23=0,0,IF(AF22=0,MAX(AE$6:AE22),AE22-1))</f>
        <v>0</v>
      </c>
      <c r="AF23" s="309">
        <f t="shared" si="9"/>
        <v>0</v>
      </c>
      <c r="AG23" s="175">
        <v>0</v>
      </c>
      <c r="AH23" s="309">
        <f>IF(AG23=0,0,IF(AI22=0,MAX(AH$6:AH22),AH22-1))</f>
        <v>0</v>
      </c>
      <c r="AI23" s="309">
        <f t="shared" si="10"/>
        <v>0</v>
      </c>
      <c r="AJ23" s="178">
        <v>0</v>
      </c>
      <c r="AK23" s="309">
        <f>IF(AJ23=0,0,IF(AL22=0,MAX(AK$6:AK22),AK22-1))</f>
        <v>0</v>
      </c>
      <c r="AL23" s="309">
        <f t="shared" si="11"/>
        <v>0</v>
      </c>
      <c r="AM23" s="178">
        <v>0</v>
      </c>
      <c r="AN23" s="309">
        <f>IF(AM23=0,0,IF(AO22=0,MAX(AN$6:AN22),AN22-1))</f>
        <v>0</v>
      </c>
      <c r="AO23" s="309">
        <f t="shared" si="12"/>
        <v>0</v>
      </c>
      <c r="AP23" s="178">
        <v>0</v>
      </c>
      <c r="AQ23" s="309">
        <f>IF(AP23=0,0,IF(AR22=0,MAX(AQ$6:AQ22),AQ22-1))</f>
        <v>0</v>
      </c>
      <c r="AR23" s="309">
        <f t="shared" si="13"/>
        <v>0</v>
      </c>
      <c r="AS23" s="178">
        <v>0</v>
      </c>
      <c r="AT23" s="309">
        <f>IF(AS23=0,0,IF(AU22=0,MAX(AT$6:AT22),AT22-1))</f>
        <v>0</v>
      </c>
      <c r="AU23" s="309">
        <f t="shared" si="14"/>
        <v>0</v>
      </c>
      <c r="AV23" s="309">
        <v>0</v>
      </c>
      <c r="AW23" s="309">
        <f>IF(AV23=0,0,IF(AX22=0,MAX(AW$6:AW22),AW22-1))</f>
        <v>0</v>
      </c>
      <c r="AX23" s="309">
        <f t="shared" si="15"/>
        <v>0</v>
      </c>
      <c r="AY23" s="178">
        <v>0</v>
      </c>
      <c r="AZ23" s="309">
        <f>IF(AY23=0,0,IF(BA22=0,MAX(AZ$6:AZ22),AZ22-1))</f>
        <v>0</v>
      </c>
      <c r="BA23" s="309">
        <f t="shared" si="16"/>
        <v>0</v>
      </c>
      <c r="BB23" s="309">
        <f t="shared" si="19"/>
        <v>1275000</v>
      </c>
      <c r="BC23" s="309">
        <f t="shared" si="20"/>
        <v>5475000</v>
      </c>
      <c r="BD23" s="309">
        <f t="shared" si="21"/>
        <v>1275000</v>
      </c>
      <c r="BE23" s="309">
        <f t="shared" si="22"/>
        <v>4200000</v>
      </c>
      <c r="BF23" s="309">
        <f>MAX(C$6:C23)+MAX(F$6:F23)+MAX(I$6:I23)+MAX(L$6:L23)+MAX(O$6:O23)+MAX(R$6:R23)+MAX(U$6:U23)+MAX(X$6:X23)+MAX(AA$6:AA23)+MAX(AD$6:AD23)+MAX(AG$6:AG23)+MAX(AJ$6:AJ23)+MAX(AM$6:AM23)+MAX(AP$6:AP23)+MAX(AS$6:AS23)+MAX(AV$6:AV23)+MAX(AY$6:AY23)</f>
        <v>15300000</v>
      </c>
      <c r="BG23" s="309">
        <f>SUM(E$6:E23)+SUM(H$6:H23)+SUM(K$6:K23)+SUM(N$6:N23)+SUM(Q$6:Q23)+SUM(T$6:T23)+SUM(W$6:W23)+SUM(Z$6:Z23)+SUM(AC$6:AC23)+SUM(AF$6:AF23)+SUM(AI$6:AI23)+SUM(AL$6:AL23)+SUM(AO$6:AO23)+SUM(AR$6:AR23)+SUM(AU$6:AU23)+SUM(AX$6:AX23)+SUM(BA$6:BA23)</f>
        <v>11100000</v>
      </c>
      <c r="BH23" s="309">
        <f t="shared" si="23"/>
        <v>4200000</v>
      </c>
      <c r="BI23" s="309">
        <f t="shared" si="24"/>
        <v>0</v>
      </c>
      <c r="BJ23" s="309">
        <f>MAX(I$6:I23)+MAX(O$6:O23)+MAX(R$6:R23)+MAX(U$6:U23)+MAX(AJ$6:AJ23)+MAX(AM$6:AM23)</f>
        <v>0</v>
      </c>
      <c r="BK23" s="309">
        <f>SUM(K$6:K23)+SUM(Q$6:Q23)+SUM(T$6:T23)+SUM(W$6:W23)+SUM(AL$6:AL23)+SUM(AO$6:AO23)</f>
        <v>0</v>
      </c>
      <c r="BL23" s="309">
        <f t="shared" si="25"/>
        <v>0</v>
      </c>
      <c r="BM23" s="309">
        <f>MAX(C$6:C23)+MAX(F$6:F23)+MAX(L$6:L23)+MAX(X$6:X23)+MAX(AA$6:AA23)+MAX(AD$6:AD23)+MAX(AG$6:AG23)+MAX(AP$6:AP23)+MAX(AS$6:AS23)+MAX(AV$6:AV23)+MAX(AY$6:AY23)</f>
        <v>15300000</v>
      </c>
      <c r="BN23" s="309">
        <f>SUM(E$6:E23)+SUM(H$6:H23)+SUM(N$6:N23)+SUM(Z$6:Z23)+SUM(AC$6:AC23)+SUM(AF$6:AF23)+SUM(AI$6:AI23)+SUM(AR$6:AR23)+SUM(AU$6:AU23)+SUM(AX$6:AX23)+SUM(BA$6:BA23)</f>
        <v>11100000</v>
      </c>
      <c r="BO23" s="309">
        <f t="shared" si="26"/>
        <v>4200000</v>
      </c>
      <c r="BP23" s="309">
        <f t="shared" si="27"/>
        <v>15300000</v>
      </c>
      <c r="BQ23" s="309">
        <f t="shared" si="27"/>
        <v>11100000</v>
      </c>
      <c r="BR23" s="309">
        <f t="shared" si="28"/>
        <v>4200000</v>
      </c>
      <c r="BS23" s="309">
        <f t="shared" si="29"/>
        <v>0</v>
      </c>
      <c r="BT23" s="309">
        <f t="shared" si="29"/>
        <v>0</v>
      </c>
      <c r="BU23" s="309">
        <f t="shared" si="30"/>
        <v>0</v>
      </c>
    </row>
    <row r="24" spans="1:73" x14ac:dyDescent="0.35">
      <c r="A24" s="18">
        <v>17</v>
      </c>
      <c r="B24" s="184">
        <v>42521</v>
      </c>
      <c r="C24" s="175">
        <f>MAX(C$6:C23)-SUM(E$6:E23)</f>
        <v>2000000</v>
      </c>
      <c r="D24" s="309">
        <f>IF(C24=0,0,IF(E23=0,MAX(D$6:D23),D23-1))</f>
        <v>2</v>
      </c>
      <c r="E24" s="309">
        <f t="shared" si="0"/>
        <v>1000000</v>
      </c>
      <c r="F24" s="175">
        <f>MAX(F$6:F23)-SUM(H$6:H23)</f>
        <v>2200000</v>
      </c>
      <c r="G24" s="309">
        <f>IF(F24=0,0,IF(H23=0,MAX(G$6:G23),G23-1))</f>
        <v>8</v>
      </c>
      <c r="H24" s="309">
        <f t="shared" si="1"/>
        <v>275000</v>
      </c>
      <c r="I24" s="175">
        <f>MAX(I$6:I23)-SUM(K$6:K23)</f>
        <v>0</v>
      </c>
      <c r="J24" s="309">
        <f>IF(I24=0,0,IF(K23=0,MAX(J$6:J23),J23-1))</f>
        <v>0</v>
      </c>
      <c r="K24" s="309">
        <f t="shared" si="2"/>
        <v>0</v>
      </c>
      <c r="L24" s="175">
        <v>0</v>
      </c>
      <c r="M24" s="309">
        <f>IF(L24=0,0,IF(N23=0,MAX(M$6:M23),M23-1))</f>
        <v>0</v>
      </c>
      <c r="N24" s="309">
        <f t="shared" si="3"/>
        <v>0</v>
      </c>
      <c r="O24" s="178">
        <v>0</v>
      </c>
      <c r="P24" s="309">
        <f>IF(O24=0,0,IF(Q23=0,MAX(P$6:P23),P23-1))</f>
        <v>0</v>
      </c>
      <c r="Q24" s="309">
        <f t="shared" si="4"/>
        <v>0</v>
      </c>
      <c r="R24" s="175">
        <f>MAX(R$6:R23)-SUM(T$6:T23)</f>
        <v>0</v>
      </c>
      <c r="S24" s="309">
        <f>IF(R24=0,0,IF(T23=0,MAX(S$6:S23),S23-1))</f>
        <v>0</v>
      </c>
      <c r="T24" s="309">
        <f t="shared" si="5"/>
        <v>0</v>
      </c>
      <c r="U24" s="175">
        <v>0</v>
      </c>
      <c r="V24" s="309">
        <f>IF(U24=0,0,IF(W23=0,MAX(V$6:V23),V23-1))</f>
        <v>0</v>
      </c>
      <c r="W24" s="309">
        <f t="shared" si="6"/>
        <v>0</v>
      </c>
      <c r="X24" s="175">
        <f>MAX(X$6:X23)-SUM(Z$6:Z23)</f>
        <v>0</v>
      </c>
      <c r="Y24" s="309">
        <f>IF(X24=0,0,IF(Z23=0,MAX(Y$6:Y23),Y23-1))</f>
        <v>0</v>
      </c>
      <c r="Z24" s="309">
        <f t="shared" si="7"/>
        <v>0</v>
      </c>
      <c r="AA24" s="309">
        <v>0</v>
      </c>
      <c r="AB24" s="309">
        <f>IF(AA24=0,0,IF(AC23=0,MAX(AB$6:AB23),AB23-1))</f>
        <v>0</v>
      </c>
      <c r="AC24" s="309">
        <f t="shared" si="8"/>
        <v>0</v>
      </c>
      <c r="AD24" s="175">
        <v>0</v>
      </c>
      <c r="AE24" s="309">
        <f>IF(AD24=0,0,IF(AF23=0,MAX(AE$6:AE23),AE23-1))</f>
        <v>0</v>
      </c>
      <c r="AF24" s="309">
        <f t="shared" si="9"/>
        <v>0</v>
      </c>
      <c r="AG24" s="175">
        <v>0</v>
      </c>
      <c r="AH24" s="309">
        <f>IF(AG24=0,0,IF(AI23=0,MAX(AH$6:AH23),AH23-1))</f>
        <v>0</v>
      </c>
      <c r="AI24" s="309">
        <f t="shared" si="10"/>
        <v>0</v>
      </c>
      <c r="AJ24" s="178">
        <v>0</v>
      </c>
      <c r="AK24" s="309">
        <f>IF(AJ24=0,0,IF(AL23=0,MAX(AK$6:AK23),AK23-1))</f>
        <v>0</v>
      </c>
      <c r="AL24" s="309">
        <f t="shared" si="11"/>
        <v>0</v>
      </c>
      <c r="AM24" s="178">
        <v>0</v>
      </c>
      <c r="AN24" s="309">
        <f>IF(AM24=0,0,IF(AO23=0,MAX(AN$6:AN23),AN23-1))</f>
        <v>0</v>
      </c>
      <c r="AO24" s="309">
        <f t="shared" si="12"/>
        <v>0</v>
      </c>
      <c r="AP24" s="178">
        <v>0</v>
      </c>
      <c r="AQ24" s="309">
        <f>IF(AP24=0,0,IF(AR23=0,MAX(AQ$6:AQ23),AQ23-1))</f>
        <v>0</v>
      </c>
      <c r="AR24" s="309">
        <f t="shared" si="13"/>
        <v>0</v>
      </c>
      <c r="AS24" s="178">
        <v>0</v>
      </c>
      <c r="AT24" s="309">
        <f>IF(AS24=0,0,IF(AU23=0,MAX(AT$6:AT23),AT23-1))</f>
        <v>0</v>
      </c>
      <c r="AU24" s="309">
        <f t="shared" si="14"/>
        <v>0</v>
      </c>
      <c r="AV24" s="309">
        <v>0</v>
      </c>
      <c r="AW24" s="309">
        <f>IF(AV24=0,0,IF(AX23=0,MAX(AW$6:AW23),AW23-1))</f>
        <v>0</v>
      </c>
      <c r="AX24" s="309">
        <f t="shared" si="15"/>
        <v>0</v>
      </c>
      <c r="AY24" s="178">
        <v>0</v>
      </c>
      <c r="AZ24" s="309">
        <f>IF(AY24=0,0,IF(BA23=0,MAX(AZ$6:AZ23),AZ23-1))</f>
        <v>0</v>
      </c>
      <c r="BA24" s="309">
        <f t="shared" si="16"/>
        <v>0</v>
      </c>
      <c r="BB24" s="309">
        <f t="shared" si="19"/>
        <v>1275000</v>
      </c>
      <c r="BC24" s="309">
        <f t="shared" si="20"/>
        <v>4200000</v>
      </c>
      <c r="BD24" s="309">
        <f t="shared" si="21"/>
        <v>1275000</v>
      </c>
      <c r="BE24" s="309">
        <f t="shared" si="22"/>
        <v>2925000</v>
      </c>
      <c r="BF24" s="309">
        <f>MAX(C$6:C24)+MAX(F$6:F24)+MAX(I$6:I24)+MAX(L$6:L24)+MAX(O$6:O24)+MAX(R$6:R24)+MAX(U$6:U24)+MAX(X$6:X24)+MAX(AA$6:AA24)+MAX(AD$6:AD24)+MAX(AG$6:AG24)+MAX(AJ$6:AJ24)+MAX(AM$6:AM24)+MAX(AP$6:AP24)+MAX(AS$6:AS24)+MAX(AV$6:AV24)+MAX(AY$6:AY24)</f>
        <v>15300000</v>
      </c>
      <c r="BG24" s="309">
        <f>SUM(E$6:E24)+SUM(H$6:H24)+SUM(K$6:K24)+SUM(N$6:N24)+SUM(Q$6:Q24)+SUM(T$6:T24)+SUM(W$6:W24)+SUM(Z$6:Z24)+SUM(AC$6:AC24)+SUM(AF$6:AF24)+SUM(AI$6:AI24)+SUM(AL$6:AL24)+SUM(AO$6:AO24)+SUM(AR$6:AR24)+SUM(AU$6:AU24)+SUM(AX$6:AX24)+SUM(BA$6:BA24)</f>
        <v>12375000</v>
      </c>
      <c r="BH24" s="309">
        <f t="shared" si="23"/>
        <v>2925000</v>
      </c>
      <c r="BI24" s="309">
        <f t="shared" si="24"/>
        <v>0</v>
      </c>
      <c r="BJ24" s="309">
        <f>MAX(I$6:I24)+MAX(O$6:O24)+MAX(R$6:R24)+MAX(U$6:U24)+MAX(AJ$6:AJ24)+MAX(AM$6:AM24)</f>
        <v>0</v>
      </c>
      <c r="BK24" s="309">
        <f>SUM(K$6:K24)+SUM(Q$6:Q24)+SUM(T$6:T24)+SUM(W$6:W24)+SUM(AL$6:AL24)+SUM(AO$6:AO24)</f>
        <v>0</v>
      </c>
      <c r="BL24" s="309">
        <f t="shared" si="25"/>
        <v>0</v>
      </c>
      <c r="BM24" s="309">
        <f>MAX(C$6:C24)+MAX(F$6:F24)+MAX(L$6:L24)+MAX(X$6:X24)+MAX(AA$6:AA24)+MAX(AD$6:AD24)+MAX(AG$6:AG24)+MAX(AP$6:AP24)+MAX(AS$6:AS24)+MAX(AV$6:AV24)+MAX(AY$6:AY24)</f>
        <v>15300000</v>
      </c>
      <c r="BN24" s="309">
        <f>SUM(E$6:E24)+SUM(H$6:H24)+SUM(N$6:N24)+SUM(Z$6:Z24)+SUM(AC$6:AC24)+SUM(AF$6:AF24)+SUM(AI$6:AI24)+SUM(AR$6:AR24)+SUM(AU$6:AU24)+SUM(AX$6:AX24)+SUM(BA$6:BA24)</f>
        <v>12375000</v>
      </c>
      <c r="BO24" s="309">
        <f t="shared" si="26"/>
        <v>2925000</v>
      </c>
      <c r="BP24" s="309">
        <f t="shared" si="27"/>
        <v>15300000</v>
      </c>
      <c r="BQ24" s="309">
        <f t="shared" si="27"/>
        <v>12375000</v>
      </c>
      <c r="BR24" s="309">
        <f t="shared" si="28"/>
        <v>2925000</v>
      </c>
      <c r="BS24" s="309">
        <f t="shared" si="29"/>
        <v>0</v>
      </c>
      <c r="BT24" s="309">
        <f t="shared" si="29"/>
        <v>0</v>
      </c>
      <c r="BU24" s="309">
        <f t="shared" si="30"/>
        <v>0</v>
      </c>
    </row>
    <row r="25" spans="1:73" x14ac:dyDescent="0.35">
      <c r="A25" s="18">
        <v>18</v>
      </c>
      <c r="B25" s="184">
        <v>42551</v>
      </c>
      <c r="C25" s="175">
        <f>MAX(C$6:C24)-SUM(E$6:E24)</f>
        <v>1000000</v>
      </c>
      <c r="D25" s="309">
        <f>IF(C25=0,0,IF(E24=0,MAX(D$6:D24),D24-1))</f>
        <v>1</v>
      </c>
      <c r="E25" s="309">
        <f t="shared" si="0"/>
        <v>1000000</v>
      </c>
      <c r="F25" s="175">
        <f>MAX(F$6:F24)-SUM(H$6:H24)</f>
        <v>1925000</v>
      </c>
      <c r="G25" s="309">
        <f>IF(F25=0,0,IF(H24=0,MAX(G$6:G24),G24-1))</f>
        <v>7</v>
      </c>
      <c r="H25" s="309">
        <f t="shared" si="1"/>
        <v>275000</v>
      </c>
      <c r="I25" s="175">
        <f>MAX(I$6:I24)-SUM(K$6:K24)</f>
        <v>0</v>
      </c>
      <c r="J25" s="309">
        <f>IF(I25=0,0,IF(K24=0,MAX(J$6:J24),J24-1))</f>
        <v>0</v>
      </c>
      <c r="K25" s="309">
        <f t="shared" si="2"/>
        <v>0</v>
      </c>
      <c r="L25" s="175">
        <f>'Inv Adic'!F14</f>
        <v>6600000</v>
      </c>
      <c r="M25" s="309">
        <f>IF(L25=0,0,IF(N24=0,MAX(M$6:M24),M24-1))</f>
        <v>12</v>
      </c>
      <c r="N25" s="309">
        <f t="shared" si="3"/>
        <v>0</v>
      </c>
      <c r="O25" s="178">
        <v>0</v>
      </c>
      <c r="P25" s="309">
        <f>IF(O25=0,0,IF(Q24=0,MAX(P$6:P24),P24-1))</f>
        <v>0</v>
      </c>
      <c r="Q25" s="309">
        <f t="shared" si="4"/>
        <v>0</v>
      </c>
      <c r="R25" s="175">
        <f>MAX(R$6:R24)-SUM(T$6:T24)</f>
        <v>0</v>
      </c>
      <c r="S25" s="309">
        <f>IF(R25=0,0,IF(T24=0,MAX(S$6:S24),S24-1))</f>
        <v>0</v>
      </c>
      <c r="T25" s="309">
        <f t="shared" si="5"/>
        <v>0</v>
      </c>
      <c r="U25" s="175">
        <v>0</v>
      </c>
      <c r="V25" s="309">
        <f>IF(U25=0,0,IF(W24=0,MAX(V$6:V24),V24-1))</f>
        <v>0</v>
      </c>
      <c r="W25" s="309">
        <f t="shared" si="6"/>
        <v>0</v>
      </c>
      <c r="X25" s="175">
        <f>MAX(X$6:X24)-SUM(Z$6:Z24)</f>
        <v>0</v>
      </c>
      <c r="Y25" s="309">
        <f>IF(X25=0,0,IF(Z24=0,MAX(Y$6:Y24),Y24-1))</f>
        <v>0</v>
      </c>
      <c r="Z25" s="309">
        <f t="shared" si="7"/>
        <v>0</v>
      </c>
      <c r="AA25" s="309">
        <v>0</v>
      </c>
      <c r="AB25" s="309">
        <f>IF(AA25=0,0,IF(AC24=0,MAX(AB$6:AB24),AB24-1))</f>
        <v>0</v>
      </c>
      <c r="AC25" s="309">
        <f t="shared" si="8"/>
        <v>0</v>
      </c>
      <c r="AD25" s="175">
        <v>0</v>
      </c>
      <c r="AE25" s="309">
        <f>IF(AD25=0,0,IF(AF24=0,MAX(AE$6:AE24),AE24-1))</f>
        <v>0</v>
      </c>
      <c r="AF25" s="309">
        <f t="shared" si="9"/>
        <v>0</v>
      </c>
      <c r="AG25" s="175">
        <v>0</v>
      </c>
      <c r="AH25" s="309">
        <f>IF(AG25=0,0,IF(AI24=0,MAX(AH$6:AH24),AH24-1))</f>
        <v>0</v>
      </c>
      <c r="AI25" s="309">
        <f t="shared" si="10"/>
        <v>0</v>
      </c>
      <c r="AJ25" s="178">
        <v>0</v>
      </c>
      <c r="AK25" s="309">
        <f>IF(AJ25=0,0,IF(AL24=0,MAX(AK$6:AK24),AK24-1))</f>
        <v>0</v>
      </c>
      <c r="AL25" s="309">
        <f t="shared" si="11"/>
        <v>0</v>
      </c>
      <c r="AM25" s="178">
        <v>0</v>
      </c>
      <c r="AN25" s="309">
        <f>IF(AM25=0,0,IF(AO24=0,MAX(AN$6:AN24),AN24-1))</f>
        <v>0</v>
      </c>
      <c r="AO25" s="309">
        <f t="shared" si="12"/>
        <v>0</v>
      </c>
      <c r="AP25" s="178">
        <v>0</v>
      </c>
      <c r="AQ25" s="309">
        <f>IF(AP25=0,0,IF(AR24=0,MAX(AQ$6:AQ24),AQ24-1))</f>
        <v>0</v>
      </c>
      <c r="AR25" s="309">
        <f t="shared" si="13"/>
        <v>0</v>
      </c>
      <c r="AS25" s="178">
        <v>0</v>
      </c>
      <c r="AT25" s="309">
        <f>IF(AS25=0,0,IF(AU24=0,MAX(AT$6:AT24),AT24-1))</f>
        <v>0</v>
      </c>
      <c r="AU25" s="309">
        <f t="shared" si="14"/>
        <v>0</v>
      </c>
      <c r="AV25" s="309">
        <v>0</v>
      </c>
      <c r="AW25" s="309">
        <f>IF(AV25=0,0,IF(AX24=0,MAX(AW$6:AW24),AW24-1))</f>
        <v>0</v>
      </c>
      <c r="AX25" s="309">
        <f t="shared" si="15"/>
        <v>0</v>
      </c>
      <c r="AY25" s="178">
        <v>0</v>
      </c>
      <c r="AZ25" s="309">
        <f>IF(AY25=0,0,IF(BA24=0,MAX(AZ$6:AZ24),AZ24-1))</f>
        <v>0</v>
      </c>
      <c r="BA25" s="309">
        <f t="shared" si="16"/>
        <v>0</v>
      </c>
      <c r="BB25" s="309">
        <f t="shared" si="19"/>
        <v>1275000</v>
      </c>
      <c r="BC25" s="309">
        <f t="shared" si="20"/>
        <v>9525000</v>
      </c>
      <c r="BD25" s="309">
        <f t="shared" si="21"/>
        <v>1275000</v>
      </c>
      <c r="BE25" s="309">
        <f t="shared" si="22"/>
        <v>8250000</v>
      </c>
      <c r="BF25" s="309">
        <f>MAX(C$6:C25)+MAX(F$6:F25)+MAX(I$6:I25)+MAX(L$6:L25)+MAX(O$6:O25)+MAX(R$6:R25)+MAX(U$6:U25)+MAX(X$6:X25)+MAX(AA$6:AA25)+MAX(AD$6:AD25)+MAX(AG$6:AG25)+MAX(AJ$6:AJ25)+MAX(AM$6:AM25)+MAX(AP$6:AP25)+MAX(AS$6:AS25)+MAX(AV$6:AV25)+MAX(AY$6:AY25)</f>
        <v>21900000</v>
      </c>
      <c r="BG25" s="309">
        <f>SUM(E$6:E25)+SUM(H$6:H25)+SUM(K$6:K25)+SUM(N$6:N25)+SUM(Q$6:Q25)+SUM(T$6:T25)+SUM(W$6:W25)+SUM(Z$6:Z25)+SUM(AC$6:AC25)+SUM(AF$6:AF25)+SUM(AI$6:AI25)+SUM(AL$6:AL25)+SUM(AO$6:AO25)+SUM(AR$6:AR25)+SUM(AU$6:AU25)+SUM(AX$6:AX25)+SUM(BA$6:BA25)</f>
        <v>13650000</v>
      </c>
      <c r="BH25" s="309">
        <f t="shared" si="23"/>
        <v>8250000</v>
      </c>
      <c r="BI25" s="309">
        <f t="shared" si="24"/>
        <v>0</v>
      </c>
      <c r="BJ25" s="309">
        <f>MAX(I$6:I25)+MAX(O$6:O25)+MAX(R$6:R25)+MAX(U$6:U25)+MAX(AJ$6:AJ25)+MAX(AM$6:AM25)</f>
        <v>0</v>
      </c>
      <c r="BK25" s="309">
        <f>SUM(K$6:K25)+SUM(Q$6:Q25)+SUM(T$6:T25)+SUM(W$6:W25)+SUM(AL$6:AL25)+SUM(AO$6:AO25)</f>
        <v>0</v>
      </c>
      <c r="BL25" s="309">
        <f t="shared" si="25"/>
        <v>0</v>
      </c>
      <c r="BM25" s="309">
        <f>MAX(C$6:C25)+MAX(F$6:F25)+MAX(L$6:L25)+MAX(X$6:X25)+MAX(AA$6:AA25)+MAX(AD$6:AD25)+MAX(AG$6:AG25)+MAX(AP$6:AP25)+MAX(AS$6:AS25)+MAX(AV$6:AV25)+MAX(AY$6:AY25)</f>
        <v>21900000</v>
      </c>
      <c r="BN25" s="309">
        <f>SUM(E$6:E25)+SUM(H$6:H25)+SUM(N$6:N25)+SUM(Z$6:Z25)+SUM(AC$6:AC25)+SUM(AF$6:AF25)+SUM(AI$6:AI25)+SUM(AR$6:AR25)+SUM(AU$6:AU25)+SUM(AX$6:AX25)+SUM(BA$6:BA25)</f>
        <v>13650000</v>
      </c>
      <c r="BO25" s="309">
        <f t="shared" si="26"/>
        <v>8250000</v>
      </c>
      <c r="BP25" s="309">
        <f t="shared" si="27"/>
        <v>21900000</v>
      </c>
      <c r="BQ25" s="309">
        <f t="shared" si="27"/>
        <v>13650000</v>
      </c>
      <c r="BR25" s="309">
        <f t="shared" si="28"/>
        <v>8250000</v>
      </c>
      <c r="BS25" s="309">
        <f t="shared" si="29"/>
        <v>0</v>
      </c>
      <c r="BT25" s="309">
        <f t="shared" si="29"/>
        <v>0</v>
      </c>
      <c r="BU25" s="309">
        <f t="shared" si="30"/>
        <v>0</v>
      </c>
    </row>
    <row r="26" spans="1:73" x14ac:dyDescent="0.35">
      <c r="A26" s="18">
        <v>19</v>
      </c>
      <c r="B26" s="184">
        <v>42582</v>
      </c>
      <c r="C26" s="175">
        <f>MAX(C$6:C25)-SUM(E$6:E25)</f>
        <v>0</v>
      </c>
      <c r="D26" s="309">
        <f>IF(C26=0,0,IF(E25=0,MAX(D$6:D25),D25-1))</f>
        <v>0</v>
      </c>
      <c r="E26" s="309">
        <f t="shared" si="0"/>
        <v>0</v>
      </c>
      <c r="F26" s="175">
        <f>MAX(F$6:F25)-SUM(H$6:H25)</f>
        <v>1650000</v>
      </c>
      <c r="G26" s="309">
        <f>IF(F26=0,0,IF(H25=0,MAX(G$6:G25),G25-1))</f>
        <v>6</v>
      </c>
      <c r="H26" s="309">
        <f t="shared" si="1"/>
        <v>275000</v>
      </c>
      <c r="I26" s="175">
        <f>MAX(I$6:I25)-SUM(K$6:K25)</f>
        <v>0</v>
      </c>
      <c r="J26" s="309">
        <f>IF(I26=0,0,IF(K25=0,MAX(J$6:J25),J25-1))</f>
        <v>0</v>
      </c>
      <c r="K26" s="309">
        <f t="shared" si="2"/>
        <v>0</v>
      </c>
      <c r="L26" s="175">
        <f>MAX(L$6:L25)-SUM(N$6:N25)</f>
        <v>6600000</v>
      </c>
      <c r="M26" s="309">
        <f>IF(L26=0,0,IF(N25=0,MAX(M$6:M25),M25-1))</f>
        <v>12</v>
      </c>
      <c r="N26" s="309">
        <f t="shared" si="3"/>
        <v>550000</v>
      </c>
      <c r="O26" s="178">
        <v>0</v>
      </c>
      <c r="P26" s="309">
        <f>IF(O26=0,0,IF(Q25=0,MAX(P$6:P25),P25-1))</f>
        <v>0</v>
      </c>
      <c r="Q26" s="309">
        <f t="shared" si="4"/>
        <v>0</v>
      </c>
      <c r="R26" s="175">
        <f>MAX(R$6:R25)-SUM(T$6:T25)</f>
        <v>0</v>
      </c>
      <c r="S26" s="309">
        <f>IF(R26=0,0,IF(T25=0,MAX(S$6:S25),S25-1))</f>
        <v>0</v>
      </c>
      <c r="T26" s="309">
        <f t="shared" si="5"/>
        <v>0</v>
      </c>
      <c r="U26" s="175">
        <v>0</v>
      </c>
      <c r="V26" s="309">
        <f>IF(U26=0,0,IF(W25=0,MAX(V$6:V25),V25-1))</f>
        <v>0</v>
      </c>
      <c r="W26" s="309">
        <f t="shared" si="6"/>
        <v>0</v>
      </c>
      <c r="X26" s="175">
        <f>MAX(X$6:X25)-SUM(Z$6:Z25)</f>
        <v>0</v>
      </c>
      <c r="Y26" s="309">
        <f>IF(X26=0,0,IF(Z25=0,MAX(Y$6:Y25),Y25-1))</f>
        <v>0</v>
      </c>
      <c r="Z26" s="309">
        <f t="shared" si="7"/>
        <v>0</v>
      </c>
      <c r="AA26" s="309">
        <v>0</v>
      </c>
      <c r="AB26" s="309">
        <f>IF(AA26=0,0,IF(AC25=0,MAX(AB$6:AB25),AB25-1))</f>
        <v>0</v>
      </c>
      <c r="AC26" s="309">
        <f t="shared" si="8"/>
        <v>0</v>
      </c>
      <c r="AD26" s="175">
        <v>0</v>
      </c>
      <c r="AE26" s="309">
        <f>IF(AD26=0,0,IF(AF25=0,MAX(AE$6:AE25),AE25-1))</f>
        <v>0</v>
      </c>
      <c r="AF26" s="309">
        <f t="shared" si="9"/>
        <v>0</v>
      </c>
      <c r="AG26" s="175">
        <v>0</v>
      </c>
      <c r="AH26" s="309">
        <f>IF(AG26=0,0,IF(AI25=0,MAX(AH$6:AH25),AH25-1))</f>
        <v>0</v>
      </c>
      <c r="AI26" s="309">
        <f t="shared" si="10"/>
        <v>0</v>
      </c>
      <c r="AJ26" s="178">
        <v>0</v>
      </c>
      <c r="AK26" s="309">
        <f>IF(AJ26=0,0,IF(AL25=0,MAX(AK$6:AK25),AK25-1))</f>
        <v>0</v>
      </c>
      <c r="AL26" s="309">
        <f t="shared" si="11"/>
        <v>0</v>
      </c>
      <c r="AM26" s="178">
        <v>0</v>
      </c>
      <c r="AN26" s="309">
        <f>IF(AM26=0,0,IF(AO25=0,MAX(AN$6:AN25),AN25-1))</f>
        <v>0</v>
      </c>
      <c r="AO26" s="309">
        <f t="shared" si="12"/>
        <v>0</v>
      </c>
      <c r="AP26" s="178">
        <v>0</v>
      </c>
      <c r="AQ26" s="309">
        <f>IF(AP26=0,0,IF(AR25=0,MAX(AQ$6:AQ25),AQ25-1))</f>
        <v>0</v>
      </c>
      <c r="AR26" s="309">
        <f t="shared" si="13"/>
        <v>0</v>
      </c>
      <c r="AS26" s="178">
        <v>0</v>
      </c>
      <c r="AT26" s="309">
        <f>IF(AS26=0,0,IF(AU25=0,MAX(AT$6:AT25),AT25-1))</f>
        <v>0</v>
      </c>
      <c r="AU26" s="309">
        <f t="shared" si="14"/>
        <v>0</v>
      </c>
      <c r="AV26" s="309">
        <v>0</v>
      </c>
      <c r="AW26" s="309">
        <f>IF(AV26=0,0,IF(AX25=0,MAX(AW$6:AW25),AW25-1))</f>
        <v>0</v>
      </c>
      <c r="AX26" s="309">
        <f t="shared" si="15"/>
        <v>0</v>
      </c>
      <c r="AY26" s="178">
        <v>0</v>
      </c>
      <c r="AZ26" s="309">
        <f>IF(AY26=0,0,IF(BA25=0,MAX(AZ$6:AZ25),AZ25-1))</f>
        <v>0</v>
      </c>
      <c r="BA26" s="309">
        <f t="shared" si="16"/>
        <v>0</v>
      </c>
      <c r="BB26" s="309">
        <f t="shared" si="19"/>
        <v>825000</v>
      </c>
      <c r="BC26" s="309">
        <f t="shared" si="20"/>
        <v>8250000</v>
      </c>
      <c r="BD26" s="309">
        <f t="shared" si="21"/>
        <v>825000</v>
      </c>
      <c r="BE26" s="309">
        <f t="shared" si="22"/>
        <v>7425000</v>
      </c>
      <c r="BF26" s="309">
        <f>MAX(C$6:C26)+MAX(F$6:F26)+MAX(I$6:I26)+MAX(L$6:L26)+MAX(O$6:O26)+MAX(R$6:R26)+MAX(U$6:U26)+MAX(X$6:X26)+MAX(AA$6:AA26)+MAX(AD$6:AD26)+MAX(AG$6:AG26)+MAX(AJ$6:AJ26)+MAX(AM$6:AM26)+MAX(AP$6:AP26)+MAX(AS$6:AS26)+MAX(AV$6:AV26)+MAX(AY$6:AY26)</f>
        <v>21900000</v>
      </c>
      <c r="BG26" s="309">
        <f>SUM(E$6:E26)+SUM(H$6:H26)+SUM(K$6:K26)+SUM(N$6:N26)+SUM(Q$6:Q26)+SUM(T$6:T26)+SUM(W$6:W26)+SUM(Z$6:Z26)+SUM(AC$6:AC26)+SUM(AF$6:AF26)+SUM(AI$6:AI26)+SUM(AL$6:AL26)+SUM(AO$6:AO26)+SUM(AR$6:AR26)+SUM(AU$6:AU26)+SUM(AX$6:AX26)+SUM(BA$6:BA26)</f>
        <v>14475000</v>
      </c>
      <c r="BH26" s="309">
        <f t="shared" si="23"/>
        <v>7425000</v>
      </c>
      <c r="BI26" s="309">
        <f t="shared" si="24"/>
        <v>0</v>
      </c>
      <c r="BJ26" s="309">
        <f>MAX(I$6:I26)+MAX(O$6:O26)+MAX(R$6:R26)+MAX(U$6:U26)+MAX(AJ$6:AJ26)+MAX(AM$6:AM26)</f>
        <v>0</v>
      </c>
      <c r="BK26" s="309">
        <f>SUM(K$6:K26)+SUM(Q$6:Q26)+SUM(T$6:T26)+SUM(W$6:W26)+SUM(AL$6:AL26)+SUM(AO$6:AO26)</f>
        <v>0</v>
      </c>
      <c r="BL26" s="309">
        <f t="shared" si="25"/>
        <v>0</v>
      </c>
      <c r="BM26" s="309">
        <f>MAX(C$6:C26)+MAX(F$6:F26)+MAX(L$6:L26)+MAX(X$6:X26)+MAX(AA$6:AA26)+MAX(AD$6:AD26)+MAX(AG$6:AG26)+MAX(AP$6:AP26)+MAX(AS$6:AS26)+MAX(AV$6:AV26)+MAX(AY$6:AY26)</f>
        <v>21900000</v>
      </c>
      <c r="BN26" s="309">
        <f>SUM(E$6:E26)+SUM(H$6:H26)+SUM(N$6:N26)+SUM(Z$6:Z26)+SUM(AC$6:AC26)+SUM(AF$6:AF26)+SUM(AI$6:AI26)+SUM(AR$6:AR26)+SUM(AU$6:AU26)+SUM(AX$6:AX26)+SUM(BA$6:BA26)</f>
        <v>14475000</v>
      </c>
      <c r="BO26" s="309">
        <f t="shared" si="26"/>
        <v>7425000</v>
      </c>
      <c r="BP26" s="309">
        <f t="shared" si="27"/>
        <v>21900000</v>
      </c>
      <c r="BQ26" s="309">
        <f t="shared" si="27"/>
        <v>14475000</v>
      </c>
      <c r="BR26" s="309">
        <f t="shared" si="28"/>
        <v>7425000</v>
      </c>
      <c r="BS26" s="309">
        <f t="shared" si="29"/>
        <v>0</v>
      </c>
      <c r="BT26" s="309">
        <f t="shared" si="29"/>
        <v>0</v>
      </c>
      <c r="BU26" s="309">
        <f t="shared" si="30"/>
        <v>0</v>
      </c>
    </row>
    <row r="27" spans="1:73" x14ac:dyDescent="0.35">
      <c r="A27" s="18">
        <v>20</v>
      </c>
      <c r="B27" s="184">
        <v>42613</v>
      </c>
      <c r="C27" s="175">
        <f>MAX(C$6:C26)-SUM(E$6:E26)</f>
        <v>0</v>
      </c>
      <c r="D27" s="309">
        <f>IF(C27=0,0,IF(E26=0,MAX(D$6:D26),D26-1))</f>
        <v>0</v>
      </c>
      <c r="E27" s="309">
        <f t="shared" si="0"/>
        <v>0</v>
      </c>
      <c r="F27" s="175">
        <f>MAX(F$6:F26)-SUM(H$6:H26)</f>
        <v>1375000</v>
      </c>
      <c r="G27" s="309">
        <f>IF(F27=0,0,IF(H26=0,MAX(G$6:G26),G26-1))</f>
        <v>5</v>
      </c>
      <c r="H27" s="309">
        <f t="shared" si="1"/>
        <v>275000</v>
      </c>
      <c r="I27" s="175">
        <f>MAX(I$6:I26)-SUM(K$6:K26)</f>
        <v>0</v>
      </c>
      <c r="J27" s="309">
        <f>IF(I27=0,0,IF(K26=0,MAX(J$6:J26),J26-1))</f>
        <v>0</v>
      </c>
      <c r="K27" s="309">
        <f t="shared" si="2"/>
        <v>0</v>
      </c>
      <c r="L27" s="175">
        <f>MAX(L$6:L26)-SUM(N$6:N26)</f>
        <v>6050000</v>
      </c>
      <c r="M27" s="309">
        <f>IF(L27=0,0,IF(N26=0,MAX(M$6:M26),M26-1))</f>
        <v>11</v>
      </c>
      <c r="N27" s="309">
        <f t="shared" si="3"/>
        <v>550000</v>
      </c>
      <c r="O27" s="178">
        <v>0</v>
      </c>
      <c r="P27" s="309">
        <f>IF(O27=0,0,IF(Q26=0,MAX(P$6:P26),P26-1))</f>
        <v>0</v>
      </c>
      <c r="Q27" s="309">
        <f t="shared" si="4"/>
        <v>0</v>
      </c>
      <c r="R27" s="175">
        <f>MAX(R$6:R26)-SUM(T$6:T26)</f>
        <v>0</v>
      </c>
      <c r="S27" s="309">
        <f>IF(R27=0,0,IF(T26=0,MAX(S$6:S26),S26-1))</f>
        <v>0</v>
      </c>
      <c r="T27" s="309">
        <f t="shared" si="5"/>
        <v>0</v>
      </c>
      <c r="U27" s="175">
        <v>0</v>
      </c>
      <c r="V27" s="309">
        <f>IF(U27=0,0,IF(W26=0,MAX(V$6:V26),V26-1))</f>
        <v>0</v>
      </c>
      <c r="W27" s="309">
        <f t="shared" si="6"/>
        <v>0</v>
      </c>
      <c r="X27" s="175">
        <f>MAX(X$6:X26)-SUM(Z$6:Z26)</f>
        <v>0</v>
      </c>
      <c r="Y27" s="309">
        <f>IF(X27=0,0,IF(Z26=0,MAX(Y$6:Y26),Y26-1))</f>
        <v>0</v>
      </c>
      <c r="Z27" s="309">
        <f t="shared" si="7"/>
        <v>0</v>
      </c>
      <c r="AA27" s="309">
        <v>0</v>
      </c>
      <c r="AB27" s="309">
        <f>IF(AA27=0,0,IF(AC26=0,MAX(AB$6:AB26),AB26-1))</f>
        <v>0</v>
      </c>
      <c r="AC27" s="309">
        <f t="shared" si="8"/>
        <v>0</v>
      </c>
      <c r="AD27" s="175">
        <v>0</v>
      </c>
      <c r="AE27" s="309">
        <f>IF(AD27=0,0,IF(AF26=0,MAX(AE$6:AE26),AE26-1))</f>
        <v>0</v>
      </c>
      <c r="AF27" s="309">
        <f t="shared" si="9"/>
        <v>0</v>
      </c>
      <c r="AG27" s="175">
        <v>0</v>
      </c>
      <c r="AH27" s="309">
        <f>IF(AG27=0,0,IF(AI26=0,MAX(AH$6:AH26),AH26-1))</f>
        <v>0</v>
      </c>
      <c r="AI27" s="309">
        <f t="shared" si="10"/>
        <v>0</v>
      </c>
      <c r="AJ27" s="178">
        <v>0</v>
      </c>
      <c r="AK27" s="309">
        <f>IF(AJ27=0,0,IF(AL26=0,MAX(AK$6:AK26),AK26-1))</f>
        <v>0</v>
      </c>
      <c r="AL27" s="309">
        <f t="shared" si="11"/>
        <v>0</v>
      </c>
      <c r="AM27" s="178">
        <v>0</v>
      </c>
      <c r="AN27" s="309">
        <f>IF(AM27=0,0,IF(AO26=0,MAX(AN$6:AN26),AN26-1))</f>
        <v>0</v>
      </c>
      <c r="AO27" s="309">
        <f t="shared" si="12"/>
        <v>0</v>
      </c>
      <c r="AP27" s="178">
        <v>0</v>
      </c>
      <c r="AQ27" s="309">
        <f>IF(AP27=0,0,IF(AR26=0,MAX(AQ$6:AQ26),AQ26-1))</f>
        <v>0</v>
      </c>
      <c r="AR27" s="309">
        <f t="shared" si="13"/>
        <v>0</v>
      </c>
      <c r="AS27" s="178">
        <v>0</v>
      </c>
      <c r="AT27" s="309">
        <f>IF(AS27=0,0,IF(AU26=0,MAX(AT$6:AT26),AT26-1))</f>
        <v>0</v>
      </c>
      <c r="AU27" s="309">
        <f t="shared" si="14"/>
        <v>0</v>
      </c>
      <c r="AV27" s="309">
        <v>0</v>
      </c>
      <c r="AW27" s="309">
        <f>IF(AV27=0,0,IF(AX26=0,MAX(AW$6:AW26),AW26-1))</f>
        <v>0</v>
      </c>
      <c r="AX27" s="309">
        <f t="shared" si="15"/>
        <v>0</v>
      </c>
      <c r="AY27" s="178">
        <v>0</v>
      </c>
      <c r="AZ27" s="309">
        <f>IF(AY27=0,0,IF(BA26=0,MAX(AZ$6:AZ26),AZ26-1))</f>
        <v>0</v>
      </c>
      <c r="BA27" s="309">
        <f t="shared" si="16"/>
        <v>0</v>
      </c>
      <c r="BB27" s="309">
        <f t="shared" si="19"/>
        <v>825000</v>
      </c>
      <c r="BC27" s="309">
        <f t="shared" si="20"/>
        <v>7425000</v>
      </c>
      <c r="BD27" s="309">
        <f t="shared" si="21"/>
        <v>825000</v>
      </c>
      <c r="BE27" s="309">
        <f t="shared" si="22"/>
        <v>6600000</v>
      </c>
      <c r="BF27" s="309">
        <f>MAX(C$6:C27)+MAX(F$6:F27)+MAX(I$6:I27)+MAX(L$6:L27)+MAX(O$6:O27)+MAX(R$6:R27)+MAX(U$6:U27)+MAX(X$6:X27)+MAX(AA$6:AA27)+MAX(AD$6:AD27)+MAX(AG$6:AG27)+MAX(AJ$6:AJ27)+MAX(AM$6:AM27)+MAX(AP$6:AP27)+MAX(AS$6:AS27)+MAX(AV$6:AV27)+MAX(AY$6:AY27)</f>
        <v>21900000</v>
      </c>
      <c r="BG27" s="309">
        <f>SUM(E$6:E27)+SUM(H$6:H27)+SUM(K$6:K27)+SUM(N$6:N27)+SUM(Q$6:Q27)+SUM(T$6:T27)+SUM(W$6:W27)+SUM(Z$6:Z27)+SUM(AC$6:AC27)+SUM(AF$6:AF27)+SUM(AI$6:AI27)+SUM(AL$6:AL27)+SUM(AO$6:AO27)+SUM(AR$6:AR27)+SUM(AU$6:AU27)+SUM(AX$6:AX27)+SUM(BA$6:BA27)</f>
        <v>15300000</v>
      </c>
      <c r="BH27" s="309">
        <f t="shared" si="23"/>
        <v>6600000</v>
      </c>
      <c r="BI27" s="309">
        <f t="shared" si="24"/>
        <v>0</v>
      </c>
      <c r="BJ27" s="309">
        <f>MAX(I$6:I27)+MAX(O$6:O27)+MAX(R$6:R27)+MAX(U$6:U27)+MAX(AJ$6:AJ27)+MAX(AM$6:AM27)</f>
        <v>0</v>
      </c>
      <c r="BK27" s="309">
        <f>SUM(K$6:K27)+SUM(Q$6:Q27)+SUM(T$6:T27)+SUM(W$6:W27)+SUM(AL$6:AL27)+SUM(AO$6:AO27)</f>
        <v>0</v>
      </c>
      <c r="BL27" s="309">
        <f t="shared" si="25"/>
        <v>0</v>
      </c>
      <c r="BM27" s="309">
        <f>MAX(C$6:C27)+MAX(F$6:F27)+MAX(L$6:L27)+MAX(X$6:X27)+MAX(AA$6:AA27)+MAX(AD$6:AD27)+MAX(AG$6:AG27)+MAX(AP$6:AP27)+MAX(AS$6:AS27)+MAX(AV$6:AV27)+MAX(AY$6:AY27)</f>
        <v>21900000</v>
      </c>
      <c r="BN27" s="309">
        <f>SUM(E$6:E27)+SUM(H$6:H27)+SUM(N$6:N27)+SUM(Z$6:Z27)+SUM(AC$6:AC27)+SUM(AF$6:AF27)+SUM(AI$6:AI27)+SUM(AR$6:AR27)+SUM(AU$6:AU27)+SUM(AX$6:AX27)+SUM(BA$6:BA27)</f>
        <v>15300000</v>
      </c>
      <c r="BO27" s="309">
        <f t="shared" si="26"/>
        <v>6600000</v>
      </c>
      <c r="BP27" s="309">
        <f t="shared" si="27"/>
        <v>21900000</v>
      </c>
      <c r="BQ27" s="309">
        <f t="shared" si="27"/>
        <v>15300000</v>
      </c>
      <c r="BR27" s="309">
        <f t="shared" si="28"/>
        <v>6600000</v>
      </c>
      <c r="BS27" s="309">
        <f t="shared" si="29"/>
        <v>0</v>
      </c>
      <c r="BT27" s="309">
        <f t="shared" si="29"/>
        <v>0</v>
      </c>
      <c r="BU27" s="309">
        <f t="shared" si="30"/>
        <v>0</v>
      </c>
    </row>
    <row r="28" spans="1:73" x14ac:dyDescent="0.35">
      <c r="A28" s="18">
        <v>21</v>
      </c>
      <c r="B28" s="184">
        <v>42643</v>
      </c>
      <c r="C28" s="175">
        <f>MAX(C$6:C27)-SUM(E$6:E27)</f>
        <v>0</v>
      </c>
      <c r="D28" s="309">
        <f>IF(C28=0,0,IF(E27=0,MAX(D$6:D27),D27-1))</f>
        <v>0</v>
      </c>
      <c r="E28" s="309">
        <f t="shared" si="0"/>
        <v>0</v>
      </c>
      <c r="F28" s="175">
        <f>MAX(F$6:F27)-SUM(H$6:H27)</f>
        <v>1100000</v>
      </c>
      <c r="G28" s="309">
        <f>IF(F28=0,0,IF(H27=0,MAX(G$6:G27),G27-1))</f>
        <v>4</v>
      </c>
      <c r="H28" s="309">
        <f t="shared" si="1"/>
        <v>275000</v>
      </c>
      <c r="I28" s="175">
        <f>MAX(I$6:I27)-SUM(K$6:K27)</f>
        <v>0</v>
      </c>
      <c r="J28" s="309">
        <f>IF(I28=0,0,IF(K27=0,MAX(J$6:J27),J27-1))</f>
        <v>0</v>
      </c>
      <c r="K28" s="309">
        <f t="shared" si="2"/>
        <v>0</v>
      </c>
      <c r="L28" s="175">
        <f>MAX(L$6:L27)-SUM(N$6:N27)</f>
        <v>5500000</v>
      </c>
      <c r="M28" s="309">
        <f>IF(L28=0,0,IF(N27=0,MAX(M$6:M27),M27-1))</f>
        <v>10</v>
      </c>
      <c r="N28" s="309">
        <f t="shared" si="3"/>
        <v>550000</v>
      </c>
      <c r="O28" s="178">
        <v>0</v>
      </c>
      <c r="P28" s="309">
        <f>IF(O28=0,0,IF(Q27=0,MAX(P$6:P27),P27-1))</f>
        <v>0</v>
      </c>
      <c r="Q28" s="309">
        <f t="shared" si="4"/>
        <v>0</v>
      </c>
      <c r="R28" s="175">
        <f>MAX(R$6:R27)-SUM(T$6:T27)</f>
        <v>0</v>
      </c>
      <c r="S28" s="309">
        <f>IF(R28=0,0,IF(T27=0,MAX(S$6:S27),S27-1))</f>
        <v>0</v>
      </c>
      <c r="T28" s="309">
        <f t="shared" si="5"/>
        <v>0</v>
      </c>
      <c r="U28" s="175">
        <v>0</v>
      </c>
      <c r="V28" s="309">
        <f>IF(U28=0,0,IF(W27=0,MAX(V$6:V27),V27-1))</f>
        <v>0</v>
      </c>
      <c r="W28" s="309">
        <f t="shared" si="6"/>
        <v>0</v>
      </c>
      <c r="X28" s="175">
        <f>MAX(X$6:X27)-SUM(Z$6:Z27)</f>
        <v>0</v>
      </c>
      <c r="Y28" s="309">
        <f>IF(X28=0,0,IF(Z27=0,MAX(Y$6:Y27),Y27-1))</f>
        <v>0</v>
      </c>
      <c r="Z28" s="309">
        <f t="shared" si="7"/>
        <v>0</v>
      </c>
      <c r="AA28" s="309">
        <v>0</v>
      </c>
      <c r="AB28" s="309">
        <f>IF(AA28=0,0,IF(AC27=0,MAX(AB$6:AB27),AB27-1))</f>
        <v>0</v>
      </c>
      <c r="AC28" s="309">
        <f t="shared" si="8"/>
        <v>0</v>
      </c>
      <c r="AD28" s="175">
        <v>0</v>
      </c>
      <c r="AE28" s="309">
        <f>IF(AD28=0,0,IF(AF27=0,MAX(AE$6:AE27),AE27-1))</f>
        <v>0</v>
      </c>
      <c r="AF28" s="309">
        <f t="shared" si="9"/>
        <v>0</v>
      </c>
      <c r="AG28" s="175">
        <v>0</v>
      </c>
      <c r="AH28" s="309">
        <f>IF(AG28=0,0,IF(AI27=0,MAX(AH$6:AH27),AH27-1))</f>
        <v>0</v>
      </c>
      <c r="AI28" s="309">
        <f t="shared" si="10"/>
        <v>0</v>
      </c>
      <c r="AJ28" s="178">
        <v>0</v>
      </c>
      <c r="AK28" s="309">
        <f>IF(AJ28=0,0,IF(AL27=0,MAX(AK$6:AK27),AK27-1))</f>
        <v>0</v>
      </c>
      <c r="AL28" s="309">
        <f t="shared" si="11"/>
        <v>0</v>
      </c>
      <c r="AM28" s="178">
        <v>0</v>
      </c>
      <c r="AN28" s="309">
        <f>IF(AM28=0,0,IF(AO27=0,MAX(AN$6:AN27),AN27-1))</f>
        <v>0</v>
      </c>
      <c r="AO28" s="309">
        <f t="shared" si="12"/>
        <v>0</v>
      </c>
      <c r="AP28" s="178">
        <v>0</v>
      </c>
      <c r="AQ28" s="309">
        <f>IF(AP28=0,0,IF(AR27=0,MAX(AQ$6:AQ27),AQ27-1))</f>
        <v>0</v>
      </c>
      <c r="AR28" s="309">
        <f t="shared" si="13"/>
        <v>0</v>
      </c>
      <c r="AS28" s="178">
        <v>0</v>
      </c>
      <c r="AT28" s="309">
        <f>IF(AS28=0,0,IF(AU27=0,MAX(AT$6:AT27),AT27-1))</f>
        <v>0</v>
      </c>
      <c r="AU28" s="309">
        <f t="shared" si="14"/>
        <v>0</v>
      </c>
      <c r="AV28" s="309">
        <v>0</v>
      </c>
      <c r="AW28" s="309">
        <f>IF(AV28=0,0,IF(AX27=0,MAX(AW$6:AW27),AW27-1))</f>
        <v>0</v>
      </c>
      <c r="AX28" s="309">
        <f t="shared" si="15"/>
        <v>0</v>
      </c>
      <c r="AY28" s="178">
        <v>0</v>
      </c>
      <c r="AZ28" s="309">
        <f>IF(AY28=0,0,IF(BA27=0,MAX(AZ$6:AZ27),AZ27-1))</f>
        <v>0</v>
      </c>
      <c r="BA28" s="309">
        <f t="shared" si="16"/>
        <v>0</v>
      </c>
      <c r="BB28" s="309">
        <f t="shared" si="19"/>
        <v>825000</v>
      </c>
      <c r="BC28" s="309">
        <f t="shared" si="20"/>
        <v>6600000</v>
      </c>
      <c r="BD28" s="309">
        <f t="shared" si="21"/>
        <v>825000</v>
      </c>
      <c r="BE28" s="309">
        <f t="shared" si="22"/>
        <v>5775000</v>
      </c>
      <c r="BF28" s="309">
        <f>MAX(C$6:C28)+MAX(F$6:F28)+MAX(I$6:I28)+MAX(L$6:L28)+MAX(O$6:O28)+MAX(R$6:R28)+MAX(U$6:U28)+MAX(X$6:X28)+MAX(AA$6:AA28)+MAX(AD$6:AD28)+MAX(AG$6:AG28)+MAX(AJ$6:AJ28)+MAX(AM$6:AM28)+MAX(AP$6:AP28)+MAX(AS$6:AS28)+MAX(AV$6:AV28)+MAX(AY$6:AY28)</f>
        <v>21900000</v>
      </c>
      <c r="BG28" s="309">
        <f>SUM(E$6:E28)+SUM(H$6:H28)+SUM(K$6:K28)+SUM(N$6:N28)+SUM(Q$6:Q28)+SUM(T$6:T28)+SUM(W$6:W28)+SUM(Z$6:Z28)+SUM(AC$6:AC28)+SUM(AF$6:AF28)+SUM(AI$6:AI28)+SUM(AL$6:AL28)+SUM(AO$6:AO28)+SUM(AR$6:AR28)+SUM(AU$6:AU28)+SUM(AX$6:AX28)+SUM(BA$6:BA28)</f>
        <v>16125000</v>
      </c>
      <c r="BH28" s="309">
        <f t="shared" si="23"/>
        <v>5775000</v>
      </c>
      <c r="BI28" s="309">
        <f t="shared" si="24"/>
        <v>0</v>
      </c>
      <c r="BJ28" s="309">
        <f>MAX(I$6:I28)+MAX(O$6:O28)+MAX(R$6:R28)+MAX(U$6:U28)+MAX(AJ$6:AJ28)+MAX(AM$6:AM28)</f>
        <v>0</v>
      </c>
      <c r="BK28" s="309">
        <f>SUM(K$6:K28)+SUM(Q$6:Q28)+SUM(T$6:T28)+SUM(W$6:W28)+SUM(AL$6:AL28)+SUM(AO$6:AO28)</f>
        <v>0</v>
      </c>
      <c r="BL28" s="309">
        <f t="shared" si="25"/>
        <v>0</v>
      </c>
      <c r="BM28" s="309">
        <f>MAX(C$6:C28)+MAX(F$6:F28)+MAX(L$6:L28)+MAX(X$6:X28)+MAX(AA$6:AA28)+MAX(AD$6:AD28)+MAX(AG$6:AG28)+MAX(AP$6:AP28)+MAX(AS$6:AS28)+MAX(AV$6:AV28)+MAX(AY$6:AY28)</f>
        <v>21900000</v>
      </c>
      <c r="BN28" s="309">
        <f>SUM(E$6:E28)+SUM(H$6:H28)+SUM(N$6:N28)+SUM(Z$6:Z28)+SUM(AC$6:AC28)+SUM(AF$6:AF28)+SUM(AI$6:AI28)+SUM(AR$6:AR28)+SUM(AU$6:AU28)+SUM(AX$6:AX28)+SUM(BA$6:BA28)</f>
        <v>16125000</v>
      </c>
      <c r="BO28" s="309">
        <f t="shared" si="26"/>
        <v>5775000</v>
      </c>
      <c r="BP28" s="309">
        <f t="shared" si="27"/>
        <v>21900000</v>
      </c>
      <c r="BQ28" s="309">
        <f t="shared" si="27"/>
        <v>16125000</v>
      </c>
      <c r="BR28" s="309">
        <f t="shared" si="28"/>
        <v>5775000</v>
      </c>
      <c r="BS28" s="309">
        <f t="shared" si="29"/>
        <v>0</v>
      </c>
      <c r="BT28" s="309">
        <f t="shared" si="29"/>
        <v>0</v>
      </c>
      <c r="BU28" s="309">
        <f t="shared" si="30"/>
        <v>0</v>
      </c>
    </row>
    <row r="29" spans="1:73" x14ac:dyDescent="0.35">
      <c r="A29" s="18">
        <v>22</v>
      </c>
      <c r="B29" s="184">
        <v>42674</v>
      </c>
      <c r="C29" s="175">
        <f>MAX(C$6:C28)-SUM(E$6:E28)</f>
        <v>0</v>
      </c>
      <c r="D29" s="309">
        <f>IF(C29=0,0,IF(E28=0,MAX(D$6:D28),D28-1))</f>
        <v>0</v>
      </c>
      <c r="E29" s="309">
        <f t="shared" si="0"/>
        <v>0</v>
      </c>
      <c r="F29" s="175">
        <f>MAX(F$6:F28)-SUM(H$6:H28)</f>
        <v>825000</v>
      </c>
      <c r="G29" s="309">
        <f>IF(F29=0,0,IF(H28=0,MAX(G$6:G28),G28-1))</f>
        <v>3</v>
      </c>
      <c r="H29" s="309">
        <f t="shared" si="1"/>
        <v>275000</v>
      </c>
      <c r="I29" s="175">
        <f>MAX(I$6:I28)-SUM(K$6:K28)</f>
        <v>0</v>
      </c>
      <c r="J29" s="309">
        <f>IF(I29=0,0,IF(K28=0,MAX(J$6:J28),J28-1))</f>
        <v>0</v>
      </c>
      <c r="K29" s="309">
        <f t="shared" si="2"/>
        <v>0</v>
      </c>
      <c r="L29" s="175">
        <f>MAX(L$6:L28)-SUM(N$6:N28)</f>
        <v>4950000</v>
      </c>
      <c r="M29" s="309">
        <f>IF(L29=0,0,IF(N28=0,MAX(M$6:M28),M28-1))</f>
        <v>9</v>
      </c>
      <c r="N29" s="309">
        <f t="shared" si="3"/>
        <v>550000</v>
      </c>
      <c r="O29" s="178">
        <v>0</v>
      </c>
      <c r="P29" s="309">
        <f>IF(O29=0,0,IF(Q28=0,MAX(P$6:P28),P28-1))</f>
        <v>0</v>
      </c>
      <c r="Q29" s="309">
        <f t="shared" si="4"/>
        <v>0</v>
      </c>
      <c r="R29" s="175">
        <f>MAX(R$6:R28)-SUM(T$6:T28)</f>
        <v>0</v>
      </c>
      <c r="S29" s="309">
        <f>IF(R29=0,0,IF(T28=0,MAX(S$6:S28),S28-1))</f>
        <v>0</v>
      </c>
      <c r="T29" s="309">
        <f t="shared" si="5"/>
        <v>0</v>
      </c>
      <c r="U29" s="175">
        <v>0</v>
      </c>
      <c r="V29" s="309">
        <f>IF(U29=0,0,IF(W28=0,MAX(V$6:V28),V28-1))</f>
        <v>0</v>
      </c>
      <c r="W29" s="309">
        <f t="shared" si="6"/>
        <v>0</v>
      </c>
      <c r="X29" s="175">
        <f>MAX(X$6:X28)-SUM(Z$6:Z28)</f>
        <v>0</v>
      </c>
      <c r="Y29" s="309">
        <f>IF(X29=0,0,IF(Z28=0,MAX(Y$6:Y28),Y28-1))</f>
        <v>0</v>
      </c>
      <c r="Z29" s="309">
        <f t="shared" si="7"/>
        <v>0</v>
      </c>
      <c r="AA29" s="309">
        <v>0</v>
      </c>
      <c r="AB29" s="309">
        <f>IF(AA29=0,0,IF(AC28=0,MAX(AB$6:AB28),AB28-1))</f>
        <v>0</v>
      </c>
      <c r="AC29" s="309">
        <f t="shared" si="8"/>
        <v>0</v>
      </c>
      <c r="AD29" s="175">
        <v>0</v>
      </c>
      <c r="AE29" s="309">
        <f>IF(AD29=0,0,IF(AF28=0,MAX(AE$6:AE28),AE28-1))</f>
        <v>0</v>
      </c>
      <c r="AF29" s="309">
        <f t="shared" si="9"/>
        <v>0</v>
      </c>
      <c r="AG29" s="175">
        <v>0</v>
      </c>
      <c r="AH29" s="309">
        <f>IF(AG29=0,0,IF(AI28=0,MAX(AH$6:AH28),AH28-1))</f>
        <v>0</v>
      </c>
      <c r="AI29" s="309">
        <f t="shared" si="10"/>
        <v>0</v>
      </c>
      <c r="AJ29" s="178">
        <v>0</v>
      </c>
      <c r="AK29" s="309">
        <f>IF(AJ29=0,0,IF(AL28=0,MAX(AK$6:AK28),AK28-1))</f>
        <v>0</v>
      </c>
      <c r="AL29" s="309">
        <f t="shared" si="11"/>
        <v>0</v>
      </c>
      <c r="AM29" s="178">
        <v>0</v>
      </c>
      <c r="AN29" s="309">
        <f>IF(AM29=0,0,IF(AO28=0,MAX(AN$6:AN28),AN28-1))</f>
        <v>0</v>
      </c>
      <c r="AO29" s="309">
        <f t="shared" si="12"/>
        <v>0</v>
      </c>
      <c r="AP29" s="178">
        <v>0</v>
      </c>
      <c r="AQ29" s="309">
        <f>IF(AP29=0,0,IF(AR28=0,MAX(AQ$6:AQ28),AQ28-1))</f>
        <v>0</v>
      </c>
      <c r="AR29" s="309">
        <f t="shared" si="13"/>
        <v>0</v>
      </c>
      <c r="AS29" s="178">
        <v>0</v>
      </c>
      <c r="AT29" s="309">
        <f>IF(AS29=0,0,IF(AU28=0,MAX(AT$6:AT28),AT28-1))</f>
        <v>0</v>
      </c>
      <c r="AU29" s="309">
        <f t="shared" si="14"/>
        <v>0</v>
      </c>
      <c r="AV29" s="309">
        <v>0</v>
      </c>
      <c r="AW29" s="309">
        <f>IF(AV29=0,0,IF(AX28=0,MAX(AW$6:AW28),AW28-1))</f>
        <v>0</v>
      </c>
      <c r="AX29" s="309">
        <f t="shared" si="15"/>
        <v>0</v>
      </c>
      <c r="AY29" s="178">
        <v>0</v>
      </c>
      <c r="AZ29" s="309">
        <f>IF(AY29=0,0,IF(BA28=0,MAX(AZ$6:AZ28),AZ28-1))</f>
        <v>0</v>
      </c>
      <c r="BA29" s="309">
        <f t="shared" si="16"/>
        <v>0</v>
      </c>
      <c r="BB29" s="309">
        <f t="shared" si="19"/>
        <v>825000</v>
      </c>
      <c r="BC29" s="309">
        <f t="shared" si="20"/>
        <v>5775000</v>
      </c>
      <c r="BD29" s="309">
        <f t="shared" si="21"/>
        <v>825000</v>
      </c>
      <c r="BE29" s="309">
        <f t="shared" si="22"/>
        <v>4950000</v>
      </c>
      <c r="BF29" s="309">
        <f>MAX(C$6:C29)+MAX(F$6:F29)+MAX(I$6:I29)+MAX(L$6:L29)+MAX(O$6:O29)+MAX(R$6:R29)+MAX(U$6:U29)+MAX(X$6:X29)+MAX(AA$6:AA29)+MAX(AD$6:AD29)+MAX(AG$6:AG29)+MAX(AJ$6:AJ29)+MAX(AM$6:AM29)+MAX(AP$6:AP29)+MAX(AS$6:AS29)+MAX(AV$6:AV29)+MAX(AY$6:AY29)</f>
        <v>21900000</v>
      </c>
      <c r="BG29" s="309">
        <f>SUM(E$6:E29)+SUM(H$6:H29)+SUM(K$6:K29)+SUM(N$6:N29)+SUM(Q$6:Q29)+SUM(T$6:T29)+SUM(W$6:W29)+SUM(Z$6:Z29)+SUM(AC$6:AC29)+SUM(AF$6:AF29)+SUM(AI$6:AI29)+SUM(AL$6:AL29)+SUM(AO$6:AO29)+SUM(AR$6:AR29)+SUM(AU$6:AU29)+SUM(AX$6:AX29)+SUM(BA$6:BA29)</f>
        <v>16950000</v>
      </c>
      <c r="BH29" s="309">
        <f t="shared" si="23"/>
        <v>4950000</v>
      </c>
      <c r="BI29" s="309">
        <f t="shared" si="24"/>
        <v>0</v>
      </c>
      <c r="BJ29" s="309">
        <f>MAX(I$6:I29)+MAX(O$6:O29)+MAX(R$6:R29)+MAX(U$6:U29)+MAX(AJ$6:AJ29)+MAX(AM$6:AM29)</f>
        <v>0</v>
      </c>
      <c r="BK29" s="309">
        <f>SUM(K$6:K29)+SUM(Q$6:Q29)+SUM(T$6:T29)+SUM(W$6:W29)+SUM(AL$6:AL29)+SUM(AO$6:AO29)</f>
        <v>0</v>
      </c>
      <c r="BL29" s="309">
        <f t="shared" si="25"/>
        <v>0</v>
      </c>
      <c r="BM29" s="309">
        <f>MAX(C$6:C29)+MAX(F$6:F29)+MAX(L$6:L29)+MAX(X$6:X29)+MAX(AA$6:AA29)+MAX(AD$6:AD29)+MAX(AG$6:AG29)+MAX(AP$6:AP29)+MAX(AS$6:AS29)+MAX(AV$6:AV29)+MAX(AY$6:AY29)</f>
        <v>21900000</v>
      </c>
      <c r="BN29" s="309">
        <f>SUM(E$6:E29)+SUM(H$6:H29)+SUM(N$6:N29)+SUM(Z$6:Z29)+SUM(AC$6:AC29)+SUM(AF$6:AF29)+SUM(AI$6:AI29)+SUM(AR$6:AR29)+SUM(AU$6:AU29)+SUM(AX$6:AX29)+SUM(BA$6:BA29)</f>
        <v>16950000</v>
      </c>
      <c r="BO29" s="309">
        <f t="shared" si="26"/>
        <v>4950000</v>
      </c>
      <c r="BP29" s="309">
        <f t="shared" si="27"/>
        <v>21900000</v>
      </c>
      <c r="BQ29" s="309">
        <f t="shared" si="27"/>
        <v>16950000</v>
      </c>
      <c r="BR29" s="309">
        <f t="shared" si="28"/>
        <v>4950000</v>
      </c>
      <c r="BS29" s="309">
        <f t="shared" si="29"/>
        <v>0</v>
      </c>
      <c r="BT29" s="309">
        <f t="shared" si="29"/>
        <v>0</v>
      </c>
      <c r="BU29" s="309">
        <f t="shared" si="30"/>
        <v>0</v>
      </c>
    </row>
    <row r="30" spans="1:73" x14ac:dyDescent="0.35">
      <c r="A30" s="18">
        <v>23</v>
      </c>
      <c r="B30" s="184">
        <v>42704</v>
      </c>
      <c r="C30" s="175">
        <f>MAX(C$6:C29)-SUM(E$6:E29)</f>
        <v>0</v>
      </c>
      <c r="D30" s="309">
        <f>IF(C30=0,0,IF(E29=0,MAX(D$6:D29),D29-1))</f>
        <v>0</v>
      </c>
      <c r="E30" s="309">
        <f t="shared" si="0"/>
        <v>0</v>
      </c>
      <c r="F30" s="175">
        <f>MAX(F$6:F29)-SUM(H$6:H29)</f>
        <v>550000</v>
      </c>
      <c r="G30" s="309">
        <f>IF(F30=0,0,IF(H29=0,MAX(G$6:G29),G29-1))</f>
        <v>2</v>
      </c>
      <c r="H30" s="309">
        <f t="shared" si="1"/>
        <v>275000</v>
      </c>
      <c r="I30" s="175">
        <f>MAX(I$6:I29)-SUM(K$6:K29)</f>
        <v>0</v>
      </c>
      <c r="J30" s="309">
        <f>IF(I30=0,0,IF(K29=0,MAX(J$6:J29),J29-1))</f>
        <v>0</v>
      </c>
      <c r="K30" s="309">
        <f t="shared" si="2"/>
        <v>0</v>
      </c>
      <c r="L30" s="175">
        <f>MAX(L$6:L29)-SUM(N$6:N29)</f>
        <v>4400000</v>
      </c>
      <c r="M30" s="309">
        <f>IF(L30=0,0,IF(N29=0,MAX(M$6:M29),M29-1))</f>
        <v>8</v>
      </c>
      <c r="N30" s="309">
        <f t="shared" si="3"/>
        <v>550000</v>
      </c>
      <c r="O30" s="178">
        <v>0</v>
      </c>
      <c r="P30" s="309">
        <f>IF(O30=0,0,IF(Q29=0,MAX(P$6:P29),P29-1))</f>
        <v>0</v>
      </c>
      <c r="Q30" s="309">
        <f t="shared" si="4"/>
        <v>0</v>
      </c>
      <c r="R30" s="175">
        <f>MAX(R$6:R29)-SUM(T$6:T29)</f>
        <v>0</v>
      </c>
      <c r="S30" s="309">
        <f>IF(R30=0,0,IF(T29=0,MAX(S$6:S29),S29-1))</f>
        <v>0</v>
      </c>
      <c r="T30" s="309">
        <f t="shared" si="5"/>
        <v>0</v>
      </c>
      <c r="U30" s="175">
        <v>0</v>
      </c>
      <c r="V30" s="309">
        <f>IF(U30=0,0,IF(W29=0,MAX(V$6:V29),V29-1))</f>
        <v>0</v>
      </c>
      <c r="W30" s="309">
        <f t="shared" si="6"/>
        <v>0</v>
      </c>
      <c r="X30" s="175">
        <f>MAX(X$6:X29)-SUM(Z$6:Z29)</f>
        <v>0</v>
      </c>
      <c r="Y30" s="309">
        <f>IF(X30=0,0,IF(Z29=0,MAX(Y$6:Y29),Y29-1))</f>
        <v>0</v>
      </c>
      <c r="Z30" s="309">
        <f t="shared" si="7"/>
        <v>0</v>
      </c>
      <c r="AA30" s="309">
        <v>0</v>
      </c>
      <c r="AB30" s="309">
        <f>IF(AA30=0,0,IF(AC29=0,MAX(AB$6:AB29),AB29-1))</f>
        <v>0</v>
      </c>
      <c r="AC30" s="309">
        <f t="shared" si="8"/>
        <v>0</v>
      </c>
      <c r="AD30" s="175">
        <v>0</v>
      </c>
      <c r="AE30" s="309">
        <f>IF(AD30=0,0,IF(AF29=0,MAX(AE$6:AE29),AE29-1))</f>
        <v>0</v>
      </c>
      <c r="AF30" s="309">
        <f t="shared" si="9"/>
        <v>0</v>
      </c>
      <c r="AG30" s="175">
        <v>0</v>
      </c>
      <c r="AH30" s="309">
        <f>IF(AG30=0,0,IF(AI29=0,MAX(AH$6:AH29),AH29-1))</f>
        <v>0</v>
      </c>
      <c r="AI30" s="309">
        <f t="shared" si="10"/>
        <v>0</v>
      </c>
      <c r="AJ30" s="178">
        <v>0</v>
      </c>
      <c r="AK30" s="309">
        <f>IF(AJ30=0,0,IF(AL29=0,MAX(AK$6:AK29),AK29-1))</f>
        <v>0</v>
      </c>
      <c r="AL30" s="309">
        <f t="shared" si="11"/>
        <v>0</v>
      </c>
      <c r="AM30" s="178">
        <v>0</v>
      </c>
      <c r="AN30" s="309">
        <f>IF(AM30=0,0,IF(AO29=0,MAX(AN$6:AN29),AN29-1))</f>
        <v>0</v>
      </c>
      <c r="AO30" s="309">
        <f t="shared" si="12"/>
        <v>0</v>
      </c>
      <c r="AP30" s="178">
        <v>0</v>
      </c>
      <c r="AQ30" s="309">
        <f>IF(AP30=0,0,IF(AR29=0,MAX(AQ$6:AQ29),AQ29-1))</f>
        <v>0</v>
      </c>
      <c r="AR30" s="309">
        <f t="shared" si="13"/>
        <v>0</v>
      </c>
      <c r="AS30" s="178">
        <v>0</v>
      </c>
      <c r="AT30" s="309">
        <f>IF(AS30=0,0,IF(AU29=0,MAX(AT$6:AT29),AT29-1))</f>
        <v>0</v>
      </c>
      <c r="AU30" s="309">
        <f t="shared" si="14"/>
        <v>0</v>
      </c>
      <c r="AV30" s="309">
        <v>0</v>
      </c>
      <c r="AW30" s="309">
        <f>IF(AV30=0,0,IF(AX29=0,MAX(AW$6:AW29),AW29-1))</f>
        <v>0</v>
      </c>
      <c r="AX30" s="309">
        <f t="shared" si="15"/>
        <v>0</v>
      </c>
      <c r="AY30" s="178">
        <v>0</v>
      </c>
      <c r="AZ30" s="309">
        <f>IF(AY30=0,0,IF(BA29=0,MAX(AZ$6:AZ29),AZ29-1))</f>
        <v>0</v>
      </c>
      <c r="BA30" s="309">
        <f t="shared" si="16"/>
        <v>0</v>
      </c>
      <c r="BB30" s="309">
        <f t="shared" si="19"/>
        <v>825000</v>
      </c>
      <c r="BC30" s="309">
        <f t="shared" si="20"/>
        <v>4950000</v>
      </c>
      <c r="BD30" s="309">
        <f t="shared" si="21"/>
        <v>825000</v>
      </c>
      <c r="BE30" s="309">
        <f t="shared" si="22"/>
        <v>4125000</v>
      </c>
      <c r="BF30" s="309">
        <f>MAX(C$6:C30)+MAX(F$6:F30)+MAX(I$6:I30)+MAX(L$6:L30)+MAX(O$6:O30)+MAX(R$6:R30)+MAX(U$6:U30)+MAX(X$6:X30)+MAX(AA$6:AA30)+MAX(AD$6:AD30)+MAX(AG$6:AG30)+MAX(AJ$6:AJ30)+MAX(AM$6:AM30)+MAX(AP$6:AP30)+MAX(AS$6:AS30)+MAX(AV$6:AV30)+MAX(AY$6:AY30)</f>
        <v>21900000</v>
      </c>
      <c r="BG30" s="309">
        <f>SUM(E$6:E30)+SUM(H$6:H30)+SUM(K$6:K30)+SUM(N$6:N30)+SUM(Q$6:Q30)+SUM(T$6:T30)+SUM(W$6:W30)+SUM(Z$6:Z30)+SUM(AC$6:AC30)+SUM(AF$6:AF30)+SUM(AI$6:AI30)+SUM(AL$6:AL30)+SUM(AO$6:AO30)+SUM(AR$6:AR30)+SUM(AU$6:AU30)+SUM(AX$6:AX30)+SUM(BA$6:BA30)</f>
        <v>17775000</v>
      </c>
      <c r="BH30" s="309">
        <f t="shared" si="23"/>
        <v>4125000</v>
      </c>
      <c r="BI30" s="309">
        <f t="shared" si="24"/>
        <v>0</v>
      </c>
      <c r="BJ30" s="309">
        <f>MAX(I$6:I30)+MAX(O$6:O30)+MAX(R$6:R30)+MAX(U$6:U30)+MAX(AJ$6:AJ30)+MAX(AM$6:AM30)</f>
        <v>0</v>
      </c>
      <c r="BK30" s="309">
        <f>SUM(K$6:K30)+SUM(Q$6:Q30)+SUM(T$6:T30)+SUM(W$6:W30)+SUM(AL$6:AL30)+SUM(AO$6:AO30)</f>
        <v>0</v>
      </c>
      <c r="BL30" s="309">
        <f t="shared" si="25"/>
        <v>0</v>
      </c>
      <c r="BM30" s="309">
        <f>MAX(C$6:C30)+MAX(F$6:F30)+MAX(L$6:L30)+MAX(X$6:X30)+MAX(AA$6:AA30)+MAX(AD$6:AD30)+MAX(AG$6:AG30)+MAX(AP$6:AP30)+MAX(AS$6:AS30)+MAX(AV$6:AV30)+MAX(AY$6:AY30)</f>
        <v>21900000</v>
      </c>
      <c r="BN30" s="309">
        <f>SUM(E$6:E30)+SUM(H$6:H30)+SUM(N$6:N30)+SUM(Z$6:Z30)+SUM(AC$6:AC30)+SUM(AF$6:AF30)+SUM(AI$6:AI30)+SUM(AR$6:AR30)+SUM(AU$6:AU30)+SUM(AX$6:AX30)+SUM(BA$6:BA30)</f>
        <v>17775000</v>
      </c>
      <c r="BO30" s="309">
        <f t="shared" si="26"/>
        <v>4125000</v>
      </c>
      <c r="BP30" s="309">
        <f t="shared" si="27"/>
        <v>21900000</v>
      </c>
      <c r="BQ30" s="309">
        <f t="shared" si="27"/>
        <v>17775000</v>
      </c>
      <c r="BR30" s="309">
        <f t="shared" si="28"/>
        <v>4125000</v>
      </c>
      <c r="BS30" s="309">
        <f t="shared" si="29"/>
        <v>0</v>
      </c>
      <c r="BT30" s="309">
        <f t="shared" si="29"/>
        <v>0</v>
      </c>
      <c r="BU30" s="309">
        <f t="shared" si="30"/>
        <v>0</v>
      </c>
    </row>
    <row r="31" spans="1:73" x14ac:dyDescent="0.35">
      <c r="A31" s="18">
        <v>24</v>
      </c>
      <c r="B31" s="184">
        <v>42735</v>
      </c>
      <c r="C31" s="175">
        <f>MAX(C$6:C30)-SUM(E$6:E30)</f>
        <v>0</v>
      </c>
      <c r="D31" s="309">
        <f>IF(C31=0,0,IF(E30=0,MAX(D$6:D30),D30-1))</f>
        <v>0</v>
      </c>
      <c r="E31" s="309">
        <f t="shared" si="0"/>
        <v>0</v>
      </c>
      <c r="F31" s="175">
        <f>MAX(F$6:F30)-SUM(H$6:H30)</f>
        <v>275000</v>
      </c>
      <c r="G31" s="309">
        <f>IF(F31=0,0,IF(H30=0,MAX(G$6:G30),G30-1))</f>
        <v>1</v>
      </c>
      <c r="H31" s="309">
        <f t="shared" si="1"/>
        <v>275000</v>
      </c>
      <c r="I31" s="175">
        <f>MAX(I$6:I30)-SUM(K$6:K30)</f>
        <v>0</v>
      </c>
      <c r="J31" s="309">
        <f>IF(I31=0,0,IF(K30=0,MAX(J$6:J30),J30-1))</f>
        <v>0</v>
      </c>
      <c r="K31" s="309">
        <f t="shared" si="2"/>
        <v>0</v>
      </c>
      <c r="L31" s="175">
        <f>MAX(L$6:L30)-SUM(N$6:N30)</f>
        <v>3850000</v>
      </c>
      <c r="M31" s="309">
        <f>IF(L31=0,0,IF(N30=0,MAX(M$6:M30),M30-1))</f>
        <v>7</v>
      </c>
      <c r="N31" s="309">
        <f t="shared" si="3"/>
        <v>550000</v>
      </c>
      <c r="O31" s="175">
        <f>'Inv Adic'!G8+'Inv Adic'!G9</f>
        <v>23265000</v>
      </c>
      <c r="P31" s="309">
        <f>IF(O31=0,0,IF(Q30=0,MAX(P$6:P30),P30-1))</f>
        <v>24</v>
      </c>
      <c r="Q31" s="309">
        <f t="shared" si="4"/>
        <v>0</v>
      </c>
      <c r="R31" s="175">
        <f>'Inv Adic'!G10</f>
        <v>9818000</v>
      </c>
      <c r="S31" s="309">
        <f>IF(R31=0,0,IF(T30=0,MAX(S$6:S30),S30-1))</f>
        <v>36</v>
      </c>
      <c r="T31" s="309">
        <f t="shared" si="5"/>
        <v>0</v>
      </c>
      <c r="U31" s="175">
        <f>'Inv Adic'!G11+'Inv Adic'!G12</f>
        <v>4095000</v>
      </c>
      <c r="V31" s="309">
        <f>IF(U31=0,0,IF(W30=0,MAX(V$6:V30),V30-1))</f>
        <v>36</v>
      </c>
      <c r="W31" s="309">
        <f t="shared" si="6"/>
        <v>0</v>
      </c>
      <c r="X31" s="175">
        <f>'Inv Adic'!G13</f>
        <v>3630000</v>
      </c>
      <c r="Y31" s="309">
        <f>IF(X31=0,0,IF(Z30=0,MAX(Y$6:Y30),Y30-1))</f>
        <v>12</v>
      </c>
      <c r="Z31" s="309">
        <f t="shared" si="7"/>
        <v>0</v>
      </c>
      <c r="AA31" s="309">
        <v>0</v>
      </c>
      <c r="AB31" s="309">
        <f>IF(AA31=0,0,IF(AC30=0,MAX(AB$6:AB30),AB30-1))</f>
        <v>0</v>
      </c>
      <c r="AC31" s="309">
        <f t="shared" si="8"/>
        <v>0</v>
      </c>
      <c r="AD31" s="175">
        <v>0</v>
      </c>
      <c r="AE31" s="309">
        <f>IF(AD31=0,0,IF(AF30=0,MAX(AE$6:AE30),AE30-1))</f>
        <v>0</v>
      </c>
      <c r="AF31" s="309">
        <f t="shared" si="9"/>
        <v>0</v>
      </c>
      <c r="AG31" s="175">
        <v>0</v>
      </c>
      <c r="AH31" s="309">
        <f>IF(AG31=0,0,IF(AI30=0,MAX(AH$6:AH30),AH30-1))</f>
        <v>0</v>
      </c>
      <c r="AI31" s="309">
        <f t="shared" si="10"/>
        <v>0</v>
      </c>
      <c r="AJ31" s="175">
        <v>0</v>
      </c>
      <c r="AK31" s="309">
        <f>IF(AJ31=0,0,IF(AL30=0,MAX(AK$6:AK30),AK30-1))</f>
        <v>0</v>
      </c>
      <c r="AL31" s="309">
        <f t="shared" si="11"/>
        <v>0</v>
      </c>
      <c r="AM31" s="175">
        <v>0</v>
      </c>
      <c r="AN31" s="309">
        <f>IF(AM31=0,0,IF(AO30=0,MAX(AN$6:AN30),AN30-1))</f>
        <v>0</v>
      </c>
      <c r="AO31" s="309">
        <f t="shared" si="12"/>
        <v>0</v>
      </c>
      <c r="AP31" s="175">
        <v>0</v>
      </c>
      <c r="AQ31" s="309">
        <f>IF(AP31=0,0,IF(AR30=0,MAX(AQ$6:AQ30),AQ30-1))</f>
        <v>0</v>
      </c>
      <c r="AR31" s="309">
        <f t="shared" si="13"/>
        <v>0</v>
      </c>
      <c r="AS31" s="175">
        <v>0</v>
      </c>
      <c r="AT31" s="309">
        <f>IF(AS31=0,0,IF(AU30=0,MAX(AT$6:AT30),AT30-1))</f>
        <v>0</v>
      </c>
      <c r="AU31" s="309">
        <f t="shared" si="14"/>
        <v>0</v>
      </c>
      <c r="AV31" s="309">
        <v>0</v>
      </c>
      <c r="AW31" s="309">
        <f>IF(AV31=0,0,IF(AX30=0,MAX(AW$6:AW30),AW30-1))</f>
        <v>0</v>
      </c>
      <c r="AX31" s="309">
        <f t="shared" si="15"/>
        <v>0</v>
      </c>
      <c r="AY31" s="175">
        <v>0</v>
      </c>
      <c r="AZ31" s="309">
        <f>IF(AY31=0,0,IF(BA30=0,MAX(AZ$6:AZ30),AZ30-1))</f>
        <v>0</v>
      </c>
      <c r="BA31" s="309">
        <f t="shared" si="16"/>
        <v>0</v>
      </c>
      <c r="BB31" s="309">
        <f t="shared" si="19"/>
        <v>825000</v>
      </c>
      <c r="BC31" s="309">
        <f t="shared" si="20"/>
        <v>44933000</v>
      </c>
      <c r="BD31" s="309">
        <f t="shared" si="21"/>
        <v>825000</v>
      </c>
      <c r="BE31" s="309">
        <f t="shared" si="22"/>
        <v>44108000</v>
      </c>
      <c r="BF31" s="309">
        <f>MAX(C$6:C31)+MAX(F$6:F31)+MAX(I$6:I31)+MAX(L$6:L31)+MAX(O$6:O31)+MAX(R$6:R31)+MAX(U$6:U31)+MAX(X$6:X31)+MAX(AA$6:AA31)+MAX(AD$6:AD31)+MAX(AG$6:AG31)+MAX(AJ$6:AJ31)+MAX(AM$6:AM31)+MAX(AP$6:AP31)+MAX(AS$6:AS31)+MAX(AV$6:AV31)+MAX(AY$6:AY31)</f>
        <v>62708000</v>
      </c>
      <c r="BG31" s="309">
        <f>SUM(E$6:E31)+SUM(H$6:H31)+SUM(K$6:K31)+SUM(N$6:N31)+SUM(Q$6:Q31)+SUM(T$6:T31)+SUM(W$6:W31)+SUM(Z$6:Z31)+SUM(AC$6:AC31)+SUM(AF$6:AF31)+SUM(AI$6:AI31)+SUM(AL$6:AL31)+SUM(AO$6:AO31)+SUM(AR$6:AR31)+SUM(AU$6:AU31)+SUM(AX$6:AX31)+SUM(BA$6:BA31)</f>
        <v>18600000</v>
      </c>
      <c r="BH31" s="309">
        <f t="shared" si="23"/>
        <v>44108000</v>
      </c>
      <c r="BI31" s="309">
        <f t="shared" si="24"/>
        <v>0</v>
      </c>
      <c r="BJ31" s="309">
        <f>MAX(I$6:I31)+MAX(O$6:O31)+MAX(R$6:R31)+MAX(U$6:U31)+MAX(AJ$6:AJ31)+MAX(AM$6:AM31)</f>
        <v>37178000</v>
      </c>
      <c r="BK31" s="309">
        <f>SUM(K$6:K31)+SUM(Q$6:Q31)+SUM(T$6:T31)+SUM(W$6:W31)+SUM(AL$6:AL31)+SUM(AO$6:AO31)</f>
        <v>0</v>
      </c>
      <c r="BL31" s="309">
        <f t="shared" si="25"/>
        <v>37178000</v>
      </c>
      <c r="BM31" s="309">
        <f>MAX(C$6:C31)+MAX(F$6:F31)+MAX(L$6:L31)+MAX(X$6:X31)+MAX(AA$6:AA31)+MAX(AD$6:AD31)+MAX(AG$6:AG31)+MAX(AP$6:AP31)+MAX(AS$6:AS31)+MAX(AV$6:AV31)+MAX(AY$6:AY31)</f>
        <v>25530000</v>
      </c>
      <c r="BN31" s="309">
        <f>SUM(E$6:E31)+SUM(H$6:H31)+SUM(N$6:N31)+SUM(Z$6:Z31)+SUM(AC$6:AC31)+SUM(AF$6:AF31)+SUM(AI$6:AI31)+SUM(AR$6:AR31)+SUM(AU$6:AU31)+SUM(AX$6:AX31)+SUM(BA$6:BA31)</f>
        <v>18600000</v>
      </c>
      <c r="BO31" s="309">
        <f t="shared" si="26"/>
        <v>6930000</v>
      </c>
      <c r="BP31" s="309">
        <f t="shared" si="27"/>
        <v>62708000</v>
      </c>
      <c r="BQ31" s="309">
        <f t="shared" si="27"/>
        <v>18600000</v>
      </c>
      <c r="BR31" s="309">
        <f t="shared" si="28"/>
        <v>44108000</v>
      </c>
      <c r="BS31" s="309">
        <f t="shared" si="29"/>
        <v>0</v>
      </c>
      <c r="BT31" s="309">
        <f t="shared" si="29"/>
        <v>0</v>
      </c>
      <c r="BU31" s="309">
        <f t="shared" si="30"/>
        <v>0</v>
      </c>
    </row>
    <row r="32" spans="1:73" x14ac:dyDescent="0.35">
      <c r="A32" s="18">
        <v>25</v>
      </c>
      <c r="B32" s="184">
        <v>42766</v>
      </c>
      <c r="C32" s="175">
        <f>MAX(C$6:C31)-SUM(E$6:E31)</f>
        <v>0</v>
      </c>
      <c r="D32" s="309">
        <f>IF(C32=0,0,IF(E31=0,MAX(D$6:D31),D31-1))</f>
        <v>0</v>
      </c>
      <c r="E32" s="309">
        <f t="shared" si="0"/>
        <v>0</v>
      </c>
      <c r="F32" s="175">
        <f>MAX(F$6:F31)-SUM(H$6:H31)</f>
        <v>0</v>
      </c>
      <c r="G32" s="309">
        <f>IF(F32=0,0,IF(H31=0,MAX(G$6:G31),G31-1))</f>
        <v>0</v>
      </c>
      <c r="H32" s="309">
        <f t="shared" si="1"/>
        <v>0</v>
      </c>
      <c r="I32" s="175">
        <f>MAX(I$6:I31)-SUM(K$6:K31)</f>
        <v>0</v>
      </c>
      <c r="J32" s="309">
        <f>IF(I32=0,0,IF(K31=0,MAX(J$6:J31),J31-1))</f>
        <v>0</v>
      </c>
      <c r="K32" s="309">
        <f t="shared" si="2"/>
        <v>0</v>
      </c>
      <c r="L32" s="175">
        <f>MAX(L$6:L31)-SUM(N$6:N31)</f>
        <v>3300000</v>
      </c>
      <c r="M32" s="309">
        <f>IF(L32=0,0,IF(N31=0,MAX(M$6:M31),M31-1))</f>
        <v>6</v>
      </c>
      <c r="N32" s="309">
        <f t="shared" si="3"/>
        <v>550000</v>
      </c>
      <c r="O32" s="175">
        <f>MAX(O$6:O31)-SUM(Q$6:Q31)</f>
        <v>23265000</v>
      </c>
      <c r="P32" s="309">
        <f>IF(O32=0,0,IF(Q31=0,MAX(P$6:P31),P31-1))</f>
        <v>24</v>
      </c>
      <c r="Q32" s="309">
        <f t="shared" si="4"/>
        <v>969375</v>
      </c>
      <c r="R32" s="175">
        <f>MAX(R$6:R31)-SUM(T$6:T31)</f>
        <v>9818000</v>
      </c>
      <c r="S32" s="309">
        <f>IF(R32=0,0,IF(T31=0,MAX(S$6:S31),S31-1))</f>
        <v>36</v>
      </c>
      <c r="T32" s="309">
        <f t="shared" si="5"/>
        <v>272722</v>
      </c>
      <c r="U32" s="175">
        <f>MAX(U$6:U31)-SUM(W$6:W31)</f>
        <v>4095000</v>
      </c>
      <c r="V32" s="309">
        <f>IF(U32=0,0,IF(W31=0,MAX(V$6:V31),V31-1))</f>
        <v>36</v>
      </c>
      <c r="W32" s="309">
        <f t="shared" si="6"/>
        <v>113750</v>
      </c>
      <c r="X32" s="175">
        <f>MAX(X$6:X31)-SUM(Z$6:Z31)</f>
        <v>3630000</v>
      </c>
      <c r="Y32" s="309">
        <f>IF(X32=0,0,IF(Z31=0,MAX(Y$6:Y31),Y31-1))</f>
        <v>12</v>
      </c>
      <c r="Z32" s="309">
        <f t="shared" si="7"/>
        <v>302500</v>
      </c>
      <c r="AA32" s="309">
        <v>0</v>
      </c>
      <c r="AB32" s="309">
        <f>IF(AA32=0,0,IF(AC31=0,MAX(AB$6:AB31),AB31-1))</f>
        <v>0</v>
      </c>
      <c r="AC32" s="309">
        <f t="shared" si="8"/>
        <v>0</v>
      </c>
      <c r="AD32" s="175">
        <v>0</v>
      </c>
      <c r="AE32" s="309">
        <f>IF(AD32=0,0,IF(AF31=0,MAX(AE$6:AE31),AE31-1))</f>
        <v>0</v>
      </c>
      <c r="AF32" s="309">
        <f t="shared" si="9"/>
        <v>0</v>
      </c>
      <c r="AG32" s="175">
        <v>0</v>
      </c>
      <c r="AH32" s="309">
        <f>IF(AG32=0,0,IF(AI31=0,MAX(AH$6:AH31),AH31-1))</f>
        <v>0</v>
      </c>
      <c r="AI32" s="309">
        <f t="shared" si="10"/>
        <v>0</v>
      </c>
      <c r="AJ32" s="175">
        <v>0</v>
      </c>
      <c r="AK32" s="309">
        <f>IF(AJ32=0,0,IF(AL31=0,MAX(AK$6:AK31),AK31-1))</f>
        <v>0</v>
      </c>
      <c r="AL32" s="309">
        <f t="shared" si="11"/>
        <v>0</v>
      </c>
      <c r="AM32" s="175">
        <v>0</v>
      </c>
      <c r="AN32" s="309">
        <f>IF(AM32=0,0,IF(AO31=0,MAX(AN$6:AN31),AN31-1))</f>
        <v>0</v>
      </c>
      <c r="AO32" s="309">
        <f t="shared" si="12"/>
        <v>0</v>
      </c>
      <c r="AP32" s="175">
        <v>0</v>
      </c>
      <c r="AQ32" s="309">
        <f>IF(AP32=0,0,IF(AR31=0,MAX(AQ$6:AQ31),AQ31-1))</f>
        <v>0</v>
      </c>
      <c r="AR32" s="309">
        <f t="shared" si="13"/>
        <v>0</v>
      </c>
      <c r="AS32" s="175">
        <v>0</v>
      </c>
      <c r="AT32" s="309">
        <f>IF(AS32=0,0,IF(AU31=0,MAX(AT$6:AT31),AT31-1))</f>
        <v>0</v>
      </c>
      <c r="AU32" s="309">
        <f t="shared" si="14"/>
        <v>0</v>
      </c>
      <c r="AV32" s="309">
        <v>0</v>
      </c>
      <c r="AW32" s="309">
        <f>IF(AV32=0,0,IF(AX31=0,MAX(AW$6:AW31),AW31-1))</f>
        <v>0</v>
      </c>
      <c r="AX32" s="309">
        <f t="shared" si="15"/>
        <v>0</v>
      </c>
      <c r="AY32" s="175">
        <v>0</v>
      </c>
      <c r="AZ32" s="309">
        <f>IF(AY32=0,0,IF(BA31=0,MAX(AZ$6:AZ31),AZ31-1))</f>
        <v>0</v>
      </c>
      <c r="BA32" s="309">
        <f t="shared" si="16"/>
        <v>0</v>
      </c>
      <c r="BB32" s="309">
        <f t="shared" si="19"/>
        <v>2208347</v>
      </c>
      <c r="BC32" s="309">
        <f t="shared" si="20"/>
        <v>44108000</v>
      </c>
      <c r="BD32" s="309">
        <f t="shared" si="21"/>
        <v>2208347</v>
      </c>
      <c r="BE32" s="309">
        <f t="shared" si="22"/>
        <v>41899653</v>
      </c>
      <c r="BF32" s="309">
        <f>MAX(C$6:C32)+MAX(F$6:F32)+MAX(I$6:I32)+MAX(L$6:L32)+MAX(O$6:O32)+MAX(R$6:R32)+MAX(U$6:U32)+MAX(X$6:X32)+MAX(AA$6:AA32)+MAX(AD$6:AD32)+MAX(AG$6:AG32)+MAX(AJ$6:AJ32)+MAX(AM$6:AM32)+MAX(AP$6:AP32)+MAX(AS$6:AS32)+MAX(AV$6:AV32)+MAX(AY$6:AY32)</f>
        <v>62708000</v>
      </c>
      <c r="BG32" s="309">
        <f>SUM(E$6:E32)+SUM(H$6:H32)+SUM(K$6:K32)+SUM(N$6:N32)+SUM(Q$6:Q32)+SUM(T$6:T32)+SUM(W$6:W32)+SUM(Z$6:Z32)+SUM(AC$6:AC32)+SUM(AF$6:AF32)+SUM(AI$6:AI32)+SUM(AL$6:AL32)+SUM(AO$6:AO32)+SUM(AR$6:AR32)+SUM(AU$6:AU32)+SUM(AX$6:AX32)+SUM(BA$6:BA32)</f>
        <v>20808347</v>
      </c>
      <c r="BH32" s="309">
        <f t="shared" si="23"/>
        <v>41899653</v>
      </c>
      <c r="BI32" s="309">
        <f t="shared" si="24"/>
        <v>0</v>
      </c>
      <c r="BJ32" s="309">
        <f>MAX(I$6:I32)+MAX(O$6:O32)+MAX(R$6:R32)+MAX(U$6:U32)+MAX(AJ$6:AJ32)+MAX(AM$6:AM32)</f>
        <v>37178000</v>
      </c>
      <c r="BK32" s="309">
        <f>SUM(K$6:K32)+SUM(Q$6:Q32)+SUM(T$6:T32)+SUM(W$6:W32)+SUM(AL$6:AL32)+SUM(AO$6:AO32)</f>
        <v>1355847</v>
      </c>
      <c r="BL32" s="309">
        <f t="shared" si="25"/>
        <v>35822153</v>
      </c>
      <c r="BM32" s="309">
        <f>MAX(C$6:C32)+MAX(F$6:F32)+MAX(L$6:L32)+MAX(X$6:X32)+MAX(AA$6:AA32)+MAX(AD$6:AD32)+MAX(AG$6:AG32)+MAX(AP$6:AP32)+MAX(AS$6:AS32)+MAX(AV$6:AV32)+MAX(AY$6:AY32)</f>
        <v>25530000</v>
      </c>
      <c r="BN32" s="309">
        <f>SUM(E$6:E32)+SUM(H$6:H32)+SUM(N$6:N32)+SUM(Z$6:Z32)+SUM(AC$6:AC32)+SUM(AF$6:AF32)+SUM(AI$6:AI32)+SUM(AR$6:AR32)+SUM(AU$6:AU32)+SUM(AX$6:AX32)+SUM(BA$6:BA32)</f>
        <v>19452500</v>
      </c>
      <c r="BO32" s="309">
        <f t="shared" si="26"/>
        <v>6077500</v>
      </c>
      <c r="BP32" s="309">
        <f t="shared" si="27"/>
        <v>62708000</v>
      </c>
      <c r="BQ32" s="309">
        <f t="shared" si="27"/>
        <v>20808347</v>
      </c>
      <c r="BR32" s="309">
        <f t="shared" si="28"/>
        <v>41899653</v>
      </c>
      <c r="BS32" s="309">
        <f t="shared" si="29"/>
        <v>0</v>
      </c>
      <c r="BT32" s="309">
        <f t="shared" si="29"/>
        <v>0</v>
      </c>
      <c r="BU32" s="309">
        <f t="shared" si="30"/>
        <v>0</v>
      </c>
    </row>
    <row r="33" spans="1:73" x14ac:dyDescent="0.35">
      <c r="A33" s="18">
        <v>26</v>
      </c>
      <c r="B33" s="184">
        <v>42794</v>
      </c>
      <c r="C33" s="175">
        <f>MAX(C$6:C32)-SUM(E$6:E32)</f>
        <v>0</v>
      </c>
      <c r="D33" s="309">
        <f>IF(C33=0,0,IF(E32=0,MAX(D$6:D32),D32-1))</f>
        <v>0</v>
      </c>
      <c r="E33" s="309">
        <f t="shared" si="0"/>
        <v>0</v>
      </c>
      <c r="F33" s="175">
        <f>MAX(F$6:F32)-SUM(H$6:H32)</f>
        <v>0</v>
      </c>
      <c r="G33" s="309">
        <f>IF(F33=0,0,IF(H32=0,MAX(G$6:G32),G32-1))</f>
        <v>0</v>
      </c>
      <c r="H33" s="309">
        <f t="shared" si="1"/>
        <v>0</v>
      </c>
      <c r="I33" s="175">
        <f>MAX(I$6:I32)-SUM(K$6:K32)</f>
        <v>0</v>
      </c>
      <c r="J33" s="309">
        <f>IF(I33=0,0,IF(K32=0,MAX(J$6:J32),J32-1))</f>
        <v>0</v>
      </c>
      <c r="K33" s="309">
        <f t="shared" si="2"/>
        <v>0</v>
      </c>
      <c r="L33" s="175">
        <f>MAX(L$6:L32)-SUM(N$6:N32)</f>
        <v>2750000</v>
      </c>
      <c r="M33" s="309">
        <f>IF(L33=0,0,IF(N32=0,MAX(M$6:M32),M32-1))</f>
        <v>5</v>
      </c>
      <c r="N33" s="309">
        <f t="shared" si="3"/>
        <v>550000</v>
      </c>
      <c r="O33" s="175">
        <f>MAX(O$6:O32)-SUM(Q$6:Q32)</f>
        <v>22295625</v>
      </c>
      <c r="P33" s="309">
        <f>IF(O33=0,0,IF(Q32=0,MAX(P$6:P32),P32-1))</f>
        <v>23</v>
      </c>
      <c r="Q33" s="309">
        <f t="shared" si="4"/>
        <v>969375</v>
      </c>
      <c r="R33" s="175">
        <f>MAX(R$6:R32)-SUM(T$6:T32)</f>
        <v>9545278</v>
      </c>
      <c r="S33" s="309">
        <f>IF(R33=0,0,IF(T32=0,MAX(S$6:S32),S32-1))</f>
        <v>35</v>
      </c>
      <c r="T33" s="309">
        <f t="shared" si="5"/>
        <v>272722</v>
      </c>
      <c r="U33" s="175">
        <f>MAX(U$6:U32)-SUM(W$6:W32)</f>
        <v>3981250</v>
      </c>
      <c r="V33" s="309">
        <f>IF(U33=0,0,IF(W32=0,MAX(V$6:V32),V32-1))</f>
        <v>35</v>
      </c>
      <c r="W33" s="309">
        <f t="shared" si="6"/>
        <v>113750</v>
      </c>
      <c r="X33" s="175">
        <f>MAX(X$6:X32)-SUM(Z$6:Z32)</f>
        <v>3327500</v>
      </c>
      <c r="Y33" s="309">
        <f>IF(X33=0,0,IF(Z32=0,MAX(Y$6:Y32),Y32-1))</f>
        <v>11</v>
      </c>
      <c r="Z33" s="309">
        <f t="shared" si="7"/>
        <v>302500</v>
      </c>
      <c r="AA33" s="309">
        <v>0</v>
      </c>
      <c r="AB33" s="309">
        <f>IF(AA33=0,0,IF(AC32=0,MAX(AB$6:AB32),AB32-1))</f>
        <v>0</v>
      </c>
      <c r="AC33" s="309">
        <f t="shared" si="8"/>
        <v>0</v>
      </c>
      <c r="AD33" s="175">
        <v>0</v>
      </c>
      <c r="AE33" s="309">
        <f>IF(AD33=0,0,IF(AF32=0,MAX(AE$6:AE32),AE32-1))</f>
        <v>0</v>
      </c>
      <c r="AF33" s="309">
        <f t="shared" si="9"/>
        <v>0</v>
      </c>
      <c r="AG33" s="175">
        <v>0</v>
      </c>
      <c r="AH33" s="309">
        <f>IF(AG33=0,0,IF(AI32=0,MAX(AH$6:AH32),AH32-1))</f>
        <v>0</v>
      </c>
      <c r="AI33" s="309">
        <f t="shared" si="10"/>
        <v>0</v>
      </c>
      <c r="AJ33" s="175">
        <v>0</v>
      </c>
      <c r="AK33" s="309">
        <f>IF(AJ33=0,0,IF(AL32=0,MAX(AK$6:AK32),AK32-1))</f>
        <v>0</v>
      </c>
      <c r="AL33" s="309">
        <f t="shared" si="11"/>
        <v>0</v>
      </c>
      <c r="AM33" s="175">
        <v>0</v>
      </c>
      <c r="AN33" s="309">
        <f>IF(AM33=0,0,IF(AO32=0,MAX(AN$6:AN32),AN32-1))</f>
        <v>0</v>
      </c>
      <c r="AO33" s="309">
        <f t="shared" si="12"/>
        <v>0</v>
      </c>
      <c r="AP33" s="175">
        <v>0</v>
      </c>
      <c r="AQ33" s="309">
        <f>IF(AP33=0,0,IF(AR32=0,MAX(AQ$6:AQ32),AQ32-1))</f>
        <v>0</v>
      </c>
      <c r="AR33" s="309">
        <f t="shared" si="13"/>
        <v>0</v>
      </c>
      <c r="AS33" s="175">
        <v>0</v>
      </c>
      <c r="AT33" s="309">
        <f>IF(AS33=0,0,IF(AU32=0,MAX(AT$6:AT32),AT32-1))</f>
        <v>0</v>
      </c>
      <c r="AU33" s="309">
        <f t="shared" si="14"/>
        <v>0</v>
      </c>
      <c r="AV33" s="309">
        <v>0</v>
      </c>
      <c r="AW33" s="309">
        <f>IF(AV33=0,0,IF(AX32=0,MAX(AW$6:AW32),AW32-1))</f>
        <v>0</v>
      </c>
      <c r="AX33" s="309">
        <f t="shared" si="15"/>
        <v>0</v>
      </c>
      <c r="AY33" s="175">
        <v>0</v>
      </c>
      <c r="AZ33" s="309">
        <f>IF(AY33=0,0,IF(BA32=0,MAX(AZ$6:AZ32),AZ32-1))</f>
        <v>0</v>
      </c>
      <c r="BA33" s="309">
        <f t="shared" si="16"/>
        <v>0</v>
      </c>
      <c r="BB33" s="309">
        <f t="shared" si="19"/>
        <v>2208347</v>
      </c>
      <c r="BC33" s="309">
        <f t="shared" si="20"/>
        <v>41899653</v>
      </c>
      <c r="BD33" s="309">
        <f t="shared" si="21"/>
        <v>2208347</v>
      </c>
      <c r="BE33" s="309">
        <f t="shared" si="22"/>
        <v>39691306</v>
      </c>
      <c r="BF33" s="309">
        <f>MAX(C$6:C33)+MAX(F$6:F33)+MAX(I$6:I33)+MAX(L$6:L33)+MAX(O$6:O33)+MAX(R$6:R33)+MAX(U$6:U33)+MAX(X$6:X33)+MAX(AA$6:AA33)+MAX(AD$6:AD33)+MAX(AG$6:AG33)+MAX(AJ$6:AJ33)+MAX(AM$6:AM33)+MAX(AP$6:AP33)+MAX(AS$6:AS33)+MAX(AV$6:AV33)+MAX(AY$6:AY33)</f>
        <v>62708000</v>
      </c>
      <c r="BG33" s="309">
        <f>SUM(E$6:E33)+SUM(H$6:H33)+SUM(K$6:K33)+SUM(N$6:N33)+SUM(Q$6:Q33)+SUM(T$6:T33)+SUM(W$6:W33)+SUM(Z$6:Z33)+SUM(AC$6:AC33)+SUM(AF$6:AF33)+SUM(AI$6:AI33)+SUM(AL$6:AL33)+SUM(AO$6:AO33)+SUM(AR$6:AR33)+SUM(AU$6:AU33)+SUM(AX$6:AX33)+SUM(BA$6:BA33)</f>
        <v>23016694</v>
      </c>
      <c r="BH33" s="309">
        <f t="shared" si="23"/>
        <v>39691306</v>
      </c>
      <c r="BI33" s="309">
        <f t="shared" si="24"/>
        <v>0</v>
      </c>
      <c r="BJ33" s="309">
        <f>MAX(I$6:I33)+MAX(O$6:O33)+MAX(R$6:R33)+MAX(U$6:U33)+MAX(AJ$6:AJ33)+MAX(AM$6:AM33)</f>
        <v>37178000</v>
      </c>
      <c r="BK33" s="309">
        <f>SUM(K$6:K33)+SUM(Q$6:Q33)+SUM(T$6:T33)+SUM(W$6:W33)+SUM(AL$6:AL33)+SUM(AO$6:AO33)</f>
        <v>2711694</v>
      </c>
      <c r="BL33" s="309">
        <f t="shared" si="25"/>
        <v>34466306</v>
      </c>
      <c r="BM33" s="309">
        <f>MAX(C$6:C33)+MAX(F$6:F33)+MAX(L$6:L33)+MAX(X$6:X33)+MAX(AA$6:AA33)+MAX(AD$6:AD33)+MAX(AG$6:AG33)+MAX(AP$6:AP33)+MAX(AS$6:AS33)+MAX(AV$6:AV33)+MAX(AY$6:AY33)</f>
        <v>25530000</v>
      </c>
      <c r="BN33" s="309">
        <f>SUM(E$6:E33)+SUM(H$6:H33)+SUM(N$6:N33)+SUM(Z$6:Z33)+SUM(AC$6:AC33)+SUM(AF$6:AF33)+SUM(AI$6:AI33)+SUM(AR$6:AR33)+SUM(AU$6:AU33)+SUM(AX$6:AX33)+SUM(BA$6:BA33)</f>
        <v>20305000</v>
      </c>
      <c r="BO33" s="309">
        <f t="shared" si="26"/>
        <v>5225000</v>
      </c>
      <c r="BP33" s="309">
        <f t="shared" si="27"/>
        <v>62708000</v>
      </c>
      <c r="BQ33" s="309">
        <f t="shared" si="27"/>
        <v>23016694</v>
      </c>
      <c r="BR33" s="309">
        <f t="shared" si="28"/>
        <v>39691306</v>
      </c>
      <c r="BS33" s="309">
        <f t="shared" si="29"/>
        <v>0</v>
      </c>
      <c r="BT33" s="309">
        <f t="shared" si="29"/>
        <v>0</v>
      </c>
      <c r="BU33" s="309">
        <f t="shared" si="30"/>
        <v>0</v>
      </c>
    </row>
    <row r="34" spans="1:73" x14ac:dyDescent="0.35">
      <c r="A34" s="18">
        <v>27</v>
      </c>
      <c r="B34" s="184">
        <v>42825</v>
      </c>
      <c r="C34" s="175">
        <f>MAX(C$6:C33)-SUM(E$6:E33)</f>
        <v>0</v>
      </c>
      <c r="D34" s="309">
        <f>IF(C34=0,0,IF(E33=0,MAX(D$6:D33),D33-1))</f>
        <v>0</v>
      </c>
      <c r="E34" s="309">
        <f t="shared" si="0"/>
        <v>0</v>
      </c>
      <c r="F34" s="175">
        <f>MAX(F$6:F33)-SUM(H$6:H33)</f>
        <v>0</v>
      </c>
      <c r="G34" s="309">
        <f>IF(F34=0,0,IF(H33=0,MAX(G$6:G33),G33-1))</f>
        <v>0</v>
      </c>
      <c r="H34" s="309">
        <f t="shared" si="1"/>
        <v>0</v>
      </c>
      <c r="I34" s="175">
        <f>MAX(I$6:I33)-SUM(K$6:K33)</f>
        <v>0</v>
      </c>
      <c r="J34" s="309">
        <f>IF(I34=0,0,IF(K33=0,MAX(J$6:J33),J33-1))</f>
        <v>0</v>
      </c>
      <c r="K34" s="309">
        <f t="shared" si="2"/>
        <v>0</v>
      </c>
      <c r="L34" s="175">
        <f>MAX(L$6:L33)-SUM(N$6:N33)</f>
        <v>2200000</v>
      </c>
      <c r="M34" s="309">
        <f>IF(L34=0,0,IF(N33=0,MAX(M$6:M33),M33-1))</f>
        <v>4</v>
      </c>
      <c r="N34" s="309">
        <f t="shared" si="3"/>
        <v>550000</v>
      </c>
      <c r="O34" s="175">
        <f>MAX(O$6:O33)-SUM(Q$6:Q33)</f>
        <v>21326250</v>
      </c>
      <c r="P34" s="309">
        <f>IF(O34=0,0,IF(Q33=0,MAX(P$6:P33),P33-1))</f>
        <v>22</v>
      </c>
      <c r="Q34" s="309">
        <f t="shared" si="4"/>
        <v>969375</v>
      </c>
      <c r="R34" s="175">
        <f>MAX(R$6:R33)-SUM(T$6:T33)</f>
        <v>9272556</v>
      </c>
      <c r="S34" s="309">
        <f>IF(R34=0,0,IF(T33=0,MAX(S$6:S33),S33-1))</f>
        <v>34</v>
      </c>
      <c r="T34" s="309">
        <f t="shared" si="5"/>
        <v>272722</v>
      </c>
      <c r="U34" s="175">
        <f>MAX(U$6:U33)-SUM(W$6:W33)</f>
        <v>3867500</v>
      </c>
      <c r="V34" s="309">
        <f>IF(U34=0,0,IF(W33=0,MAX(V$6:V33),V33-1))</f>
        <v>34</v>
      </c>
      <c r="W34" s="309">
        <f t="shared" si="6"/>
        <v>113750</v>
      </c>
      <c r="X34" s="175">
        <f>MAX(X$6:X33)-SUM(Z$6:Z33)</f>
        <v>3025000</v>
      </c>
      <c r="Y34" s="309">
        <f>IF(X34=0,0,IF(Z33=0,MAX(Y$6:Y33),Y33-1))</f>
        <v>10</v>
      </c>
      <c r="Z34" s="309">
        <f t="shared" si="7"/>
        <v>302500</v>
      </c>
      <c r="AA34" s="309">
        <v>0</v>
      </c>
      <c r="AB34" s="309">
        <f>IF(AA34=0,0,IF(AC33=0,MAX(AB$6:AB33),AB33-1))</f>
        <v>0</v>
      </c>
      <c r="AC34" s="309">
        <f t="shared" si="8"/>
        <v>0</v>
      </c>
      <c r="AD34" s="175">
        <v>0</v>
      </c>
      <c r="AE34" s="309">
        <f>IF(AD34=0,0,IF(AF33=0,MAX(AE$6:AE33),AE33-1))</f>
        <v>0</v>
      </c>
      <c r="AF34" s="309">
        <f t="shared" si="9"/>
        <v>0</v>
      </c>
      <c r="AG34" s="175">
        <v>0</v>
      </c>
      <c r="AH34" s="309">
        <f>IF(AG34=0,0,IF(AI33=0,MAX(AH$6:AH33),AH33-1))</f>
        <v>0</v>
      </c>
      <c r="AI34" s="309">
        <f t="shared" si="10"/>
        <v>0</v>
      </c>
      <c r="AJ34" s="175">
        <v>0</v>
      </c>
      <c r="AK34" s="309">
        <f>IF(AJ34=0,0,IF(AL33=0,MAX(AK$6:AK33),AK33-1))</f>
        <v>0</v>
      </c>
      <c r="AL34" s="309">
        <f t="shared" si="11"/>
        <v>0</v>
      </c>
      <c r="AM34" s="175">
        <v>0</v>
      </c>
      <c r="AN34" s="309">
        <f>IF(AM34=0,0,IF(AO33=0,MAX(AN$6:AN33),AN33-1))</f>
        <v>0</v>
      </c>
      <c r="AO34" s="309">
        <f t="shared" si="12"/>
        <v>0</v>
      </c>
      <c r="AP34" s="175">
        <v>0</v>
      </c>
      <c r="AQ34" s="309">
        <f>IF(AP34=0,0,IF(AR33=0,MAX(AQ$6:AQ33),AQ33-1))</f>
        <v>0</v>
      </c>
      <c r="AR34" s="309">
        <f t="shared" si="13"/>
        <v>0</v>
      </c>
      <c r="AS34" s="175">
        <v>0</v>
      </c>
      <c r="AT34" s="309">
        <f>IF(AS34=0,0,IF(AU33=0,MAX(AT$6:AT33),AT33-1))</f>
        <v>0</v>
      </c>
      <c r="AU34" s="309">
        <f t="shared" si="14"/>
        <v>0</v>
      </c>
      <c r="AV34" s="309">
        <v>0</v>
      </c>
      <c r="AW34" s="309">
        <f>IF(AV34=0,0,IF(AX33=0,MAX(AW$6:AW33),AW33-1))</f>
        <v>0</v>
      </c>
      <c r="AX34" s="309">
        <f t="shared" si="15"/>
        <v>0</v>
      </c>
      <c r="AY34" s="175">
        <v>0</v>
      </c>
      <c r="AZ34" s="309">
        <f>IF(AY34=0,0,IF(BA33=0,MAX(AZ$6:AZ33),AZ33-1))</f>
        <v>0</v>
      </c>
      <c r="BA34" s="309">
        <f t="shared" si="16"/>
        <v>0</v>
      </c>
      <c r="BB34" s="309">
        <f t="shared" si="19"/>
        <v>2208347</v>
      </c>
      <c r="BC34" s="309">
        <f t="shared" si="20"/>
        <v>39691306</v>
      </c>
      <c r="BD34" s="309">
        <f t="shared" si="21"/>
        <v>2208347</v>
      </c>
      <c r="BE34" s="309">
        <f t="shared" si="22"/>
        <v>37482959</v>
      </c>
      <c r="BF34" s="309">
        <f>MAX(C$6:C34)+MAX(F$6:F34)+MAX(I$6:I34)+MAX(L$6:L34)+MAX(O$6:O34)+MAX(R$6:R34)+MAX(U$6:U34)+MAX(X$6:X34)+MAX(AA$6:AA34)+MAX(AD$6:AD34)+MAX(AG$6:AG34)+MAX(AJ$6:AJ34)+MAX(AM$6:AM34)+MAX(AP$6:AP34)+MAX(AS$6:AS34)+MAX(AV$6:AV34)+MAX(AY$6:AY34)</f>
        <v>62708000</v>
      </c>
      <c r="BG34" s="309">
        <f>SUM(E$6:E34)+SUM(H$6:H34)+SUM(K$6:K34)+SUM(N$6:N34)+SUM(Q$6:Q34)+SUM(T$6:T34)+SUM(W$6:W34)+SUM(Z$6:Z34)+SUM(AC$6:AC34)+SUM(AF$6:AF34)+SUM(AI$6:AI34)+SUM(AL$6:AL34)+SUM(AO$6:AO34)+SUM(AR$6:AR34)+SUM(AU$6:AU34)+SUM(AX$6:AX34)+SUM(BA$6:BA34)</f>
        <v>25225041</v>
      </c>
      <c r="BH34" s="309">
        <f t="shared" si="23"/>
        <v>37482959</v>
      </c>
      <c r="BI34" s="309">
        <f t="shared" si="24"/>
        <v>0</v>
      </c>
      <c r="BJ34" s="309">
        <f>MAX(I$6:I34)+MAX(O$6:O34)+MAX(R$6:R34)+MAX(U$6:U34)+MAX(AJ$6:AJ34)+MAX(AM$6:AM34)</f>
        <v>37178000</v>
      </c>
      <c r="BK34" s="309">
        <f>SUM(K$6:K34)+SUM(Q$6:Q34)+SUM(T$6:T34)+SUM(W$6:W34)+SUM(AL$6:AL34)+SUM(AO$6:AO34)</f>
        <v>4067541</v>
      </c>
      <c r="BL34" s="309">
        <f t="shared" si="25"/>
        <v>33110459</v>
      </c>
      <c r="BM34" s="309">
        <f>MAX(C$6:C34)+MAX(F$6:F34)+MAX(L$6:L34)+MAX(X$6:X34)+MAX(AA$6:AA34)+MAX(AD$6:AD34)+MAX(AG$6:AG34)+MAX(AP$6:AP34)+MAX(AS$6:AS34)+MAX(AV$6:AV34)+MAX(AY$6:AY34)</f>
        <v>25530000</v>
      </c>
      <c r="BN34" s="309">
        <f>SUM(E$6:E34)+SUM(H$6:H34)+SUM(N$6:N34)+SUM(Z$6:Z34)+SUM(AC$6:AC34)+SUM(AF$6:AF34)+SUM(AI$6:AI34)+SUM(AR$6:AR34)+SUM(AU$6:AU34)+SUM(AX$6:AX34)+SUM(BA$6:BA34)</f>
        <v>21157500</v>
      </c>
      <c r="BO34" s="309">
        <f t="shared" si="26"/>
        <v>4372500</v>
      </c>
      <c r="BP34" s="309">
        <f t="shared" si="27"/>
        <v>62708000</v>
      </c>
      <c r="BQ34" s="309">
        <f t="shared" si="27"/>
        <v>25225041</v>
      </c>
      <c r="BR34" s="309">
        <f t="shared" si="28"/>
        <v>37482959</v>
      </c>
      <c r="BS34" s="309">
        <f t="shared" si="29"/>
        <v>0</v>
      </c>
      <c r="BT34" s="309">
        <f t="shared" si="29"/>
        <v>0</v>
      </c>
      <c r="BU34" s="309">
        <f t="shared" si="30"/>
        <v>0</v>
      </c>
    </row>
    <row r="35" spans="1:73" x14ac:dyDescent="0.35">
      <c r="A35" s="18">
        <v>28</v>
      </c>
      <c r="B35" s="184">
        <v>42855</v>
      </c>
      <c r="C35" s="175">
        <f>MAX(C$6:C34)-SUM(E$6:E34)</f>
        <v>0</v>
      </c>
      <c r="D35" s="309">
        <f>IF(C35=0,0,IF(E34=0,MAX(D$6:D34),D34-1))</f>
        <v>0</v>
      </c>
      <c r="E35" s="309">
        <f t="shared" si="0"/>
        <v>0</v>
      </c>
      <c r="F35" s="175">
        <f>MAX(F$6:F34)-SUM(H$6:H34)</f>
        <v>0</v>
      </c>
      <c r="G35" s="309">
        <f>IF(F35=0,0,IF(H34=0,MAX(G$6:G34),G34-1))</f>
        <v>0</v>
      </c>
      <c r="H35" s="309">
        <f t="shared" si="1"/>
        <v>0</v>
      </c>
      <c r="I35" s="175">
        <f>MAX(I$6:I34)-SUM(K$6:K34)</f>
        <v>0</v>
      </c>
      <c r="J35" s="309">
        <f>IF(I35=0,0,IF(K34=0,MAX(J$6:J34),J34-1))</f>
        <v>0</v>
      </c>
      <c r="K35" s="309">
        <f t="shared" si="2"/>
        <v>0</v>
      </c>
      <c r="L35" s="175">
        <f>MAX(L$6:L34)-SUM(N$6:N34)</f>
        <v>1650000</v>
      </c>
      <c r="M35" s="309">
        <f>IF(L35=0,0,IF(N34=0,MAX(M$6:M34),M34-1))</f>
        <v>3</v>
      </c>
      <c r="N35" s="309">
        <f t="shared" si="3"/>
        <v>550000</v>
      </c>
      <c r="O35" s="175">
        <f>MAX(O$6:O34)-SUM(Q$6:Q34)</f>
        <v>20356875</v>
      </c>
      <c r="P35" s="309">
        <f>IF(O35=0,0,IF(Q34=0,MAX(P$6:P34),P34-1))</f>
        <v>21</v>
      </c>
      <c r="Q35" s="309">
        <f t="shared" si="4"/>
        <v>969375</v>
      </c>
      <c r="R35" s="175">
        <f>MAX(R$6:R34)-SUM(T$6:T34)</f>
        <v>8999834</v>
      </c>
      <c r="S35" s="309">
        <f>IF(R35=0,0,IF(T34=0,MAX(S$6:S34),S34-1))</f>
        <v>33</v>
      </c>
      <c r="T35" s="309">
        <f t="shared" si="5"/>
        <v>272722</v>
      </c>
      <c r="U35" s="175">
        <f>MAX(U$6:U34)-SUM(W$6:W34)</f>
        <v>3753750</v>
      </c>
      <c r="V35" s="309">
        <f>IF(U35=0,0,IF(W34=0,MAX(V$6:V34),V34-1))</f>
        <v>33</v>
      </c>
      <c r="W35" s="309">
        <f t="shared" si="6"/>
        <v>113750</v>
      </c>
      <c r="X35" s="175">
        <f>MAX(X$6:X34)-SUM(Z$6:Z34)</f>
        <v>2722500</v>
      </c>
      <c r="Y35" s="309">
        <f>IF(X35=0,0,IF(Z34=0,MAX(Y$6:Y34),Y34-1))</f>
        <v>9</v>
      </c>
      <c r="Z35" s="309">
        <f t="shared" si="7"/>
        <v>302500</v>
      </c>
      <c r="AA35" s="309">
        <v>0</v>
      </c>
      <c r="AB35" s="309">
        <f>IF(AA35=0,0,IF(AC34=0,MAX(AB$6:AB34),AB34-1))</f>
        <v>0</v>
      </c>
      <c r="AC35" s="309">
        <f t="shared" si="8"/>
        <v>0</v>
      </c>
      <c r="AD35" s="175">
        <v>0</v>
      </c>
      <c r="AE35" s="309">
        <f>IF(AD35=0,0,IF(AF34=0,MAX(AE$6:AE34),AE34-1))</f>
        <v>0</v>
      </c>
      <c r="AF35" s="309">
        <f t="shared" si="9"/>
        <v>0</v>
      </c>
      <c r="AG35" s="175">
        <v>0</v>
      </c>
      <c r="AH35" s="309">
        <f>IF(AG35=0,0,IF(AI34=0,MAX(AH$6:AH34),AH34-1))</f>
        <v>0</v>
      </c>
      <c r="AI35" s="309">
        <f t="shared" si="10"/>
        <v>0</v>
      </c>
      <c r="AJ35" s="175">
        <v>0</v>
      </c>
      <c r="AK35" s="309">
        <f>IF(AJ35=0,0,IF(AL34=0,MAX(AK$6:AK34),AK34-1))</f>
        <v>0</v>
      </c>
      <c r="AL35" s="309">
        <f t="shared" si="11"/>
        <v>0</v>
      </c>
      <c r="AM35" s="175">
        <v>0</v>
      </c>
      <c r="AN35" s="309">
        <f>IF(AM35=0,0,IF(AO34=0,MAX(AN$6:AN34),AN34-1))</f>
        <v>0</v>
      </c>
      <c r="AO35" s="309">
        <f t="shared" si="12"/>
        <v>0</v>
      </c>
      <c r="AP35" s="175">
        <v>0</v>
      </c>
      <c r="AQ35" s="309">
        <f>IF(AP35=0,0,IF(AR34=0,MAX(AQ$6:AQ34),AQ34-1))</f>
        <v>0</v>
      </c>
      <c r="AR35" s="309">
        <f t="shared" si="13"/>
        <v>0</v>
      </c>
      <c r="AS35" s="175">
        <v>0</v>
      </c>
      <c r="AT35" s="309">
        <f>IF(AS35=0,0,IF(AU34=0,MAX(AT$6:AT34),AT34-1))</f>
        <v>0</v>
      </c>
      <c r="AU35" s="309">
        <f t="shared" si="14"/>
        <v>0</v>
      </c>
      <c r="AV35" s="309">
        <v>0</v>
      </c>
      <c r="AW35" s="309">
        <f>IF(AV35=0,0,IF(AX34=0,MAX(AW$6:AW34),AW34-1))</f>
        <v>0</v>
      </c>
      <c r="AX35" s="309">
        <f t="shared" si="15"/>
        <v>0</v>
      </c>
      <c r="AY35" s="175">
        <v>0</v>
      </c>
      <c r="AZ35" s="309">
        <f>IF(AY35=0,0,IF(BA34=0,MAX(AZ$6:AZ34),AZ34-1))</f>
        <v>0</v>
      </c>
      <c r="BA35" s="309">
        <f t="shared" si="16"/>
        <v>0</v>
      </c>
      <c r="BB35" s="309">
        <f t="shared" si="19"/>
        <v>2208347</v>
      </c>
      <c r="BC35" s="309">
        <f t="shared" si="20"/>
        <v>37482959</v>
      </c>
      <c r="BD35" s="309">
        <f t="shared" si="21"/>
        <v>2208347</v>
      </c>
      <c r="BE35" s="309">
        <f t="shared" si="22"/>
        <v>35274612</v>
      </c>
      <c r="BF35" s="309">
        <f>MAX(C$6:C35)+MAX(F$6:F35)+MAX(I$6:I35)+MAX(L$6:L35)+MAX(O$6:O35)+MAX(R$6:R35)+MAX(U$6:U35)+MAX(X$6:X35)+MAX(AA$6:AA35)+MAX(AD$6:AD35)+MAX(AG$6:AG35)+MAX(AJ$6:AJ35)+MAX(AM$6:AM35)+MAX(AP$6:AP35)+MAX(AS$6:AS35)+MAX(AV$6:AV35)+MAX(AY$6:AY35)</f>
        <v>62708000</v>
      </c>
      <c r="BG35" s="309">
        <f>SUM(E$6:E35)+SUM(H$6:H35)+SUM(K$6:K35)+SUM(N$6:N35)+SUM(Q$6:Q35)+SUM(T$6:T35)+SUM(W$6:W35)+SUM(Z$6:Z35)+SUM(AC$6:AC35)+SUM(AF$6:AF35)+SUM(AI$6:AI35)+SUM(AL$6:AL35)+SUM(AO$6:AO35)+SUM(AR$6:AR35)+SUM(AU$6:AU35)+SUM(AX$6:AX35)+SUM(BA$6:BA35)</f>
        <v>27433388</v>
      </c>
      <c r="BH35" s="309">
        <f t="shared" si="23"/>
        <v>35274612</v>
      </c>
      <c r="BI35" s="309">
        <f t="shared" si="24"/>
        <v>0</v>
      </c>
      <c r="BJ35" s="309">
        <f>MAX(I$6:I35)+MAX(O$6:O35)+MAX(R$6:R35)+MAX(U$6:U35)+MAX(AJ$6:AJ35)+MAX(AM$6:AM35)</f>
        <v>37178000</v>
      </c>
      <c r="BK35" s="309">
        <f>SUM(K$6:K35)+SUM(Q$6:Q35)+SUM(T$6:T35)+SUM(W$6:W35)+SUM(AL$6:AL35)+SUM(AO$6:AO35)</f>
        <v>5423388</v>
      </c>
      <c r="BL35" s="309">
        <f t="shared" si="25"/>
        <v>31754612</v>
      </c>
      <c r="BM35" s="309">
        <f>MAX(C$6:C35)+MAX(F$6:F35)+MAX(L$6:L35)+MAX(X$6:X35)+MAX(AA$6:AA35)+MAX(AD$6:AD35)+MAX(AG$6:AG35)+MAX(AP$6:AP35)+MAX(AS$6:AS35)+MAX(AV$6:AV35)+MAX(AY$6:AY35)</f>
        <v>25530000</v>
      </c>
      <c r="BN35" s="309">
        <f>SUM(E$6:E35)+SUM(H$6:H35)+SUM(N$6:N35)+SUM(Z$6:Z35)+SUM(AC$6:AC35)+SUM(AF$6:AF35)+SUM(AI$6:AI35)+SUM(AR$6:AR35)+SUM(AU$6:AU35)+SUM(AX$6:AX35)+SUM(BA$6:BA35)</f>
        <v>22010000</v>
      </c>
      <c r="BO35" s="309">
        <f t="shared" si="26"/>
        <v>3520000</v>
      </c>
      <c r="BP35" s="309">
        <f t="shared" si="27"/>
        <v>62708000</v>
      </c>
      <c r="BQ35" s="309">
        <f t="shared" si="27"/>
        <v>27433388</v>
      </c>
      <c r="BR35" s="309">
        <f t="shared" si="28"/>
        <v>35274612</v>
      </c>
      <c r="BS35" s="309">
        <f t="shared" si="29"/>
        <v>0</v>
      </c>
      <c r="BT35" s="309">
        <f t="shared" si="29"/>
        <v>0</v>
      </c>
      <c r="BU35" s="309">
        <f t="shared" si="30"/>
        <v>0</v>
      </c>
    </row>
    <row r="36" spans="1:73" x14ac:dyDescent="0.35">
      <c r="A36" s="18">
        <v>29</v>
      </c>
      <c r="B36" s="184">
        <v>42886</v>
      </c>
      <c r="C36" s="175">
        <f>MAX(C$6:C35)-SUM(E$6:E35)</f>
        <v>0</v>
      </c>
      <c r="D36" s="309">
        <f>IF(C36=0,0,IF(E35=0,MAX(D$6:D35),D35-1))</f>
        <v>0</v>
      </c>
      <c r="E36" s="309">
        <f t="shared" si="0"/>
        <v>0</v>
      </c>
      <c r="F36" s="175">
        <f>MAX(F$6:F35)-SUM(H$6:H35)</f>
        <v>0</v>
      </c>
      <c r="G36" s="309">
        <f>IF(F36=0,0,IF(H35=0,MAX(G$6:G35),G35-1))</f>
        <v>0</v>
      </c>
      <c r="H36" s="309">
        <f t="shared" si="1"/>
        <v>0</v>
      </c>
      <c r="I36" s="175">
        <f>MAX(I$6:I35)-SUM(K$6:K35)</f>
        <v>0</v>
      </c>
      <c r="J36" s="309">
        <f>IF(I36=0,0,IF(K35=0,MAX(J$6:J35),J35-1))</f>
        <v>0</v>
      </c>
      <c r="K36" s="309">
        <f t="shared" si="2"/>
        <v>0</v>
      </c>
      <c r="L36" s="175">
        <f>MAX(L$6:L35)-SUM(N$6:N35)</f>
        <v>1100000</v>
      </c>
      <c r="M36" s="309">
        <f>IF(L36=0,0,IF(N35=0,MAX(M$6:M35),M35-1))</f>
        <v>2</v>
      </c>
      <c r="N36" s="309">
        <f t="shared" si="3"/>
        <v>550000</v>
      </c>
      <c r="O36" s="175">
        <f>MAX(O$6:O35)-SUM(Q$6:Q35)</f>
        <v>19387500</v>
      </c>
      <c r="P36" s="309">
        <f>IF(O36=0,0,IF(Q35=0,MAX(P$6:P35),P35-1))</f>
        <v>20</v>
      </c>
      <c r="Q36" s="309">
        <f t="shared" si="4"/>
        <v>969375</v>
      </c>
      <c r="R36" s="175">
        <f>MAX(R$6:R35)-SUM(T$6:T35)</f>
        <v>8727112</v>
      </c>
      <c r="S36" s="309">
        <f>IF(R36=0,0,IF(T35=0,MAX(S$6:S35),S35-1))</f>
        <v>32</v>
      </c>
      <c r="T36" s="309">
        <f t="shared" si="5"/>
        <v>272722</v>
      </c>
      <c r="U36" s="175">
        <f>MAX(U$6:U35)-SUM(W$6:W35)</f>
        <v>3640000</v>
      </c>
      <c r="V36" s="309">
        <f>IF(U36=0,0,IF(W35=0,MAX(V$6:V35),V35-1))</f>
        <v>32</v>
      </c>
      <c r="W36" s="309">
        <f t="shared" si="6"/>
        <v>113750</v>
      </c>
      <c r="X36" s="175">
        <f>MAX(X$6:X35)-SUM(Z$6:Z35)</f>
        <v>2420000</v>
      </c>
      <c r="Y36" s="309">
        <f>IF(X36=0,0,IF(Z35=0,MAX(Y$6:Y35),Y35-1))</f>
        <v>8</v>
      </c>
      <c r="Z36" s="309">
        <f t="shared" si="7"/>
        <v>302500</v>
      </c>
      <c r="AA36" s="309">
        <v>0</v>
      </c>
      <c r="AB36" s="309">
        <f>IF(AA36=0,0,IF(AC35=0,MAX(AB$6:AB35),AB35-1))</f>
        <v>0</v>
      </c>
      <c r="AC36" s="309">
        <f t="shared" si="8"/>
        <v>0</v>
      </c>
      <c r="AD36" s="175">
        <v>0</v>
      </c>
      <c r="AE36" s="309">
        <f>IF(AD36=0,0,IF(AF35=0,MAX(AE$6:AE35),AE35-1))</f>
        <v>0</v>
      </c>
      <c r="AF36" s="309">
        <f t="shared" si="9"/>
        <v>0</v>
      </c>
      <c r="AG36" s="175">
        <v>0</v>
      </c>
      <c r="AH36" s="309">
        <f>IF(AG36=0,0,IF(AI35=0,MAX(AH$6:AH35),AH35-1))</f>
        <v>0</v>
      </c>
      <c r="AI36" s="309">
        <f t="shared" si="10"/>
        <v>0</v>
      </c>
      <c r="AJ36" s="175">
        <v>0</v>
      </c>
      <c r="AK36" s="309">
        <f>IF(AJ36=0,0,IF(AL35=0,MAX(AK$6:AK35),AK35-1))</f>
        <v>0</v>
      </c>
      <c r="AL36" s="309">
        <f t="shared" si="11"/>
        <v>0</v>
      </c>
      <c r="AM36" s="175">
        <v>0</v>
      </c>
      <c r="AN36" s="309">
        <f>IF(AM36=0,0,IF(AO35=0,MAX(AN$6:AN35),AN35-1))</f>
        <v>0</v>
      </c>
      <c r="AO36" s="309">
        <f t="shared" si="12"/>
        <v>0</v>
      </c>
      <c r="AP36" s="175">
        <v>0</v>
      </c>
      <c r="AQ36" s="309">
        <f>IF(AP36=0,0,IF(AR35=0,MAX(AQ$6:AQ35),AQ35-1))</f>
        <v>0</v>
      </c>
      <c r="AR36" s="309">
        <f t="shared" si="13"/>
        <v>0</v>
      </c>
      <c r="AS36" s="175">
        <v>0</v>
      </c>
      <c r="AT36" s="309">
        <f>IF(AS36=0,0,IF(AU35=0,MAX(AT$6:AT35),AT35-1))</f>
        <v>0</v>
      </c>
      <c r="AU36" s="309">
        <f t="shared" si="14"/>
        <v>0</v>
      </c>
      <c r="AV36" s="309">
        <v>0</v>
      </c>
      <c r="AW36" s="309">
        <f>IF(AV36=0,0,IF(AX35=0,MAX(AW$6:AW35),AW35-1))</f>
        <v>0</v>
      </c>
      <c r="AX36" s="309">
        <f t="shared" si="15"/>
        <v>0</v>
      </c>
      <c r="AY36" s="175">
        <v>0</v>
      </c>
      <c r="AZ36" s="309">
        <f>IF(AY36=0,0,IF(BA35=0,MAX(AZ$6:AZ35),AZ35-1))</f>
        <v>0</v>
      </c>
      <c r="BA36" s="309">
        <f t="shared" si="16"/>
        <v>0</v>
      </c>
      <c r="BB36" s="309">
        <f t="shared" si="19"/>
        <v>2208347</v>
      </c>
      <c r="BC36" s="309">
        <f t="shared" si="20"/>
        <v>35274612</v>
      </c>
      <c r="BD36" s="309">
        <f t="shared" si="21"/>
        <v>2208347</v>
      </c>
      <c r="BE36" s="309">
        <f t="shared" si="22"/>
        <v>33066265</v>
      </c>
      <c r="BF36" s="309">
        <f>MAX(C$6:C36)+MAX(F$6:F36)+MAX(I$6:I36)+MAX(L$6:L36)+MAX(O$6:O36)+MAX(R$6:R36)+MAX(U$6:U36)+MAX(X$6:X36)+MAX(AA$6:AA36)+MAX(AD$6:AD36)+MAX(AG$6:AG36)+MAX(AJ$6:AJ36)+MAX(AM$6:AM36)+MAX(AP$6:AP36)+MAX(AS$6:AS36)+MAX(AV$6:AV36)+MAX(AY$6:AY36)</f>
        <v>62708000</v>
      </c>
      <c r="BG36" s="309">
        <f>SUM(E$6:E36)+SUM(H$6:H36)+SUM(K$6:K36)+SUM(N$6:N36)+SUM(Q$6:Q36)+SUM(T$6:T36)+SUM(W$6:W36)+SUM(Z$6:Z36)+SUM(AC$6:AC36)+SUM(AF$6:AF36)+SUM(AI$6:AI36)+SUM(AL$6:AL36)+SUM(AO$6:AO36)+SUM(AR$6:AR36)+SUM(AU$6:AU36)+SUM(AX$6:AX36)+SUM(BA$6:BA36)</f>
        <v>29641735</v>
      </c>
      <c r="BH36" s="309">
        <f t="shared" si="23"/>
        <v>33066265</v>
      </c>
      <c r="BI36" s="309">
        <f t="shared" si="24"/>
        <v>0</v>
      </c>
      <c r="BJ36" s="309">
        <f>MAX(I$6:I36)+MAX(O$6:O36)+MAX(R$6:R36)+MAX(U$6:U36)+MAX(AJ$6:AJ36)+MAX(AM$6:AM36)</f>
        <v>37178000</v>
      </c>
      <c r="BK36" s="309">
        <f>SUM(K$6:K36)+SUM(Q$6:Q36)+SUM(T$6:T36)+SUM(W$6:W36)+SUM(AL$6:AL36)+SUM(AO$6:AO36)</f>
        <v>6779235</v>
      </c>
      <c r="BL36" s="309">
        <f t="shared" si="25"/>
        <v>30398765</v>
      </c>
      <c r="BM36" s="309">
        <f>MAX(C$6:C36)+MAX(F$6:F36)+MAX(L$6:L36)+MAX(X$6:X36)+MAX(AA$6:AA36)+MAX(AD$6:AD36)+MAX(AG$6:AG36)+MAX(AP$6:AP36)+MAX(AS$6:AS36)+MAX(AV$6:AV36)+MAX(AY$6:AY36)</f>
        <v>25530000</v>
      </c>
      <c r="BN36" s="309">
        <f>SUM(E$6:E36)+SUM(H$6:H36)+SUM(N$6:N36)+SUM(Z$6:Z36)+SUM(AC$6:AC36)+SUM(AF$6:AF36)+SUM(AI$6:AI36)+SUM(AR$6:AR36)+SUM(AU$6:AU36)+SUM(AX$6:AX36)+SUM(BA$6:BA36)</f>
        <v>22862500</v>
      </c>
      <c r="BO36" s="309">
        <f t="shared" si="26"/>
        <v>2667500</v>
      </c>
      <c r="BP36" s="309">
        <f t="shared" si="27"/>
        <v>62708000</v>
      </c>
      <c r="BQ36" s="309">
        <f t="shared" si="27"/>
        <v>29641735</v>
      </c>
      <c r="BR36" s="309">
        <f t="shared" si="28"/>
        <v>33066265</v>
      </c>
      <c r="BS36" s="309">
        <f t="shared" si="29"/>
        <v>0</v>
      </c>
      <c r="BT36" s="309">
        <f t="shared" si="29"/>
        <v>0</v>
      </c>
      <c r="BU36" s="309">
        <f t="shared" si="30"/>
        <v>0</v>
      </c>
    </row>
    <row r="37" spans="1:73" x14ac:dyDescent="0.35">
      <c r="A37" s="18">
        <v>30</v>
      </c>
      <c r="B37" s="184">
        <v>42916</v>
      </c>
      <c r="C37" s="175">
        <f>MAX(C$6:C36)-SUM(E$6:E36)</f>
        <v>0</v>
      </c>
      <c r="D37" s="309">
        <f>IF(C37=0,0,IF(E36=0,MAX(D$6:D36),D36-1))</f>
        <v>0</v>
      </c>
      <c r="E37" s="309">
        <f t="shared" si="0"/>
        <v>0</v>
      </c>
      <c r="F37" s="175">
        <f>MAX(F$6:F36)-SUM(H$6:H36)</f>
        <v>0</v>
      </c>
      <c r="G37" s="309">
        <f>IF(F37=0,0,IF(H36=0,MAX(G$6:G36),G36-1))</f>
        <v>0</v>
      </c>
      <c r="H37" s="309">
        <f t="shared" si="1"/>
        <v>0</v>
      </c>
      <c r="I37" s="175">
        <f>MAX(I$6:I36)-SUM(K$6:K36)</f>
        <v>0</v>
      </c>
      <c r="J37" s="309">
        <f>IF(I37=0,0,IF(K36=0,MAX(J$6:J36),J36-1))</f>
        <v>0</v>
      </c>
      <c r="K37" s="309">
        <f t="shared" si="2"/>
        <v>0</v>
      </c>
      <c r="L37" s="175">
        <f>MAX(L$6:L36)-SUM(N$6:N36)</f>
        <v>550000</v>
      </c>
      <c r="M37" s="309">
        <f>IF(L37=0,0,IF(N36=0,MAX(M$6:M36),M36-1))</f>
        <v>1</v>
      </c>
      <c r="N37" s="309">
        <f t="shared" si="3"/>
        <v>550000</v>
      </c>
      <c r="O37" s="175">
        <f>MAX(O$6:O36)-SUM(Q$6:Q36)</f>
        <v>18418125</v>
      </c>
      <c r="P37" s="309">
        <f>IF(O37=0,0,IF(Q36=0,MAX(P$6:P36),P36-1))</f>
        <v>19</v>
      </c>
      <c r="Q37" s="309">
        <f t="shared" si="4"/>
        <v>969375</v>
      </c>
      <c r="R37" s="175">
        <f>MAX(R$6:R36)-SUM(T$6:T36)</f>
        <v>8454390</v>
      </c>
      <c r="S37" s="309">
        <f>IF(R37=0,0,IF(T36=0,MAX(S$6:S36),S36-1))</f>
        <v>31</v>
      </c>
      <c r="T37" s="309">
        <f t="shared" si="5"/>
        <v>272722</v>
      </c>
      <c r="U37" s="175">
        <f>MAX(U$6:U36)-SUM(W$6:W36)</f>
        <v>3526250</v>
      </c>
      <c r="V37" s="309">
        <f>IF(U37=0,0,IF(W36=0,MAX(V$6:V36),V36-1))</f>
        <v>31</v>
      </c>
      <c r="W37" s="309">
        <f t="shared" si="6"/>
        <v>113750</v>
      </c>
      <c r="X37" s="175">
        <f>MAX(X$6:X36)-SUM(Z$6:Z36)</f>
        <v>2117500</v>
      </c>
      <c r="Y37" s="309">
        <f>IF(X37=0,0,IF(Z36=0,MAX(Y$6:Y36),Y36-1))</f>
        <v>7</v>
      </c>
      <c r="Z37" s="309">
        <f t="shared" si="7"/>
        <v>302500</v>
      </c>
      <c r="AA37" s="175">
        <f>'Inv Adic'!H14</f>
        <v>7260000</v>
      </c>
      <c r="AB37" s="309">
        <f>IF(AA37=0,0,IF(AC36=0,MAX(AB$6:AB36),AB36-1))</f>
        <v>12</v>
      </c>
      <c r="AC37" s="309">
        <f t="shared" si="8"/>
        <v>0</v>
      </c>
      <c r="AD37" s="175">
        <v>0</v>
      </c>
      <c r="AE37" s="309">
        <f>IF(AD37=0,0,IF(AF36=0,MAX(AE$6:AE36),AE36-1))</f>
        <v>0</v>
      </c>
      <c r="AF37" s="309">
        <f t="shared" si="9"/>
        <v>0</v>
      </c>
      <c r="AG37" s="175">
        <v>0</v>
      </c>
      <c r="AH37" s="309">
        <f>IF(AG37=0,0,IF(AI36=0,MAX(AH$6:AH36),AH36-1))</f>
        <v>0</v>
      </c>
      <c r="AI37" s="309">
        <f t="shared" si="10"/>
        <v>0</v>
      </c>
      <c r="AJ37" s="175">
        <v>0</v>
      </c>
      <c r="AK37" s="309">
        <f>IF(AJ37=0,0,IF(AL36=0,MAX(AK$6:AK36),AK36-1))</f>
        <v>0</v>
      </c>
      <c r="AL37" s="309">
        <f t="shared" si="11"/>
        <v>0</v>
      </c>
      <c r="AM37" s="175">
        <v>0</v>
      </c>
      <c r="AN37" s="309">
        <f>IF(AM37=0,0,IF(AO36=0,MAX(AN$6:AN36),AN36-1))</f>
        <v>0</v>
      </c>
      <c r="AO37" s="309">
        <f t="shared" si="12"/>
        <v>0</v>
      </c>
      <c r="AP37" s="175">
        <v>0</v>
      </c>
      <c r="AQ37" s="309">
        <f>IF(AP37=0,0,IF(AR36=0,MAX(AQ$6:AQ36),AQ36-1))</f>
        <v>0</v>
      </c>
      <c r="AR37" s="309">
        <f t="shared" si="13"/>
        <v>0</v>
      </c>
      <c r="AS37" s="175">
        <v>0</v>
      </c>
      <c r="AT37" s="309">
        <f>IF(AS37=0,0,IF(AU36=0,MAX(AT$6:AT36),AT36-1))</f>
        <v>0</v>
      </c>
      <c r="AU37" s="309">
        <f t="shared" si="14"/>
        <v>0</v>
      </c>
      <c r="AV37" s="309">
        <v>0</v>
      </c>
      <c r="AW37" s="309">
        <f>IF(AV37=0,0,IF(AX36=0,MAX(AW$6:AW36),AW36-1))</f>
        <v>0</v>
      </c>
      <c r="AX37" s="309">
        <f t="shared" si="15"/>
        <v>0</v>
      </c>
      <c r="AY37" s="175">
        <v>0</v>
      </c>
      <c r="AZ37" s="309">
        <f>IF(AY37=0,0,IF(BA36=0,MAX(AZ$6:AZ36),AZ36-1))</f>
        <v>0</v>
      </c>
      <c r="BA37" s="309">
        <f t="shared" si="16"/>
        <v>0</v>
      </c>
      <c r="BB37" s="309">
        <f t="shared" si="19"/>
        <v>2208347</v>
      </c>
      <c r="BC37" s="309">
        <f t="shared" si="20"/>
        <v>40326265</v>
      </c>
      <c r="BD37" s="309">
        <f t="shared" si="21"/>
        <v>2208347</v>
      </c>
      <c r="BE37" s="309">
        <f t="shared" si="22"/>
        <v>38117918</v>
      </c>
      <c r="BF37" s="309">
        <f>MAX(C$6:C37)+MAX(F$6:F37)+MAX(I$6:I37)+MAX(L$6:L37)+MAX(O$6:O37)+MAX(R$6:R37)+MAX(U$6:U37)+MAX(X$6:X37)+MAX(AA$6:AA37)+MAX(AD$6:AD37)+MAX(AG$6:AG37)+MAX(AJ$6:AJ37)+MAX(AM$6:AM37)+MAX(AP$6:AP37)+MAX(AS$6:AS37)+MAX(AV$6:AV37)+MAX(AY$6:AY37)</f>
        <v>69968000</v>
      </c>
      <c r="BG37" s="309">
        <f>SUM(E$6:E37)+SUM(H$6:H37)+SUM(K$6:K37)+SUM(N$6:N37)+SUM(Q$6:Q37)+SUM(T$6:T37)+SUM(W$6:W37)+SUM(Z$6:Z37)+SUM(AC$6:AC37)+SUM(AF$6:AF37)+SUM(AI$6:AI37)+SUM(AL$6:AL37)+SUM(AO$6:AO37)+SUM(AR$6:AR37)+SUM(AU$6:AU37)+SUM(AX$6:AX37)+SUM(BA$6:BA37)</f>
        <v>31850082</v>
      </c>
      <c r="BH37" s="309">
        <f t="shared" si="23"/>
        <v>38117918</v>
      </c>
      <c r="BI37" s="309">
        <f t="shared" si="24"/>
        <v>0</v>
      </c>
      <c r="BJ37" s="309">
        <f>MAX(I$6:I37)+MAX(O$6:O37)+MAX(R$6:R37)+MAX(U$6:U37)+MAX(AJ$6:AJ37)+MAX(AM$6:AM37)</f>
        <v>37178000</v>
      </c>
      <c r="BK37" s="309">
        <f>SUM(K$6:K37)+SUM(Q$6:Q37)+SUM(T$6:T37)+SUM(W$6:W37)+SUM(AL$6:AL37)+SUM(AO$6:AO37)</f>
        <v>8135082</v>
      </c>
      <c r="BL37" s="309">
        <f t="shared" si="25"/>
        <v>29042918</v>
      </c>
      <c r="BM37" s="309">
        <f>MAX(C$6:C37)+MAX(F$6:F37)+MAX(L$6:L37)+MAX(X$6:X37)+MAX(AA$6:AA37)+MAX(AD$6:AD37)+MAX(AG$6:AG37)+MAX(AP$6:AP37)+MAX(AS$6:AS37)+MAX(AV$6:AV37)+MAX(AY$6:AY37)</f>
        <v>32790000</v>
      </c>
      <c r="BN37" s="309">
        <f>SUM(E$6:E37)+SUM(H$6:H37)+SUM(N$6:N37)+SUM(Z$6:Z37)+SUM(AC$6:AC37)+SUM(AF$6:AF37)+SUM(AI$6:AI37)+SUM(AR$6:AR37)+SUM(AU$6:AU37)+SUM(AX$6:AX37)+SUM(BA$6:BA37)</f>
        <v>23715000</v>
      </c>
      <c r="BO37" s="309">
        <f t="shared" si="26"/>
        <v>9075000</v>
      </c>
      <c r="BP37" s="309">
        <f t="shared" si="27"/>
        <v>69968000</v>
      </c>
      <c r="BQ37" s="309">
        <f t="shared" si="27"/>
        <v>31850082</v>
      </c>
      <c r="BR37" s="309">
        <f t="shared" si="28"/>
        <v>38117918</v>
      </c>
      <c r="BS37" s="309">
        <f t="shared" si="29"/>
        <v>0</v>
      </c>
      <c r="BT37" s="309">
        <f t="shared" si="29"/>
        <v>0</v>
      </c>
      <c r="BU37" s="309">
        <f t="shared" si="30"/>
        <v>0</v>
      </c>
    </row>
    <row r="38" spans="1:73" x14ac:dyDescent="0.35">
      <c r="A38" s="18">
        <v>31</v>
      </c>
      <c r="B38" s="184">
        <v>42947</v>
      </c>
      <c r="C38" s="175">
        <f>MAX(C$6:C37)-SUM(E$6:E37)</f>
        <v>0</v>
      </c>
      <c r="D38" s="309">
        <f>IF(C38=0,0,IF(E37=0,MAX(D$6:D37),D37-1))</f>
        <v>0</v>
      </c>
      <c r="E38" s="309">
        <f t="shared" si="0"/>
        <v>0</v>
      </c>
      <c r="F38" s="175">
        <f>MAX(F$6:F37)-SUM(H$6:H37)</f>
        <v>0</v>
      </c>
      <c r="G38" s="309">
        <f>IF(F38=0,0,IF(H37=0,MAX(G$6:G37),G37-1))</f>
        <v>0</v>
      </c>
      <c r="H38" s="309">
        <f t="shared" si="1"/>
        <v>0</v>
      </c>
      <c r="I38" s="175">
        <f>MAX(I$6:I37)-SUM(K$6:K37)</f>
        <v>0</v>
      </c>
      <c r="J38" s="309">
        <f>IF(I38=0,0,IF(K37=0,MAX(J$6:J37),J37-1))</f>
        <v>0</v>
      </c>
      <c r="K38" s="309">
        <f t="shared" si="2"/>
        <v>0</v>
      </c>
      <c r="L38" s="175">
        <f>MAX(L$6:L37)-SUM(N$6:N37)</f>
        <v>0</v>
      </c>
      <c r="M38" s="309">
        <f>IF(L38=0,0,IF(N37=0,MAX(M$6:M37),M37-1))</f>
        <v>0</v>
      </c>
      <c r="N38" s="309">
        <f t="shared" si="3"/>
        <v>0</v>
      </c>
      <c r="O38" s="175">
        <f>MAX(O$6:O37)-SUM(Q$6:Q37)</f>
        <v>17448750</v>
      </c>
      <c r="P38" s="309">
        <f>IF(O38=0,0,IF(Q37=0,MAX(P$6:P37),P37-1))</f>
        <v>18</v>
      </c>
      <c r="Q38" s="309">
        <f t="shared" si="4"/>
        <v>969375</v>
      </c>
      <c r="R38" s="175">
        <f>MAX(R$6:R37)-SUM(T$6:T37)</f>
        <v>8181668</v>
      </c>
      <c r="S38" s="309">
        <f>IF(R38=0,0,IF(T37=0,MAX(S$6:S37),S37-1))</f>
        <v>30</v>
      </c>
      <c r="T38" s="309">
        <f t="shared" si="5"/>
        <v>272722</v>
      </c>
      <c r="U38" s="175">
        <f>MAX(U$6:U37)-SUM(W$6:W37)</f>
        <v>3412500</v>
      </c>
      <c r="V38" s="309">
        <f>IF(U38=0,0,IF(W37=0,MAX(V$6:V37),V37-1))</f>
        <v>30</v>
      </c>
      <c r="W38" s="309">
        <f t="shared" si="6"/>
        <v>113750</v>
      </c>
      <c r="X38" s="175">
        <f>MAX(X$6:X37)-SUM(Z$6:Z37)</f>
        <v>1815000</v>
      </c>
      <c r="Y38" s="309">
        <f>IF(X38=0,0,IF(Z37=0,MAX(Y$6:Y37),Y37-1))</f>
        <v>6</v>
      </c>
      <c r="Z38" s="309">
        <f t="shared" si="7"/>
        <v>302500</v>
      </c>
      <c r="AA38" s="175">
        <f>MAX(AA$6:AA37)-SUM(AC$6:AC37)</f>
        <v>7260000</v>
      </c>
      <c r="AB38" s="309">
        <f>IF(AA38=0,0,IF(AC37=0,MAX(AB$6:AB37),AB37-1))</f>
        <v>12</v>
      </c>
      <c r="AC38" s="309">
        <f t="shared" si="8"/>
        <v>605000</v>
      </c>
      <c r="AD38" s="175">
        <v>0</v>
      </c>
      <c r="AE38" s="309">
        <f>IF(AD38=0,0,IF(AF37=0,MAX(AE$6:AE37),AE37-1))</f>
        <v>0</v>
      </c>
      <c r="AF38" s="309">
        <f t="shared" si="9"/>
        <v>0</v>
      </c>
      <c r="AG38" s="175">
        <v>0</v>
      </c>
      <c r="AH38" s="309">
        <f>IF(AG38=0,0,IF(AI37=0,MAX(AH$6:AH37),AH37-1))</f>
        <v>0</v>
      </c>
      <c r="AI38" s="309">
        <f t="shared" si="10"/>
        <v>0</v>
      </c>
      <c r="AJ38" s="175">
        <v>0</v>
      </c>
      <c r="AK38" s="309">
        <f>IF(AJ38=0,0,IF(AL37=0,MAX(AK$6:AK37),AK37-1))</f>
        <v>0</v>
      </c>
      <c r="AL38" s="309">
        <f t="shared" si="11"/>
        <v>0</v>
      </c>
      <c r="AM38" s="175">
        <v>0</v>
      </c>
      <c r="AN38" s="309">
        <f>IF(AM38=0,0,IF(AO37=0,MAX(AN$6:AN37),AN37-1))</f>
        <v>0</v>
      </c>
      <c r="AO38" s="309">
        <f t="shared" si="12"/>
        <v>0</v>
      </c>
      <c r="AP38" s="175">
        <v>0</v>
      </c>
      <c r="AQ38" s="309">
        <f>IF(AP38=0,0,IF(AR37=0,MAX(AQ$6:AQ37),AQ37-1))</f>
        <v>0</v>
      </c>
      <c r="AR38" s="309">
        <f t="shared" si="13"/>
        <v>0</v>
      </c>
      <c r="AS38" s="175">
        <v>0</v>
      </c>
      <c r="AT38" s="309">
        <f>IF(AS38=0,0,IF(AU37=0,MAX(AT$6:AT37),AT37-1))</f>
        <v>0</v>
      </c>
      <c r="AU38" s="309">
        <f t="shared" si="14"/>
        <v>0</v>
      </c>
      <c r="AV38" s="309">
        <v>0</v>
      </c>
      <c r="AW38" s="309">
        <f>IF(AV38=0,0,IF(AX37=0,MAX(AW$6:AW37),AW37-1))</f>
        <v>0</v>
      </c>
      <c r="AX38" s="309">
        <f t="shared" si="15"/>
        <v>0</v>
      </c>
      <c r="AY38" s="175">
        <v>0</v>
      </c>
      <c r="AZ38" s="309">
        <f>IF(AY38=0,0,IF(BA37=0,MAX(AZ$6:AZ37),AZ37-1))</f>
        <v>0</v>
      </c>
      <c r="BA38" s="309">
        <f t="shared" si="16"/>
        <v>0</v>
      </c>
      <c r="BB38" s="309">
        <f t="shared" si="19"/>
        <v>2263347</v>
      </c>
      <c r="BC38" s="309">
        <f t="shared" si="20"/>
        <v>38117918</v>
      </c>
      <c r="BD38" s="309">
        <f t="shared" si="21"/>
        <v>2263347</v>
      </c>
      <c r="BE38" s="309">
        <f t="shared" si="22"/>
        <v>35854571</v>
      </c>
      <c r="BF38" s="309">
        <f>MAX(C$6:C38)+MAX(F$6:F38)+MAX(I$6:I38)+MAX(L$6:L38)+MAX(O$6:O38)+MAX(R$6:R38)+MAX(U$6:U38)+MAX(X$6:X38)+MAX(AA$6:AA38)+MAX(AD$6:AD38)+MAX(AG$6:AG38)+MAX(AJ$6:AJ38)+MAX(AM$6:AM38)+MAX(AP$6:AP38)+MAX(AS$6:AS38)+MAX(AV$6:AV38)+MAX(AY$6:AY38)</f>
        <v>69968000</v>
      </c>
      <c r="BG38" s="309">
        <f>SUM(E$6:E38)+SUM(H$6:H38)+SUM(K$6:K38)+SUM(N$6:N38)+SUM(Q$6:Q38)+SUM(T$6:T38)+SUM(W$6:W38)+SUM(Z$6:Z38)+SUM(AC$6:AC38)+SUM(AF$6:AF38)+SUM(AI$6:AI38)+SUM(AL$6:AL38)+SUM(AO$6:AO38)+SUM(AR$6:AR38)+SUM(AU$6:AU38)+SUM(AX$6:AX38)+SUM(BA$6:BA38)</f>
        <v>34113429</v>
      </c>
      <c r="BH38" s="309">
        <f t="shared" si="23"/>
        <v>35854571</v>
      </c>
      <c r="BI38" s="309">
        <f t="shared" si="24"/>
        <v>0</v>
      </c>
      <c r="BJ38" s="309">
        <f>MAX(I$6:I38)+MAX(O$6:O38)+MAX(R$6:R38)+MAX(U$6:U38)+MAX(AJ$6:AJ38)+MAX(AM$6:AM38)</f>
        <v>37178000</v>
      </c>
      <c r="BK38" s="309">
        <f>SUM(K$6:K38)+SUM(Q$6:Q38)+SUM(T$6:T38)+SUM(W$6:W38)+SUM(AL$6:AL38)+SUM(AO$6:AO38)</f>
        <v>9490929</v>
      </c>
      <c r="BL38" s="309">
        <f t="shared" si="25"/>
        <v>27687071</v>
      </c>
      <c r="BM38" s="309">
        <f>MAX(C$6:C38)+MAX(F$6:F38)+MAX(L$6:L38)+MAX(X$6:X38)+MAX(AA$6:AA38)+MAX(AD$6:AD38)+MAX(AG$6:AG38)+MAX(AP$6:AP38)+MAX(AS$6:AS38)+MAX(AV$6:AV38)+MAX(AY$6:AY38)</f>
        <v>32790000</v>
      </c>
      <c r="BN38" s="309">
        <f>SUM(E$6:E38)+SUM(H$6:H38)+SUM(N$6:N38)+SUM(Z$6:Z38)+SUM(AC$6:AC38)+SUM(AF$6:AF38)+SUM(AI$6:AI38)+SUM(AR$6:AR38)+SUM(AU$6:AU38)+SUM(AX$6:AX38)+SUM(BA$6:BA38)</f>
        <v>24622500</v>
      </c>
      <c r="BO38" s="309">
        <f t="shared" si="26"/>
        <v>8167500</v>
      </c>
      <c r="BP38" s="309">
        <f t="shared" si="27"/>
        <v>69968000</v>
      </c>
      <c r="BQ38" s="309">
        <f t="shared" si="27"/>
        <v>34113429</v>
      </c>
      <c r="BR38" s="309">
        <f t="shared" si="28"/>
        <v>35854571</v>
      </c>
      <c r="BS38" s="309">
        <f t="shared" si="29"/>
        <v>0</v>
      </c>
      <c r="BT38" s="309">
        <f t="shared" si="29"/>
        <v>0</v>
      </c>
      <c r="BU38" s="309">
        <f t="shared" si="30"/>
        <v>0</v>
      </c>
    </row>
    <row r="39" spans="1:73" x14ac:dyDescent="0.35">
      <c r="A39" s="18">
        <v>32</v>
      </c>
      <c r="B39" s="184">
        <v>42978</v>
      </c>
      <c r="C39" s="175">
        <f>MAX(C$6:C38)-SUM(E$6:E38)</f>
        <v>0</v>
      </c>
      <c r="D39" s="309">
        <f>IF(C39=0,0,IF(E38=0,MAX(D$6:D38),D38-1))</f>
        <v>0</v>
      </c>
      <c r="E39" s="309">
        <f t="shared" si="0"/>
        <v>0</v>
      </c>
      <c r="F39" s="175">
        <f>MAX(F$6:F38)-SUM(H$6:H38)</f>
        <v>0</v>
      </c>
      <c r="G39" s="309">
        <f>IF(F39=0,0,IF(H38=0,MAX(G$6:G38),G38-1))</f>
        <v>0</v>
      </c>
      <c r="H39" s="309">
        <f t="shared" si="1"/>
        <v>0</v>
      </c>
      <c r="I39" s="175">
        <f>MAX(I$6:I38)-SUM(K$6:K38)</f>
        <v>0</v>
      </c>
      <c r="J39" s="309">
        <f>IF(I39=0,0,IF(K38=0,MAX(J$6:J38),J38-1))</f>
        <v>0</v>
      </c>
      <c r="K39" s="309">
        <f t="shared" si="2"/>
        <v>0</v>
      </c>
      <c r="L39" s="175">
        <f>MAX(L$6:L38)-SUM(N$6:N38)</f>
        <v>0</v>
      </c>
      <c r="M39" s="309">
        <f>IF(L39=0,0,IF(N38=0,MAX(M$6:M38),M38-1))</f>
        <v>0</v>
      </c>
      <c r="N39" s="309">
        <f t="shared" si="3"/>
        <v>0</v>
      </c>
      <c r="O39" s="175">
        <f>MAX(O$6:O38)-SUM(Q$6:Q38)</f>
        <v>16479375</v>
      </c>
      <c r="P39" s="309">
        <f>IF(O39=0,0,IF(Q38=0,MAX(P$6:P38),P38-1))</f>
        <v>17</v>
      </c>
      <c r="Q39" s="309">
        <f t="shared" si="4"/>
        <v>969375</v>
      </c>
      <c r="R39" s="175">
        <f>MAX(R$6:R38)-SUM(T$6:T38)</f>
        <v>7908946</v>
      </c>
      <c r="S39" s="309">
        <f>IF(R39=0,0,IF(T38=0,MAX(S$6:S38),S38-1))</f>
        <v>29</v>
      </c>
      <c r="T39" s="309">
        <f t="shared" si="5"/>
        <v>272722</v>
      </c>
      <c r="U39" s="175">
        <f>MAX(U$6:U38)-SUM(W$6:W38)</f>
        <v>3298750</v>
      </c>
      <c r="V39" s="309">
        <f>IF(U39=0,0,IF(W38=0,MAX(V$6:V38),V38-1))</f>
        <v>29</v>
      </c>
      <c r="W39" s="309">
        <f t="shared" si="6"/>
        <v>113750</v>
      </c>
      <c r="X39" s="175">
        <f>MAX(X$6:X38)-SUM(Z$6:Z38)</f>
        <v>1512500</v>
      </c>
      <c r="Y39" s="309">
        <f>IF(X39=0,0,IF(Z38=0,MAX(Y$6:Y38),Y38-1))</f>
        <v>5</v>
      </c>
      <c r="Z39" s="309">
        <f t="shared" si="7"/>
        <v>302500</v>
      </c>
      <c r="AA39" s="175">
        <f>MAX(AA$6:AA38)-SUM(AC$6:AC38)</f>
        <v>6655000</v>
      </c>
      <c r="AB39" s="309">
        <f>IF(AA39=0,0,IF(AC38=0,MAX(AB$6:AB38),AB38-1))</f>
        <v>11</v>
      </c>
      <c r="AC39" s="309">
        <f t="shared" si="8"/>
        <v>605000</v>
      </c>
      <c r="AD39" s="175">
        <v>0</v>
      </c>
      <c r="AE39" s="309">
        <f>IF(AD39=0,0,IF(AF38=0,MAX(AE$6:AE38),AE38-1))</f>
        <v>0</v>
      </c>
      <c r="AF39" s="309">
        <f t="shared" si="9"/>
        <v>0</v>
      </c>
      <c r="AG39" s="175">
        <v>0</v>
      </c>
      <c r="AH39" s="309">
        <f>IF(AG39=0,0,IF(AI38=0,MAX(AH$6:AH38),AH38-1))</f>
        <v>0</v>
      </c>
      <c r="AI39" s="309">
        <f t="shared" si="10"/>
        <v>0</v>
      </c>
      <c r="AJ39" s="175">
        <v>0</v>
      </c>
      <c r="AK39" s="309">
        <f>IF(AJ39=0,0,IF(AL38=0,MAX(AK$6:AK38),AK38-1))</f>
        <v>0</v>
      </c>
      <c r="AL39" s="309">
        <f t="shared" si="11"/>
        <v>0</v>
      </c>
      <c r="AM39" s="175">
        <v>0</v>
      </c>
      <c r="AN39" s="309">
        <f>IF(AM39=0,0,IF(AO38=0,MAX(AN$6:AN38),AN38-1))</f>
        <v>0</v>
      </c>
      <c r="AO39" s="309">
        <f t="shared" si="12"/>
        <v>0</v>
      </c>
      <c r="AP39" s="175">
        <v>0</v>
      </c>
      <c r="AQ39" s="309">
        <f>IF(AP39=0,0,IF(AR38=0,MAX(AQ$6:AQ38),AQ38-1))</f>
        <v>0</v>
      </c>
      <c r="AR39" s="309">
        <f t="shared" si="13"/>
        <v>0</v>
      </c>
      <c r="AS39" s="175">
        <v>0</v>
      </c>
      <c r="AT39" s="309">
        <f>IF(AS39=0,0,IF(AU38=0,MAX(AT$6:AT38),AT38-1))</f>
        <v>0</v>
      </c>
      <c r="AU39" s="309">
        <f t="shared" si="14"/>
        <v>0</v>
      </c>
      <c r="AV39" s="309">
        <v>0</v>
      </c>
      <c r="AW39" s="309">
        <f>IF(AV39=0,0,IF(AX38=0,MAX(AW$6:AW38),AW38-1))</f>
        <v>0</v>
      </c>
      <c r="AX39" s="309">
        <f t="shared" si="15"/>
        <v>0</v>
      </c>
      <c r="AY39" s="175">
        <v>0</v>
      </c>
      <c r="AZ39" s="309">
        <f>IF(AY39=0,0,IF(BA38=0,MAX(AZ$6:AZ38),AZ38-1))</f>
        <v>0</v>
      </c>
      <c r="BA39" s="309">
        <f t="shared" si="16"/>
        <v>0</v>
      </c>
      <c r="BB39" s="309">
        <f t="shared" si="19"/>
        <v>2263347</v>
      </c>
      <c r="BC39" s="309">
        <f t="shared" si="20"/>
        <v>35854571</v>
      </c>
      <c r="BD39" s="309">
        <f t="shared" si="21"/>
        <v>2263347</v>
      </c>
      <c r="BE39" s="309">
        <f t="shared" si="22"/>
        <v>33591224</v>
      </c>
      <c r="BF39" s="309">
        <f>MAX(C$6:C39)+MAX(F$6:F39)+MAX(I$6:I39)+MAX(L$6:L39)+MAX(O$6:O39)+MAX(R$6:R39)+MAX(U$6:U39)+MAX(X$6:X39)+MAX(AA$6:AA39)+MAX(AD$6:AD39)+MAX(AG$6:AG39)+MAX(AJ$6:AJ39)+MAX(AM$6:AM39)+MAX(AP$6:AP39)+MAX(AS$6:AS39)+MAX(AV$6:AV39)+MAX(AY$6:AY39)</f>
        <v>69968000</v>
      </c>
      <c r="BG39" s="309">
        <f>SUM(E$6:E39)+SUM(H$6:H39)+SUM(K$6:K39)+SUM(N$6:N39)+SUM(Q$6:Q39)+SUM(T$6:T39)+SUM(W$6:W39)+SUM(Z$6:Z39)+SUM(AC$6:AC39)+SUM(AF$6:AF39)+SUM(AI$6:AI39)+SUM(AL$6:AL39)+SUM(AO$6:AO39)+SUM(AR$6:AR39)+SUM(AU$6:AU39)+SUM(AX$6:AX39)+SUM(BA$6:BA39)</f>
        <v>36376776</v>
      </c>
      <c r="BH39" s="309">
        <f t="shared" si="23"/>
        <v>33591224</v>
      </c>
      <c r="BI39" s="309">
        <f t="shared" si="24"/>
        <v>0</v>
      </c>
      <c r="BJ39" s="309">
        <f>MAX(I$6:I39)+MAX(O$6:O39)+MAX(R$6:R39)+MAX(U$6:U39)+MAX(AJ$6:AJ39)+MAX(AM$6:AM39)</f>
        <v>37178000</v>
      </c>
      <c r="BK39" s="309">
        <f>SUM(K$6:K39)+SUM(Q$6:Q39)+SUM(T$6:T39)+SUM(W$6:W39)+SUM(AL$6:AL39)+SUM(AO$6:AO39)</f>
        <v>10846776</v>
      </c>
      <c r="BL39" s="309">
        <f t="shared" si="25"/>
        <v>26331224</v>
      </c>
      <c r="BM39" s="309">
        <f>MAX(C$6:C39)+MAX(F$6:F39)+MAX(L$6:L39)+MAX(X$6:X39)+MAX(AA$6:AA39)+MAX(AD$6:AD39)+MAX(AG$6:AG39)+MAX(AP$6:AP39)+MAX(AS$6:AS39)+MAX(AV$6:AV39)+MAX(AY$6:AY39)</f>
        <v>32790000</v>
      </c>
      <c r="BN39" s="309">
        <f>SUM(E$6:E39)+SUM(H$6:H39)+SUM(N$6:N39)+SUM(Z$6:Z39)+SUM(AC$6:AC39)+SUM(AF$6:AF39)+SUM(AI$6:AI39)+SUM(AR$6:AR39)+SUM(AU$6:AU39)+SUM(AX$6:AX39)+SUM(BA$6:BA39)</f>
        <v>25530000</v>
      </c>
      <c r="BO39" s="309">
        <f t="shared" si="26"/>
        <v>7260000</v>
      </c>
      <c r="BP39" s="309">
        <f t="shared" si="27"/>
        <v>69968000</v>
      </c>
      <c r="BQ39" s="309">
        <f t="shared" si="27"/>
        <v>36376776</v>
      </c>
      <c r="BR39" s="309">
        <f t="shared" si="28"/>
        <v>33591224</v>
      </c>
      <c r="BS39" s="309">
        <f t="shared" si="29"/>
        <v>0</v>
      </c>
      <c r="BT39" s="309">
        <f t="shared" si="29"/>
        <v>0</v>
      </c>
      <c r="BU39" s="309">
        <f t="shared" si="30"/>
        <v>0</v>
      </c>
    </row>
    <row r="40" spans="1:73" x14ac:dyDescent="0.35">
      <c r="A40" s="18">
        <v>33</v>
      </c>
      <c r="B40" s="184">
        <v>43008</v>
      </c>
      <c r="C40" s="175">
        <f>MAX(C$6:C39)-SUM(E$6:E39)</f>
        <v>0</v>
      </c>
      <c r="D40" s="309">
        <f>IF(C40=0,0,IF(E39=0,MAX(D$6:D39),D39-1))</f>
        <v>0</v>
      </c>
      <c r="E40" s="309">
        <f t="shared" si="0"/>
        <v>0</v>
      </c>
      <c r="F40" s="175">
        <f>MAX(F$6:F39)-SUM(H$6:H39)</f>
        <v>0</v>
      </c>
      <c r="G40" s="309">
        <f>IF(F40=0,0,IF(H39=0,MAX(G$6:G39),G39-1))</f>
        <v>0</v>
      </c>
      <c r="H40" s="309">
        <f t="shared" si="1"/>
        <v>0</v>
      </c>
      <c r="I40" s="175">
        <f>MAX(I$6:I39)-SUM(K$6:K39)</f>
        <v>0</v>
      </c>
      <c r="J40" s="309">
        <f>IF(I40=0,0,IF(K39=0,MAX(J$6:J39),J39-1))</f>
        <v>0</v>
      </c>
      <c r="K40" s="309">
        <f t="shared" si="2"/>
        <v>0</v>
      </c>
      <c r="L40" s="175">
        <f>MAX(L$6:L39)-SUM(N$6:N39)</f>
        <v>0</v>
      </c>
      <c r="M40" s="309">
        <f>IF(L40=0,0,IF(N39=0,MAX(M$6:M39),M39-1))</f>
        <v>0</v>
      </c>
      <c r="N40" s="309">
        <f t="shared" si="3"/>
        <v>0</v>
      </c>
      <c r="O40" s="175">
        <f>MAX(O$6:O39)-SUM(Q$6:Q39)</f>
        <v>15510000</v>
      </c>
      <c r="P40" s="309">
        <f>IF(O40=0,0,IF(Q39=0,MAX(P$6:P39),P39-1))</f>
        <v>16</v>
      </c>
      <c r="Q40" s="309">
        <f t="shared" si="4"/>
        <v>969375</v>
      </c>
      <c r="R40" s="175">
        <f>MAX(R$6:R39)-SUM(T$6:T39)</f>
        <v>7636224</v>
      </c>
      <c r="S40" s="309">
        <f>IF(R40=0,0,IF(T39=0,MAX(S$6:S39),S39-1))</f>
        <v>28</v>
      </c>
      <c r="T40" s="309">
        <f t="shared" si="5"/>
        <v>272722</v>
      </c>
      <c r="U40" s="175">
        <f>MAX(U$6:U39)-SUM(W$6:W39)</f>
        <v>3185000</v>
      </c>
      <c r="V40" s="309">
        <f>IF(U40=0,0,IF(W39=0,MAX(V$6:V39),V39-1))</f>
        <v>28</v>
      </c>
      <c r="W40" s="309">
        <f t="shared" si="6"/>
        <v>113750</v>
      </c>
      <c r="X40" s="175">
        <f>MAX(X$6:X39)-SUM(Z$6:Z39)</f>
        <v>1210000</v>
      </c>
      <c r="Y40" s="309">
        <f>IF(X40=0,0,IF(Z39=0,MAX(Y$6:Y39),Y39-1))</f>
        <v>4</v>
      </c>
      <c r="Z40" s="309">
        <f t="shared" si="7"/>
        <v>302500</v>
      </c>
      <c r="AA40" s="175">
        <f>MAX(AA$6:AA39)-SUM(AC$6:AC39)</f>
        <v>6050000</v>
      </c>
      <c r="AB40" s="309">
        <f>IF(AA40=0,0,IF(AC39=0,MAX(AB$6:AB39),AB39-1))</f>
        <v>10</v>
      </c>
      <c r="AC40" s="309">
        <f t="shared" si="8"/>
        <v>605000</v>
      </c>
      <c r="AD40" s="175">
        <v>0</v>
      </c>
      <c r="AE40" s="309">
        <f>IF(AD40=0,0,IF(AF39=0,MAX(AE$6:AE39),AE39-1))</f>
        <v>0</v>
      </c>
      <c r="AF40" s="309">
        <f t="shared" si="9"/>
        <v>0</v>
      </c>
      <c r="AG40" s="175">
        <v>0</v>
      </c>
      <c r="AH40" s="309">
        <f>IF(AG40=0,0,IF(AI39=0,MAX(AH$6:AH39),AH39-1))</f>
        <v>0</v>
      </c>
      <c r="AI40" s="309">
        <f t="shared" si="10"/>
        <v>0</v>
      </c>
      <c r="AJ40" s="175">
        <v>0</v>
      </c>
      <c r="AK40" s="309">
        <f>IF(AJ40=0,0,IF(AL39=0,MAX(AK$6:AK39),AK39-1))</f>
        <v>0</v>
      </c>
      <c r="AL40" s="309">
        <f t="shared" si="11"/>
        <v>0</v>
      </c>
      <c r="AM40" s="175">
        <v>0</v>
      </c>
      <c r="AN40" s="309">
        <f>IF(AM40=0,0,IF(AO39=0,MAX(AN$6:AN39),AN39-1))</f>
        <v>0</v>
      </c>
      <c r="AO40" s="309">
        <f t="shared" si="12"/>
        <v>0</v>
      </c>
      <c r="AP40" s="175">
        <v>0</v>
      </c>
      <c r="AQ40" s="309">
        <f>IF(AP40=0,0,IF(AR39=0,MAX(AQ$6:AQ39),AQ39-1))</f>
        <v>0</v>
      </c>
      <c r="AR40" s="309">
        <f t="shared" si="13"/>
        <v>0</v>
      </c>
      <c r="AS40" s="175">
        <v>0</v>
      </c>
      <c r="AT40" s="309">
        <f>IF(AS40=0,0,IF(AU39=0,MAX(AT$6:AT39),AT39-1))</f>
        <v>0</v>
      </c>
      <c r="AU40" s="309">
        <f t="shared" si="14"/>
        <v>0</v>
      </c>
      <c r="AV40" s="309">
        <v>0</v>
      </c>
      <c r="AW40" s="309">
        <f>IF(AV40=0,0,IF(AX39=0,MAX(AW$6:AW39),AW39-1))</f>
        <v>0</v>
      </c>
      <c r="AX40" s="309">
        <f t="shared" si="15"/>
        <v>0</v>
      </c>
      <c r="AY40" s="175">
        <v>0</v>
      </c>
      <c r="AZ40" s="309">
        <f>IF(AY40=0,0,IF(BA39=0,MAX(AZ$6:AZ39),AZ39-1))</f>
        <v>0</v>
      </c>
      <c r="BA40" s="309">
        <f t="shared" si="16"/>
        <v>0</v>
      </c>
      <c r="BB40" s="309">
        <f t="shared" si="19"/>
        <v>2263347</v>
      </c>
      <c r="BC40" s="309">
        <f t="shared" si="20"/>
        <v>33591224</v>
      </c>
      <c r="BD40" s="309">
        <f t="shared" si="21"/>
        <v>2263347</v>
      </c>
      <c r="BE40" s="309">
        <f t="shared" si="22"/>
        <v>31327877</v>
      </c>
      <c r="BF40" s="309">
        <f>MAX(C$6:C40)+MAX(F$6:F40)+MAX(I$6:I40)+MAX(L$6:L40)+MAX(O$6:O40)+MAX(R$6:R40)+MAX(U$6:U40)+MAX(X$6:X40)+MAX(AA$6:AA40)+MAX(AD$6:AD40)+MAX(AG$6:AG40)+MAX(AJ$6:AJ40)+MAX(AM$6:AM40)+MAX(AP$6:AP40)+MAX(AS$6:AS40)+MAX(AV$6:AV40)+MAX(AY$6:AY40)</f>
        <v>69968000</v>
      </c>
      <c r="BG40" s="309">
        <f>SUM(E$6:E40)+SUM(H$6:H40)+SUM(K$6:K40)+SUM(N$6:N40)+SUM(Q$6:Q40)+SUM(T$6:T40)+SUM(W$6:W40)+SUM(Z$6:Z40)+SUM(AC$6:AC40)+SUM(AF$6:AF40)+SUM(AI$6:AI40)+SUM(AL$6:AL40)+SUM(AO$6:AO40)+SUM(AR$6:AR40)+SUM(AU$6:AU40)+SUM(AX$6:AX40)+SUM(BA$6:BA40)</f>
        <v>38640123</v>
      </c>
      <c r="BH40" s="309">
        <f t="shared" si="23"/>
        <v>31327877</v>
      </c>
      <c r="BI40" s="309">
        <f t="shared" si="24"/>
        <v>0</v>
      </c>
      <c r="BJ40" s="309">
        <f>MAX(I$6:I40)+MAX(O$6:O40)+MAX(R$6:R40)+MAX(U$6:U40)+MAX(AJ$6:AJ40)+MAX(AM$6:AM40)</f>
        <v>37178000</v>
      </c>
      <c r="BK40" s="309">
        <f>SUM(K$6:K40)+SUM(Q$6:Q40)+SUM(T$6:T40)+SUM(W$6:W40)+SUM(AL$6:AL40)+SUM(AO$6:AO40)</f>
        <v>12202623</v>
      </c>
      <c r="BL40" s="309">
        <f t="shared" si="25"/>
        <v>24975377</v>
      </c>
      <c r="BM40" s="309">
        <f>MAX(C$6:C40)+MAX(F$6:F40)+MAX(L$6:L40)+MAX(X$6:X40)+MAX(AA$6:AA40)+MAX(AD$6:AD40)+MAX(AG$6:AG40)+MAX(AP$6:AP40)+MAX(AS$6:AS40)+MAX(AV$6:AV40)+MAX(AY$6:AY40)</f>
        <v>32790000</v>
      </c>
      <c r="BN40" s="309">
        <f>SUM(E$6:E40)+SUM(H$6:H40)+SUM(N$6:N40)+SUM(Z$6:Z40)+SUM(AC$6:AC40)+SUM(AF$6:AF40)+SUM(AI$6:AI40)+SUM(AR$6:AR40)+SUM(AU$6:AU40)+SUM(AX$6:AX40)+SUM(BA$6:BA40)</f>
        <v>26437500</v>
      </c>
      <c r="BO40" s="309">
        <f t="shared" si="26"/>
        <v>6352500</v>
      </c>
      <c r="BP40" s="309">
        <f t="shared" si="27"/>
        <v>69968000</v>
      </c>
      <c r="BQ40" s="309">
        <f t="shared" si="27"/>
        <v>38640123</v>
      </c>
      <c r="BR40" s="309">
        <f t="shared" si="28"/>
        <v>31327877</v>
      </c>
      <c r="BS40" s="309">
        <f t="shared" si="29"/>
        <v>0</v>
      </c>
      <c r="BT40" s="309">
        <f t="shared" si="29"/>
        <v>0</v>
      </c>
      <c r="BU40" s="309">
        <f t="shared" si="30"/>
        <v>0</v>
      </c>
    </row>
    <row r="41" spans="1:73" x14ac:dyDescent="0.35">
      <c r="A41" s="18">
        <v>34</v>
      </c>
      <c r="B41" s="184">
        <v>43039</v>
      </c>
      <c r="C41" s="175">
        <f>MAX(C$6:C40)-SUM(E$6:E40)</f>
        <v>0</v>
      </c>
      <c r="D41" s="309">
        <f>IF(C41=0,0,IF(E40=0,MAX(D$6:D40),D40-1))</f>
        <v>0</v>
      </c>
      <c r="E41" s="309">
        <f t="shared" si="0"/>
        <v>0</v>
      </c>
      <c r="F41" s="175">
        <f>MAX(F$6:F40)-SUM(H$6:H40)</f>
        <v>0</v>
      </c>
      <c r="G41" s="309">
        <f>IF(F41=0,0,IF(H40=0,MAX(G$6:G40),G40-1))</f>
        <v>0</v>
      </c>
      <c r="H41" s="309">
        <f t="shared" si="1"/>
        <v>0</v>
      </c>
      <c r="I41" s="175">
        <f>MAX(I$6:I40)-SUM(K$6:K40)</f>
        <v>0</v>
      </c>
      <c r="J41" s="309">
        <f>IF(I41=0,0,IF(K40=0,MAX(J$6:J40),J40-1))</f>
        <v>0</v>
      </c>
      <c r="K41" s="309">
        <f t="shared" si="2"/>
        <v>0</v>
      </c>
      <c r="L41" s="175">
        <f>MAX(L$6:L40)-SUM(N$6:N40)</f>
        <v>0</v>
      </c>
      <c r="M41" s="309">
        <f>IF(L41=0,0,IF(N40=0,MAX(M$6:M40),M40-1))</f>
        <v>0</v>
      </c>
      <c r="N41" s="309">
        <f t="shared" si="3"/>
        <v>0</v>
      </c>
      <c r="O41" s="175">
        <f>MAX(O$6:O40)-SUM(Q$6:Q40)</f>
        <v>14540625</v>
      </c>
      <c r="P41" s="309">
        <f>IF(O41=0,0,IF(Q40=0,MAX(P$6:P40),P40-1))</f>
        <v>15</v>
      </c>
      <c r="Q41" s="309">
        <f t="shared" si="4"/>
        <v>969375</v>
      </c>
      <c r="R41" s="175">
        <f>MAX(R$6:R40)-SUM(T$6:T40)</f>
        <v>7363502</v>
      </c>
      <c r="S41" s="309">
        <f>IF(R41=0,0,IF(T40=0,MAX(S$6:S40),S40-1))</f>
        <v>27</v>
      </c>
      <c r="T41" s="309">
        <f t="shared" si="5"/>
        <v>272722</v>
      </c>
      <c r="U41" s="175">
        <f>MAX(U$6:U40)-SUM(W$6:W40)</f>
        <v>3071250</v>
      </c>
      <c r="V41" s="309">
        <f>IF(U41=0,0,IF(W40=0,MAX(V$6:V40),V40-1))</f>
        <v>27</v>
      </c>
      <c r="W41" s="309">
        <f t="shared" si="6"/>
        <v>113750</v>
      </c>
      <c r="X41" s="175">
        <f>MAX(X$6:X40)-SUM(Z$6:Z40)</f>
        <v>907500</v>
      </c>
      <c r="Y41" s="309">
        <f>IF(X41=0,0,IF(Z40=0,MAX(Y$6:Y40),Y40-1))</f>
        <v>3</v>
      </c>
      <c r="Z41" s="309">
        <f t="shared" si="7"/>
        <v>302500</v>
      </c>
      <c r="AA41" s="175">
        <f>MAX(AA$6:AA40)-SUM(AC$6:AC40)</f>
        <v>5445000</v>
      </c>
      <c r="AB41" s="309">
        <f>IF(AA41=0,0,IF(AC40=0,MAX(AB$6:AB40),AB40-1))</f>
        <v>9</v>
      </c>
      <c r="AC41" s="309">
        <f t="shared" si="8"/>
        <v>605000</v>
      </c>
      <c r="AD41" s="175">
        <v>0</v>
      </c>
      <c r="AE41" s="309">
        <f>IF(AD41=0,0,IF(AF40=0,MAX(AE$6:AE40),AE40-1))</f>
        <v>0</v>
      </c>
      <c r="AF41" s="309">
        <f t="shared" si="9"/>
        <v>0</v>
      </c>
      <c r="AG41" s="175">
        <v>0</v>
      </c>
      <c r="AH41" s="309">
        <f>IF(AG41=0,0,IF(AI40=0,MAX(AH$6:AH40),AH40-1))</f>
        <v>0</v>
      </c>
      <c r="AI41" s="309">
        <f t="shared" si="10"/>
        <v>0</v>
      </c>
      <c r="AJ41" s="175">
        <v>0</v>
      </c>
      <c r="AK41" s="309">
        <f>IF(AJ41=0,0,IF(AL40=0,MAX(AK$6:AK40),AK40-1))</f>
        <v>0</v>
      </c>
      <c r="AL41" s="309">
        <f t="shared" si="11"/>
        <v>0</v>
      </c>
      <c r="AM41" s="175">
        <v>0</v>
      </c>
      <c r="AN41" s="309">
        <f>IF(AM41=0,0,IF(AO40=0,MAX(AN$6:AN40),AN40-1))</f>
        <v>0</v>
      </c>
      <c r="AO41" s="309">
        <f t="shared" si="12"/>
        <v>0</v>
      </c>
      <c r="AP41" s="175">
        <v>0</v>
      </c>
      <c r="AQ41" s="309">
        <f>IF(AP41=0,0,IF(AR40=0,MAX(AQ$6:AQ40),AQ40-1))</f>
        <v>0</v>
      </c>
      <c r="AR41" s="309">
        <f t="shared" si="13"/>
        <v>0</v>
      </c>
      <c r="AS41" s="175">
        <v>0</v>
      </c>
      <c r="AT41" s="309">
        <f>IF(AS41=0,0,IF(AU40=0,MAX(AT$6:AT40),AT40-1))</f>
        <v>0</v>
      </c>
      <c r="AU41" s="309">
        <f t="shared" si="14"/>
        <v>0</v>
      </c>
      <c r="AV41" s="309">
        <v>0</v>
      </c>
      <c r="AW41" s="309">
        <f>IF(AV41=0,0,IF(AX40=0,MAX(AW$6:AW40),AW40-1))</f>
        <v>0</v>
      </c>
      <c r="AX41" s="309">
        <f t="shared" si="15"/>
        <v>0</v>
      </c>
      <c r="AY41" s="175">
        <v>0</v>
      </c>
      <c r="AZ41" s="309">
        <f>IF(AY41=0,0,IF(BA40=0,MAX(AZ$6:AZ40),AZ40-1))</f>
        <v>0</v>
      </c>
      <c r="BA41" s="309">
        <f t="shared" si="16"/>
        <v>0</v>
      </c>
      <c r="BB41" s="309">
        <f t="shared" si="19"/>
        <v>2263347</v>
      </c>
      <c r="BC41" s="309">
        <f t="shared" si="20"/>
        <v>31327877</v>
      </c>
      <c r="BD41" s="309">
        <f t="shared" si="21"/>
        <v>2263347</v>
      </c>
      <c r="BE41" s="309">
        <f t="shared" si="22"/>
        <v>29064530</v>
      </c>
      <c r="BF41" s="309">
        <f>MAX(C$6:C41)+MAX(F$6:F41)+MAX(I$6:I41)+MAX(L$6:L41)+MAX(O$6:O41)+MAX(R$6:R41)+MAX(U$6:U41)+MAX(X$6:X41)+MAX(AA$6:AA41)+MAX(AD$6:AD41)+MAX(AG$6:AG41)+MAX(AJ$6:AJ41)+MAX(AM$6:AM41)+MAX(AP$6:AP41)+MAX(AS$6:AS41)+MAX(AV$6:AV41)+MAX(AY$6:AY41)</f>
        <v>69968000</v>
      </c>
      <c r="BG41" s="309">
        <f>SUM(E$6:E41)+SUM(H$6:H41)+SUM(K$6:K41)+SUM(N$6:N41)+SUM(Q$6:Q41)+SUM(T$6:T41)+SUM(W$6:W41)+SUM(Z$6:Z41)+SUM(AC$6:AC41)+SUM(AF$6:AF41)+SUM(AI$6:AI41)+SUM(AL$6:AL41)+SUM(AO$6:AO41)+SUM(AR$6:AR41)+SUM(AU$6:AU41)+SUM(AX$6:AX41)+SUM(BA$6:BA41)</f>
        <v>40903470</v>
      </c>
      <c r="BH41" s="309">
        <f t="shared" si="23"/>
        <v>29064530</v>
      </c>
      <c r="BI41" s="309">
        <f t="shared" si="24"/>
        <v>0</v>
      </c>
      <c r="BJ41" s="309">
        <f>MAX(I$6:I41)+MAX(O$6:O41)+MAX(R$6:R41)+MAX(U$6:U41)+MAX(AJ$6:AJ41)+MAX(AM$6:AM41)</f>
        <v>37178000</v>
      </c>
      <c r="BK41" s="309">
        <f>SUM(K$6:K41)+SUM(Q$6:Q41)+SUM(T$6:T41)+SUM(W$6:W41)+SUM(AL$6:AL41)+SUM(AO$6:AO41)</f>
        <v>13558470</v>
      </c>
      <c r="BL41" s="309">
        <f t="shared" si="25"/>
        <v>23619530</v>
      </c>
      <c r="BM41" s="309">
        <f>MAX(C$6:C41)+MAX(F$6:F41)+MAX(L$6:L41)+MAX(X$6:X41)+MAX(AA$6:AA41)+MAX(AD$6:AD41)+MAX(AG$6:AG41)+MAX(AP$6:AP41)+MAX(AS$6:AS41)+MAX(AV$6:AV41)+MAX(AY$6:AY41)</f>
        <v>32790000</v>
      </c>
      <c r="BN41" s="309">
        <f>SUM(E$6:E41)+SUM(H$6:H41)+SUM(N$6:N41)+SUM(Z$6:Z41)+SUM(AC$6:AC41)+SUM(AF$6:AF41)+SUM(AI$6:AI41)+SUM(AR$6:AR41)+SUM(AU$6:AU41)+SUM(AX$6:AX41)+SUM(BA$6:BA41)</f>
        <v>27345000</v>
      </c>
      <c r="BO41" s="309">
        <f t="shared" si="26"/>
        <v>5445000</v>
      </c>
      <c r="BP41" s="309">
        <f t="shared" si="27"/>
        <v>69968000</v>
      </c>
      <c r="BQ41" s="309">
        <f t="shared" si="27"/>
        <v>40903470</v>
      </c>
      <c r="BR41" s="309">
        <f t="shared" si="28"/>
        <v>29064530</v>
      </c>
      <c r="BS41" s="309">
        <f t="shared" si="29"/>
        <v>0</v>
      </c>
      <c r="BT41" s="309">
        <f t="shared" si="29"/>
        <v>0</v>
      </c>
      <c r="BU41" s="309">
        <f t="shared" si="30"/>
        <v>0</v>
      </c>
    </row>
    <row r="42" spans="1:73" x14ac:dyDescent="0.35">
      <c r="A42" s="18">
        <v>35</v>
      </c>
      <c r="B42" s="184">
        <v>43069</v>
      </c>
      <c r="C42" s="175">
        <f>MAX(C$6:C41)-SUM(E$6:E41)</f>
        <v>0</v>
      </c>
      <c r="D42" s="309">
        <f>IF(C42=0,0,IF(E41=0,MAX(D$6:D41),D41-1))</f>
        <v>0</v>
      </c>
      <c r="E42" s="309">
        <f t="shared" si="0"/>
        <v>0</v>
      </c>
      <c r="F42" s="175">
        <f>MAX(F$6:F41)-SUM(H$6:H41)</f>
        <v>0</v>
      </c>
      <c r="G42" s="309">
        <f>IF(F42=0,0,IF(H41=0,MAX(G$6:G41),G41-1))</f>
        <v>0</v>
      </c>
      <c r="H42" s="309">
        <f t="shared" si="1"/>
        <v>0</v>
      </c>
      <c r="I42" s="175">
        <f>MAX(I$6:I41)-SUM(K$6:K41)</f>
        <v>0</v>
      </c>
      <c r="J42" s="309">
        <f>IF(I42=0,0,IF(K41=0,MAX(J$6:J41),J41-1))</f>
        <v>0</v>
      </c>
      <c r="K42" s="309">
        <f t="shared" si="2"/>
        <v>0</v>
      </c>
      <c r="L42" s="175">
        <f>MAX(L$6:L41)-SUM(N$6:N41)</f>
        <v>0</v>
      </c>
      <c r="M42" s="309">
        <f>IF(L42=0,0,IF(N41=0,MAX(M$6:M41),M41-1))</f>
        <v>0</v>
      </c>
      <c r="N42" s="309">
        <f t="shared" si="3"/>
        <v>0</v>
      </c>
      <c r="O42" s="175">
        <f>MAX(O$6:O41)-SUM(Q$6:Q41)</f>
        <v>13571250</v>
      </c>
      <c r="P42" s="309">
        <f>IF(O42=0,0,IF(Q41=0,MAX(P$6:P41),P41-1))</f>
        <v>14</v>
      </c>
      <c r="Q42" s="309">
        <f t="shared" si="4"/>
        <v>969375</v>
      </c>
      <c r="R42" s="175">
        <f>MAX(R$6:R41)-SUM(T$6:T41)</f>
        <v>7090780</v>
      </c>
      <c r="S42" s="309">
        <f>IF(R42=0,0,IF(T41=0,MAX(S$6:S41),S41-1))</f>
        <v>26</v>
      </c>
      <c r="T42" s="309">
        <f t="shared" si="5"/>
        <v>272722</v>
      </c>
      <c r="U42" s="175">
        <f>MAX(U$6:U41)-SUM(W$6:W41)</f>
        <v>2957500</v>
      </c>
      <c r="V42" s="309">
        <f>IF(U42=0,0,IF(W41=0,MAX(V$6:V41),V41-1))</f>
        <v>26</v>
      </c>
      <c r="W42" s="309">
        <f t="shared" si="6"/>
        <v>113750</v>
      </c>
      <c r="X42" s="175">
        <f>MAX(X$6:X41)-SUM(Z$6:Z41)</f>
        <v>605000</v>
      </c>
      <c r="Y42" s="309">
        <f>IF(X42=0,0,IF(Z41=0,MAX(Y$6:Y41),Y41-1))</f>
        <v>2</v>
      </c>
      <c r="Z42" s="309">
        <f t="shared" si="7"/>
        <v>302500</v>
      </c>
      <c r="AA42" s="175">
        <f>MAX(AA$6:AA41)-SUM(AC$6:AC41)</f>
        <v>4840000</v>
      </c>
      <c r="AB42" s="309">
        <f>IF(AA42=0,0,IF(AC41=0,MAX(AB$6:AB41),AB41-1))</f>
        <v>8</v>
      </c>
      <c r="AC42" s="309">
        <f t="shared" si="8"/>
        <v>605000</v>
      </c>
      <c r="AD42" s="175">
        <v>0</v>
      </c>
      <c r="AE42" s="309">
        <f>IF(AD42=0,0,IF(AF41=0,MAX(AE$6:AE41),AE41-1))</f>
        <v>0</v>
      </c>
      <c r="AF42" s="309">
        <f t="shared" si="9"/>
        <v>0</v>
      </c>
      <c r="AG42" s="175">
        <v>0</v>
      </c>
      <c r="AH42" s="309">
        <f>IF(AG42=0,0,IF(AI41=0,MAX(AH$6:AH41),AH41-1))</f>
        <v>0</v>
      </c>
      <c r="AI42" s="309">
        <f t="shared" si="10"/>
        <v>0</v>
      </c>
      <c r="AJ42" s="175">
        <v>0</v>
      </c>
      <c r="AK42" s="309">
        <f>IF(AJ42=0,0,IF(AL41=0,MAX(AK$6:AK41),AK41-1))</f>
        <v>0</v>
      </c>
      <c r="AL42" s="309">
        <f t="shared" si="11"/>
        <v>0</v>
      </c>
      <c r="AM42" s="175">
        <v>0</v>
      </c>
      <c r="AN42" s="309">
        <f>IF(AM42=0,0,IF(AO41=0,MAX(AN$6:AN41),AN41-1))</f>
        <v>0</v>
      </c>
      <c r="AO42" s="309">
        <f t="shared" si="12"/>
        <v>0</v>
      </c>
      <c r="AP42" s="175">
        <v>0</v>
      </c>
      <c r="AQ42" s="309">
        <f>IF(AP42=0,0,IF(AR41=0,MAX(AQ$6:AQ41),AQ41-1))</f>
        <v>0</v>
      </c>
      <c r="AR42" s="309">
        <f t="shared" si="13"/>
        <v>0</v>
      </c>
      <c r="AS42" s="175">
        <v>0</v>
      </c>
      <c r="AT42" s="309">
        <f>IF(AS42=0,0,IF(AU41=0,MAX(AT$6:AT41),AT41-1))</f>
        <v>0</v>
      </c>
      <c r="AU42" s="309">
        <f t="shared" si="14"/>
        <v>0</v>
      </c>
      <c r="AV42" s="309">
        <v>0</v>
      </c>
      <c r="AW42" s="309">
        <f>IF(AV42=0,0,IF(AX41=0,MAX(AW$6:AW41),AW41-1))</f>
        <v>0</v>
      </c>
      <c r="AX42" s="309">
        <f t="shared" si="15"/>
        <v>0</v>
      </c>
      <c r="AY42" s="175">
        <v>0</v>
      </c>
      <c r="AZ42" s="309">
        <f>IF(AY42=0,0,IF(BA41=0,MAX(AZ$6:AZ41),AZ41-1))</f>
        <v>0</v>
      </c>
      <c r="BA42" s="309">
        <f t="shared" si="16"/>
        <v>0</v>
      </c>
      <c r="BB42" s="309">
        <f t="shared" si="19"/>
        <v>2263347</v>
      </c>
      <c r="BC42" s="309">
        <f t="shared" si="20"/>
        <v>29064530</v>
      </c>
      <c r="BD42" s="309">
        <f t="shared" si="21"/>
        <v>2263347</v>
      </c>
      <c r="BE42" s="309">
        <f t="shared" si="22"/>
        <v>26801183</v>
      </c>
      <c r="BF42" s="309">
        <f>MAX(C$6:C42)+MAX(F$6:F42)+MAX(I$6:I42)+MAX(L$6:L42)+MAX(O$6:O42)+MAX(R$6:R42)+MAX(U$6:U42)+MAX(X$6:X42)+MAX(AA$6:AA42)+MAX(AD$6:AD42)+MAX(AG$6:AG42)+MAX(AJ$6:AJ42)+MAX(AM$6:AM42)+MAX(AP$6:AP42)+MAX(AS$6:AS42)+MAX(AV$6:AV42)+MAX(AY$6:AY42)</f>
        <v>69968000</v>
      </c>
      <c r="BG42" s="309">
        <f>SUM(E$6:E42)+SUM(H$6:H42)+SUM(K$6:K42)+SUM(N$6:N42)+SUM(Q$6:Q42)+SUM(T$6:T42)+SUM(W$6:W42)+SUM(Z$6:Z42)+SUM(AC$6:AC42)+SUM(AF$6:AF42)+SUM(AI$6:AI42)+SUM(AL$6:AL42)+SUM(AO$6:AO42)+SUM(AR$6:AR42)+SUM(AU$6:AU42)+SUM(AX$6:AX42)+SUM(BA$6:BA42)</f>
        <v>43166817</v>
      </c>
      <c r="BH42" s="309">
        <f t="shared" si="23"/>
        <v>26801183</v>
      </c>
      <c r="BI42" s="309">
        <f t="shared" si="24"/>
        <v>0</v>
      </c>
      <c r="BJ42" s="309">
        <f>MAX(I$6:I42)+MAX(O$6:O42)+MAX(R$6:R42)+MAX(U$6:U42)+MAX(AJ$6:AJ42)+MAX(AM$6:AM42)</f>
        <v>37178000</v>
      </c>
      <c r="BK42" s="309">
        <f>SUM(K$6:K42)+SUM(Q$6:Q42)+SUM(T$6:T42)+SUM(W$6:W42)+SUM(AL$6:AL42)+SUM(AO$6:AO42)</f>
        <v>14914317</v>
      </c>
      <c r="BL42" s="309">
        <f t="shared" si="25"/>
        <v>22263683</v>
      </c>
      <c r="BM42" s="309">
        <f>MAX(C$6:C42)+MAX(F$6:F42)+MAX(L$6:L42)+MAX(X$6:X42)+MAX(AA$6:AA42)+MAX(AD$6:AD42)+MAX(AG$6:AG42)+MAX(AP$6:AP42)+MAX(AS$6:AS42)+MAX(AV$6:AV42)+MAX(AY$6:AY42)</f>
        <v>32790000</v>
      </c>
      <c r="BN42" s="309">
        <f>SUM(E$6:E42)+SUM(H$6:H42)+SUM(N$6:N42)+SUM(Z$6:Z42)+SUM(AC$6:AC42)+SUM(AF$6:AF42)+SUM(AI$6:AI42)+SUM(AR$6:AR42)+SUM(AU$6:AU42)+SUM(AX$6:AX42)+SUM(BA$6:BA42)</f>
        <v>28252500</v>
      </c>
      <c r="BO42" s="309">
        <f t="shared" si="26"/>
        <v>4537500</v>
      </c>
      <c r="BP42" s="309">
        <f t="shared" si="27"/>
        <v>69968000</v>
      </c>
      <c r="BQ42" s="309">
        <f t="shared" si="27"/>
        <v>43166817</v>
      </c>
      <c r="BR42" s="309">
        <f t="shared" si="28"/>
        <v>26801183</v>
      </c>
      <c r="BS42" s="309">
        <f t="shared" si="29"/>
        <v>0</v>
      </c>
      <c r="BT42" s="309">
        <f t="shared" si="29"/>
        <v>0</v>
      </c>
      <c r="BU42" s="309">
        <f t="shared" si="30"/>
        <v>0</v>
      </c>
    </row>
    <row r="43" spans="1:73" x14ac:dyDescent="0.35">
      <c r="A43" s="18">
        <v>36</v>
      </c>
      <c r="B43" s="184">
        <v>43100</v>
      </c>
      <c r="C43" s="175">
        <f>MAX(C$6:C42)-SUM(E$6:E42)</f>
        <v>0</v>
      </c>
      <c r="D43" s="309">
        <f>IF(C43=0,0,IF(E42=0,MAX(D$6:D42),D42-1))</f>
        <v>0</v>
      </c>
      <c r="E43" s="309">
        <f t="shared" si="0"/>
        <v>0</v>
      </c>
      <c r="F43" s="175">
        <f>MAX(F$6:F42)-SUM(H$6:H42)</f>
        <v>0</v>
      </c>
      <c r="G43" s="309">
        <f>IF(F43=0,0,IF(H42=0,MAX(G$6:G42),G42-1))</f>
        <v>0</v>
      </c>
      <c r="H43" s="309">
        <f t="shared" si="1"/>
        <v>0</v>
      </c>
      <c r="I43" s="175">
        <f>MAX(I$6:I42)-SUM(K$6:K42)</f>
        <v>0</v>
      </c>
      <c r="J43" s="309">
        <f>IF(I43=0,0,IF(K42=0,MAX(J$6:J42),J42-1))</f>
        <v>0</v>
      </c>
      <c r="K43" s="309">
        <f t="shared" si="2"/>
        <v>0</v>
      </c>
      <c r="L43" s="175">
        <f>MAX(L$6:L42)-SUM(N$6:N42)</f>
        <v>0</v>
      </c>
      <c r="M43" s="309">
        <f>IF(L43=0,0,IF(N42=0,MAX(M$6:M42),M42-1))</f>
        <v>0</v>
      </c>
      <c r="N43" s="309">
        <f t="shared" si="3"/>
        <v>0</v>
      </c>
      <c r="O43" s="175">
        <f>MAX(O$6:O42)-SUM(Q$6:Q42)</f>
        <v>12601875</v>
      </c>
      <c r="P43" s="309">
        <f>IF(O43=0,0,IF(Q42=0,MAX(P$6:P42),P42-1))</f>
        <v>13</v>
      </c>
      <c r="Q43" s="309">
        <f t="shared" si="4"/>
        <v>969375</v>
      </c>
      <c r="R43" s="175">
        <f>MAX(R$6:R42)-SUM(T$6:T42)</f>
        <v>6818058</v>
      </c>
      <c r="S43" s="309">
        <f>IF(R43=0,0,IF(T42=0,MAX(S$6:S42),S42-1))</f>
        <v>25</v>
      </c>
      <c r="T43" s="309">
        <f t="shared" si="5"/>
        <v>272722</v>
      </c>
      <c r="U43" s="175">
        <f>MAX(U$6:U42)-SUM(W$6:W42)</f>
        <v>2843750</v>
      </c>
      <c r="V43" s="309">
        <f>IF(U43=0,0,IF(W42=0,MAX(V$6:V42),V42-1))</f>
        <v>25</v>
      </c>
      <c r="W43" s="309">
        <f t="shared" si="6"/>
        <v>113750</v>
      </c>
      <c r="X43" s="175">
        <f>MAX(X$6:X42)-SUM(Z$6:Z42)</f>
        <v>302500</v>
      </c>
      <c r="Y43" s="309">
        <f>IF(X43=0,0,IF(Z42=0,MAX(Y$6:Y42),Y42-1))</f>
        <v>1</v>
      </c>
      <c r="Z43" s="309">
        <f t="shared" si="7"/>
        <v>302500</v>
      </c>
      <c r="AA43" s="175">
        <f>MAX(AA$6:AA42)-SUM(AC$6:AC42)</f>
        <v>4235000</v>
      </c>
      <c r="AB43" s="309">
        <f>IF(AA43=0,0,IF(AC42=0,MAX(AB$6:AB42),AB42-1))</f>
        <v>7</v>
      </c>
      <c r="AC43" s="309">
        <f t="shared" si="8"/>
        <v>605000</v>
      </c>
      <c r="AD43" s="175">
        <f>'Inv Adic'!I13</f>
        <v>3993000</v>
      </c>
      <c r="AE43" s="309">
        <f>IF(AD43=0,0,IF(AF42=0,MAX(AE$6:AE42),AE42-1))</f>
        <v>12</v>
      </c>
      <c r="AF43" s="309">
        <f t="shared" si="9"/>
        <v>0</v>
      </c>
      <c r="AG43" s="175">
        <v>0</v>
      </c>
      <c r="AH43" s="309">
        <f>IF(AG43=0,0,IF(AI42=0,MAX(AH$6:AH42),AH42-1))</f>
        <v>0</v>
      </c>
      <c r="AI43" s="309">
        <f t="shared" si="10"/>
        <v>0</v>
      </c>
      <c r="AJ43" s="175">
        <v>0</v>
      </c>
      <c r="AK43" s="309">
        <f>IF(AJ43=0,0,IF(AL42=0,MAX(AK$6:AK42),AK42-1))</f>
        <v>0</v>
      </c>
      <c r="AL43" s="309">
        <f t="shared" si="11"/>
        <v>0</v>
      </c>
      <c r="AM43" s="175">
        <v>0</v>
      </c>
      <c r="AN43" s="309">
        <f>IF(AM43=0,0,IF(AO42=0,MAX(AN$6:AN42),AN42-1))</f>
        <v>0</v>
      </c>
      <c r="AO43" s="309">
        <f t="shared" si="12"/>
        <v>0</v>
      </c>
      <c r="AP43" s="175">
        <v>0</v>
      </c>
      <c r="AQ43" s="309">
        <f>IF(AP43=0,0,IF(AR42=0,MAX(AQ$6:AQ42),AQ42-1))</f>
        <v>0</v>
      </c>
      <c r="AR43" s="309">
        <f t="shared" si="13"/>
        <v>0</v>
      </c>
      <c r="AS43" s="175">
        <v>0</v>
      </c>
      <c r="AT43" s="309">
        <f>IF(AS43=0,0,IF(AU42=0,MAX(AT$6:AT42),AT42-1))</f>
        <v>0</v>
      </c>
      <c r="AU43" s="309">
        <f t="shared" si="14"/>
        <v>0</v>
      </c>
      <c r="AV43" s="309">
        <v>0</v>
      </c>
      <c r="AW43" s="309">
        <f>IF(AV43=0,0,IF(AX42=0,MAX(AW$6:AW42),AW42-1))</f>
        <v>0</v>
      </c>
      <c r="AX43" s="309">
        <f t="shared" si="15"/>
        <v>0</v>
      </c>
      <c r="AY43" s="175">
        <v>0</v>
      </c>
      <c r="AZ43" s="309">
        <f>IF(AY43=0,0,IF(BA42=0,MAX(AZ$6:AZ42),AZ42-1))</f>
        <v>0</v>
      </c>
      <c r="BA43" s="309">
        <f t="shared" si="16"/>
        <v>0</v>
      </c>
      <c r="BB43" s="309">
        <f t="shared" si="19"/>
        <v>2263347</v>
      </c>
      <c r="BC43" s="309">
        <f t="shared" si="20"/>
        <v>30794183</v>
      </c>
      <c r="BD43" s="309">
        <f t="shared" si="21"/>
        <v>2263347</v>
      </c>
      <c r="BE43" s="309">
        <f t="shared" si="22"/>
        <v>28530836</v>
      </c>
      <c r="BF43" s="309">
        <f>MAX(C$6:C43)+MAX(F$6:F43)+MAX(I$6:I43)+MAX(L$6:L43)+MAX(O$6:O43)+MAX(R$6:R43)+MAX(U$6:U43)+MAX(X$6:X43)+MAX(AA$6:AA43)+MAX(AD$6:AD43)+MAX(AG$6:AG43)+MAX(AJ$6:AJ43)+MAX(AM$6:AM43)+MAX(AP$6:AP43)+MAX(AS$6:AS43)+MAX(AV$6:AV43)+MAX(AY$6:AY43)</f>
        <v>73961000</v>
      </c>
      <c r="BG43" s="309">
        <f>SUM(E$6:E43)+SUM(H$6:H43)+SUM(K$6:K43)+SUM(N$6:N43)+SUM(Q$6:Q43)+SUM(T$6:T43)+SUM(W$6:W43)+SUM(Z$6:Z43)+SUM(AC$6:AC43)+SUM(AF$6:AF43)+SUM(AI$6:AI43)+SUM(AL$6:AL43)+SUM(AO$6:AO43)+SUM(AR$6:AR43)+SUM(AU$6:AU43)+SUM(AX$6:AX43)+SUM(BA$6:BA43)</f>
        <v>45430164</v>
      </c>
      <c r="BH43" s="309">
        <f t="shared" si="23"/>
        <v>28530836</v>
      </c>
      <c r="BI43" s="309">
        <f t="shared" si="24"/>
        <v>0</v>
      </c>
      <c r="BJ43" s="309">
        <f>MAX(I$6:I43)+MAX(O$6:O43)+MAX(R$6:R43)+MAX(U$6:U43)+MAX(AJ$6:AJ43)+MAX(AM$6:AM43)</f>
        <v>37178000</v>
      </c>
      <c r="BK43" s="309">
        <f>SUM(K$6:K43)+SUM(Q$6:Q43)+SUM(T$6:T43)+SUM(W$6:W43)+SUM(AL$6:AL43)+SUM(AO$6:AO43)</f>
        <v>16270164</v>
      </c>
      <c r="BL43" s="309">
        <f t="shared" si="25"/>
        <v>20907836</v>
      </c>
      <c r="BM43" s="309">
        <f>MAX(C$6:C43)+MAX(F$6:F43)+MAX(L$6:L43)+MAX(X$6:X43)+MAX(AA$6:AA43)+MAX(AD$6:AD43)+MAX(AG$6:AG43)+MAX(AP$6:AP43)+MAX(AS$6:AS43)+MAX(AV$6:AV43)+MAX(AY$6:AY43)</f>
        <v>36783000</v>
      </c>
      <c r="BN43" s="309">
        <f>SUM(E$6:E43)+SUM(H$6:H43)+SUM(N$6:N43)+SUM(Z$6:Z43)+SUM(AC$6:AC43)+SUM(AF$6:AF43)+SUM(AI$6:AI43)+SUM(AR$6:AR43)+SUM(AU$6:AU43)+SUM(AX$6:AX43)+SUM(BA$6:BA43)</f>
        <v>29160000</v>
      </c>
      <c r="BO43" s="309">
        <f t="shared" si="26"/>
        <v>7623000</v>
      </c>
      <c r="BP43" s="309">
        <f t="shared" si="27"/>
        <v>73961000</v>
      </c>
      <c r="BQ43" s="309">
        <f t="shared" si="27"/>
        <v>45430164</v>
      </c>
      <c r="BR43" s="309">
        <f t="shared" si="28"/>
        <v>28530836</v>
      </c>
      <c r="BS43" s="309">
        <f t="shared" si="29"/>
        <v>0</v>
      </c>
      <c r="BT43" s="309">
        <f t="shared" si="29"/>
        <v>0</v>
      </c>
      <c r="BU43" s="309">
        <f t="shared" si="30"/>
        <v>0</v>
      </c>
    </row>
    <row r="44" spans="1:73" x14ac:dyDescent="0.35">
      <c r="A44" s="18">
        <v>37</v>
      </c>
      <c r="B44" s="184">
        <v>43131</v>
      </c>
      <c r="C44" s="175">
        <f>MAX(C$6:C43)-SUM(E$6:E43)</f>
        <v>0</v>
      </c>
      <c r="D44" s="309">
        <f>IF(C44=0,0,IF(E43=0,MAX(D$6:D43),D43-1))</f>
        <v>0</v>
      </c>
      <c r="E44" s="309">
        <f t="shared" si="0"/>
        <v>0</v>
      </c>
      <c r="F44" s="175">
        <f>MAX(F$6:F43)-SUM(H$6:H43)</f>
        <v>0</v>
      </c>
      <c r="G44" s="309">
        <f>IF(F44=0,0,IF(H43=0,MAX(G$6:G43),G43-1))</f>
        <v>0</v>
      </c>
      <c r="H44" s="309">
        <f t="shared" si="1"/>
        <v>0</v>
      </c>
      <c r="I44" s="175">
        <f>MAX(I$6:I43)-SUM(K$6:K43)</f>
        <v>0</v>
      </c>
      <c r="J44" s="309">
        <f>IF(I44=0,0,IF(K43=0,MAX(J$6:J43),J43-1))</f>
        <v>0</v>
      </c>
      <c r="K44" s="309">
        <f t="shared" si="2"/>
        <v>0</v>
      </c>
      <c r="L44" s="175">
        <f>MAX(L$6:L43)-SUM(N$6:N43)</f>
        <v>0</v>
      </c>
      <c r="M44" s="309">
        <f>IF(L44=0,0,IF(N43=0,MAX(M$6:M43),M43-1))</f>
        <v>0</v>
      </c>
      <c r="N44" s="309">
        <f t="shared" si="3"/>
        <v>0</v>
      </c>
      <c r="O44" s="175">
        <f>MAX(O$6:O43)-SUM(Q$6:Q43)</f>
        <v>11632500</v>
      </c>
      <c r="P44" s="309">
        <f>IF(O44=0,0,IF(Q43=0,MAX(P$6:P43),P43-1))</f>
        <v>12</v>
      </c>
      <c r="Q44" s="309">
        <f t="shared" si="4"/>
        <v>969375</v>
      </c>
      <c r="R44" s="175">
        <f>MAX(R$6:R43)-SUM(T$6:T43)</f>
        <v>6545336</v>
      </c>
      <c r="S44" s="309">
        <f>IF(R44=0,0,IF(T43=0,MAX(S$6:S43),S43-1))</f>
        <v>24</v>
      </c>
      <c r="T44" s="309">
        <f t="shared" si="5"/>
        <v>272722</v>
      </c>
      <c r="U44" s="175">
        <f>MAX(U$6:U43)-SUM(W$6:W43)</f>
        <v>2730000</v>
      </c>
      <c r="V44" s="309">
        <f>IF(U44=0,0,IF(W43=0,MAX(V$6:V43),V43-1))</f>
        <v>24</v>
      </c>
      <c r="W44" s="309">
        <f t="shared" si="6"/>
        <v>113750</v>
      </c>
      <c r="X44" s="175">
        <f>MAX(X$6:X43)-SUM(Z$6:Z43)</f>
        <v>0</v>
      </c>
      <c r="Y44" s="309">
        <f>IF(X44=0,0,IF(Z43=0,MAX(Y$6:Y43),Y43-1))</f>
        <v>0</v>
      </c>
      <c r="Z44" s="309">
        <f t="shared" si="7"/>
        <v>0</v>
      </c>
      <c r="AA44" s="175">
        <f>MAX(AA$6:AA43)-SUM(AC$6:AC43)</f>
        <v>3630000</v>
      </c>
      <c r="AB44" s="309">
        <f>IF(AA44=0,0,IF(AC43=0,MAX(AB$6:AB43),AB43-1))</f>
        <v>6</v>
      </c>
      <c r="AC44" s="309">
        <f t="shared" si="8"/>
        <v>605000</v>
      </c>
      <c r="AD44" s="175">
        <f>MAX(AD$6:AD43)-SUM(AF$6:AF43)</f>
        <v>3993000</v>
      </c>
      <c r="AE44" s="309">
        <f>IF(AD44=0,0,IF(AF43=0,MAX(AE$6:AE43),AE43-1))</f>
        <v>12</v>
      </c>
      <c r="AF44" s="309">
        <f t="shared" si="9"/>
        <v>332750</v>
      </c>
      <c r="AG44" s="175">
        <v>0</v>
      </c>
      <c r="AH44" s="309">
        <f>IF(AG44=0,0,IF(AI43=0,MAX(AH$6:AH43),AH43-1))</f>
        <v>0</v>
      </c>
      <c r="AI44" s="309">
        <f t="shared" si="10"/>
        <v>0</v>
      </c>
      <c r="AJ44" s="175">
        <v>0</v>
      </c>
      <c r="AK44" s="309">
        <f>IF(AJ44=0,0,IF(AL43=0,MAX(AK$6:AK43),AK43-1))</f>
        <v>0</v>
      </c>
      <c r="AL44" s="309">
        <f t="shared" si="11"/>
        <v>0</v>
      </c>
      <c r="AM44" s="175">
        <v>0</v>
      </c>
      <c r="AN44" s="309">
        <f>IF(AM44=0,0,IF(AO43=0,MAX(AN$6:AN43),AN43-1))</f>
        <v>0</v>
      </c>
      <c r="AO44" s="309">
        <f t="shared" si="12"/>
        <v>0</v>
      </c>
      <c r="AP44" s="175">
        <v>0</v>
      </c>
      <c r="AQ44" s="309">
        <f>IF(AP44=0,0,IF(AR43=0,MAX(AQ$6:AQ43),AQ43-1))</f>
        <v>0</v>
      </c>
      <c r="AR44" s="309">
        <f t="shared" si="13"/>
        <v>0</v>
      </c>
      <c r="AS44" s="175">
        <v>0</v>
      </c>
      <c r="AT44" s="309">
        <f>IF(AS44=0,0,IF(AU43=0,MAX(AT$6:AT43),AT43-1))</f>
        <v>0</v>
      </c>
      <c r="AU44" s="309">
        <f t="shared" si="14"/>
        <v>0</v>
      </c>
      <c r="AV44" s="309">
        <v>0</v>
      </c>
      <c r="AW44" s="309">
        <f>IF(AV44=0,0,IF(AX43=0,MAX(AW$6:AW43),AW43-1))</f>
        <v>0</v>
      </c>
      <c r="AX44" s="309">
        <f t="shared" si="15"/>
        <v>0</v>
      </c>
      <c r="AY44" s="175">
        <v>0</v>
      </c>
      <c r="AZ44" s="309">
        <f>IF(AY44=0,0,IF(BA43=0,MAX(AZ$6:AZ43),AZ43-1))</f>
        <v>0</v>
      </c>
      <c r="BA44" s="309">
        <f t="shared" si="16"/>
        <v>0</v>
      </c>
      <c r="BB44" s="309">
        <f t="shared" si="19"/>
        <v>2293597</v>
      </c>
      <c r="BC44" s="309">
        <f t="shared" si="20"/>
        <v>28530836</v>
      </c>
      <c r="BD44" s="309">
        <f t="shared" si="21"/>
        <v>2293597</v>
      </c>
      <c r="BE44" s="309">
        <f t="shared" si="22"/>
        <v>26237239</v>
      </c>
      <c r="BF44" s="309">
        <f>MAX(C$6:C44)+MAX(F$6:F44)+MAX(I$6:I44)+MAX(L$6:L44)+MAX(O$6:O44)+MAX(R$6:R44)+MAX(U$6:U44)+MAX(X$6:X44)+MAX(AA$6:AA44)+MAX(AD$6:AD44)+MAX(AG$6:AG44)+MAX(AJ$6:AJ44)+MAX(AM$6:AM44)+MAX(AP$6:AP44)+MAX(AS$6:AS44)+MAX(AV$6:AV44)+MAX(AY$6:AY44)</f>
        <v>73961000</v>
      </c>
      <c r="BG44" s="309">
        <f>SUM(E$6:E44)+SUM(H$6:H44)+SUM(K$6:K44)+SUM(N$6:N44)+SUM(Q$6:Q44)+SUM(T$6:T44)+SUM(W$6:W44)+SUM(Z$6:Z44)+SUM(AC$6:AC44)+SUM(AF$6:AF44)+SUM(AI$6:AI44)+SUM(AL$6:AL44)+SUM(AO$6:AO44)+SUM(AR$6:AR44)+SUM(AU$6:AU44)+SUM(AX$6:AX44)+SUM(BA$6:BA44)</f>
        <v>47723761</v>
      </c>
      <c r="BH44" s="309">
        <f t="shared" si="23"/>
        <v>26237239</v>
      </c>
      <c r="BI44" s="309">
        <f t="shared" si="24"/>
        <v>0</v>
      </c>
      <c r="BJ44" s="309">
        <f>MAX(I$6:I44)+MAX(O$6:O44)+MAX(R$6:R44)+MAX(U$6:U44)+MAX(AJ$6:AJ44)+MAX(AM$6:AM44)</f>
        <v>37178000</v>
      </c>
      <c r="BK44" s="309">
        <f>SUM(K$6:K44)+SUM(Q$6:Q44)+SUM(T$6:T44)+SUM(W$6:W44)+SUM(AL$6:AL44)+SUM(AO$6:AO44)</f>
        <v>17626011</v>
      </c>
      <c r="BL44" s="309">
        <f t="shared" si="25"/>
        <v>19551989</v>
      </c>
      <c r="BM44" s="309">
        <f>MAX(C$6:C44)+MAX(F$6:F44)+MAX(L$6:L44)+MAX(X$6:X44)+MAX(AA$6:AA44)+MAX(AD$6:AD44)+MAX(AG$6:AG44)+MAX(AP$6:AP44)+MAX(AS$6:AS44)+MAX(AV$6:AV44)+MAX(AY$6:AY44)</f>
        <v>36783000</v>
      </c>
      <c r="BN44" s="309">
        <f>SUM(E$6:E44)+SUM(H$6:H44)+SUM(N$6:N44)+SUM(Z$6:Z44)+SUM(AC$6:AC44)+SUM(AF$6:AF44)+SUM(AI$6:AI44)+SUM(AR$6:AR44)+SUM(AU$6:AU44)+SUM(AX$6:AX44)+SUM(BA$6:BA44)</f>
        <v>30097750</v>
      </c>
      <c r="BO44" s="309">
        <f t="shared" si="26"/>
        <v>6685250</v>
      </c>
      <c r="BP44" s="309">
        <f t="shared" si="27"/>
        <v>73961000</v>
      </c>
      <c r="BQ44" s="309">
        <f t="shared" si="27"/>
        <v>47723761</v>
      </c>
      <c r="BR44" s="309">
        <f t="shared" si="28"/>
        <v>26237239</v>
      </c>
      <c r="BS44" s="309">
        <f t="shared" si="29"/>
        <v>0</v>
      </c>
      <c r="BT44" s="309">
        <f t="shared" si="29"/>
        <v>0</v>
      </c>
      <c r="BU44" s="309">
        <f t="shared" si="30"/>
        <v>0</v>
      </c>
    </row>
    <row r="45" spans="1:73" x14ac:dyDescent="0.35">
      <c r="A45" s="18">
        <v>38</v>
      </c>
      <c r="B45" s="184">
        <v>43159</v>
      </c>
      <c r="C45" s="175">
        <f>MAX(C$6:C44)-SUM(E$6:E44)</f>
        <v>0</v>
      </c>
      <c r="D45" s="309">
        <f>IF(C45=0,0,IF(E44=0,MAX(D$6:D44),D44-1))</f>
        <v>0</v>
      </c>
      <c r="E45" s="309">
        <f t="shared" si="0"/>
        <v>0</v>
      </c>
      <c r="F45" s="175">
        <f>MAX(F$6:F44)-SUM(H$6:H44)</f>
        <v>0</v>
      </c>
      <c r="G45" s="309">
        <f>IF(F45=0,0,IF(H44=0,MAX(G$6:G44),G44-1))</f>
        <v>0</v>
      </c>
      <c r="H45" s="309">
        <f t="shared" si="1"/>
        <v>0</v>
      </c>
      <c r="I45" s="175">
        <f>MAX(I$6:I44)-SUM(K$6:K44)</f>
        <v>0</v>
      </c>
      <c r="J45" s="309">
        <f>IF(I45=0,0,IF(K44=0,MAX(J$6:J44),J44-1))</f>
        <v>0</v>
      </c>
      <c r="K45" s="309">
        <f t="shared" si="2"/>
        <v>0</v>
      </c>
      <c r="L45" s="175">
        <f>MAX(L$6:L44)-SUM(N$6:N44)</f>
        <v>0</v>
      </c>
      <c r="M45" s="309">
        <f>IF(L45=0,0,IF(N44=0,MAX(M$6:M44),M44-1))</f>
        <v>0</v>
      </c>
      <c r="N45" s="309">
        <f t="shared" si="3"/>
        <v>0</v>
      </c>
      <c r="O45" s="175">
        <f>MAX(O$6:O44)-SUM(Q$6:Q44)</f>
        <v>10663125</v>
      </c>
      <c r="P45" s="309">
        <f>IF(O45=0,0,IF(Q44=0,MAX(P$6:P44),P44-1))</f>
        <v>11</v>
      </c>
      <c r="Q45" s="309">
        <f t="shared" si="4"/>
        <v>969375</v>
      </c>
      <c r="R45" s="175">
        <f>MAX(R$6:R44)-SUM(T$6:T44)</f>
        <v>6272614</v>
      </c>
      <c r="S45" s="309">
        <f>IF(R45=0,0,IF(T44=0,MAX(S$6:S44),S44-1))</f>
        <v>23</v>
      </c>
      <c r="T45" s="309">
        <f t="shared" si="5"/>
        <v>272722</v>
      </c>
      <c r="U45" s="175">
        <f>MAX(U$6:U44)-SUM(W$6:W44)</f>
        <v>2616250</v>
      </c>
      <c r="V45" s="309">
        <f>IF(U45=0,0,IF(W44=0,MAX(V$6:V44),V44-1))</f>
        <v>23</v>
      </c>
      <c r="W45" s="309">
        <f t="shared" si="6"/>
        <v>113750</v>
      </c>
      <c r="X45" s="175">
        <f>MAX(X$6:X44)-SUM(Z$6:Z44)</f>
        <v>0</v>
      </c>
      <c r="Y45" s="309">
        <f>IF(X45=0,0,IF(Z44=0,MAX(Y$6:Y44),Y44-1))</f>
        <v>0</v>
      </c>
      <c r="Z45" s="309">
        <f t="shared" si="7"/>
        <v>0</v>
      </c>
      <c r="AA45" s="175">
        <f>MAX(AA$6:AA44)-SUM(AC$6:AC44)</f>
        <v>3025000</v>
      </c>
      <c r="AB45" s="309">
        <f>IF(AA45=0,0,IF(AC44=0,MAX(AB$6:AB44),AB44-1))</f>
        <v>5</v>
      </c>
      <c r="AC45" s="309">
        <f t="shared" si="8"/>
        <v>605000</v>
      </c>
      <c r="AD45" s="175">
        <f>MAX(AD$6:AD44)-SUM(AF$6:AF44)</f>
        <v>3660250</v>
      </c>
      <c r="AE45" s="309">
        <f>IF(AD45=0,0,IF(AF44=0,MAX(AE$6:AE44),AE44-1))</f>
        <v>11</v>
      </c>
      <c r="AF45" s="309">
        <f t="shared" si="9"/>
        <v>332750</v>
      </c>
      <c r="AG45" s="175">
        <v>0</v>
      </c>
      <c r="AH45" s="309">
        <f>IF(AG45=0,0,IF(AI44=0,MAX(AH$6:AH44),AH44-1))</f>
        <v>0</v>
      </c>
      <c r="AI45" s="309">
        <f t="shared" si="10"/>
        <v>0</v>
      </c>
      <c r="AJ45" s="175">
        <v>0</v>
      </c>
      <c r="AK45" s="309">
        <f>IF(AJ45=0,0,IF(AL44=0,MAX(AK$6:AK44),AK44-1))</f>
        <v>0</v>
      </c>
      <c r="AL45" s="309">
        <f t="shared" si="11"/>
        <v>0</v>
      </c>
      <c r="AM45" s="175">
        <v>0</v>
      </c>
      <c r="AN45" s="309">
        <f>IF(AM45=0,0,IF(AO44=0,MAX(AN$6:AN44),AN44-1))</f>
        <v>0</v>
      </c>
      <c r="AO45" s="309">
        <f t="shared" si="12"/>
        <v>0</v>
      </c>
      <c r="AP45" s="175">
        <v>0</v>
      </c>
      <c r="AQ45" s="309">
        <f>IF(AP45=0,0,IF(AR44=0,MAX(AQ$6:AQ44),AQ44-1))</f>
        <v>0</v>
      </c>
      <c r="AR45" s="309">
        <f t="shared" si="13"/>
        <v>0</v>
      </c>
      <c r="AS45" s="175">
        <v>0</v>
      </c>
      <c r="AT45" s="309">
        <f>IF(AS45=0,0,IF(AU44=0,MAX(AT$6:AT44),AT44-1))</f>
        <v>0</v>
      </c>
      <c r="AU45" s="309">
        <f t="shared" si="14"/>
        <v>0</v>
      </c>
      <c r="AV45" s="309">
        <v>0</v>
      </c>
      <c r="AW45" s="309">
        <f>IF(AV45=0,0,IF(AX44=0,MAX(AW$6:AW44),AW44-1))</f>
        <v>0</v>
      </c>
      <c r="AX45" s="309">
        <f t="shared" si="15"/>
        <v>0</v>
      </c>
      <c r="AY45" s="175">
        <v>0</v>
      </c>
      <c r="AZ45" s="309">
        <f>IF(AY45=0,0,IF(BA44=0,MAX(AZ$6:AZ44),AZ44-1))</f>
        <v>0</v>
      </c>
      <c r="BA45" s="309">
        <f t="shared" si="16"/>
        <v>0</v>
      </c>
      <c r="BB45" s="309">
        <f t="shared" si="19"/>
        <v>2293597</v>
      </c>
      <c r="BC45" s="309">
        <f t="shared" si="20"/>
        <v>26237239</v>
      </c>
      <c r="BD45" s="309">
        <f t="shared" si="21"/>
        <v>2293597</v>
      </c>
      <c r="BE45" s="309">
        <f t="shared" si="22"/>
        <v>23943642</v>
      </c>
      <c r="BF45" s="309">
        <f>MAX(C$6:C45)+MAX(F$6:F45)+MAX(I$6:I45)+MAX(L$6:L45)+MAX(O$6:O45)+MAX(R$6:R45)+MAX(U$6:U45)+MAX(X$6:X45)+MAX(AA$6:AA45)+MAX(AD$6:AD45)+MAX(AG$6:AG45)+MAX(AJ$6:AJ45)+MAX(AM$6:AM45)+MAX(AP$6:AP45)+MAX(AS$6:AS45)+MAX(AV$6:AV45)+MAX(AY$6:AY45)</f>
        <v>73961000</v>
      </c>
      <c r="BG45" s="309">
        <f>SUM(E$6:E45)+SUM(H$6:H45)+SUM(K$6:K45)+SUM(N$6:N45)+SUM(Q$6:Q45)+SUM(T$6:T45)+SUM(W$6:W45)+SUM(Z$6:Z45)+SUM(AC$6:AC45)+SUM(AF$6:AF45)+SUM(AI$6:AI45)+SUM(AL$6:AL45)+SUM(AO$6:AO45)+SUM(AR$6:AR45)+SUM(AU$6:AU45)+SUM(AX$6:AX45)+SUM(BA$6:BA45)</f>
        <v>50017358</v>
      </c>
      <c r="BH45" s="309">
        <f t="shared" si="23"/>
        <v>23943642</v>
      </c>
      <c r="BI45" s="309">
        <f t="shared" si="24"/>
        <v>0</v>
      </c>
      <c r="BJ45" s="309">
        <f>MAX(I$6:I45)+MAX(O$6:O45)+MAX(R$6:R45)+MAX(U$6:U45)+MAX(AJ$6:AJ45)+MAX(AM$6:AM45)</f>
        <v>37178000</v>
      </c>
      <c r="BK45" s="309">
        <f>SUM(K$6:K45)+SUM(Q$6:Q45)+SUM(T$6:T45)+SUM(W$6:W45)+SUM(AL$6:AL45)+SUM(AO$6:AO45)</f>
        <v>18981858</v>
      </c>
      <c r="BL45" s="309">
        <f t="shared" si="25"/>
        <v>18196142</v>
      </c>
      <c r="BM45" s="309">
        <f>MAX(C$6:C45)+MAX(F$6:F45)+MAX(L$6:L45)+MAX(X$6:X45)+MAX(AA$6:AA45)+MAX(AD$6:AD45)+MAX(AG$6:AG45)+MAX(AP$6:AP45)+MAX(AS$6:AS45)+MAX(AV$6:AV45)+MAX(AY$6:AY45)</f>
        <v>36783000</v>
      </c>
      <c r="BN45" s="309">
        <f>SUM(E$6:E45)+SUM(H$6:H45)+SUM(N$6:N45)+SUM(Z$6:Z45)+SUM(AC$6:AC45)+SUM(AF$6:AF45)+SUM(AI$6:AI45)+SUM(AR$6:AR45)+SUM(AU$6:AU45)+SUM(AX$6:AX45)+SUM(BA$6:BA45)</f>
        <v>31035500</v>
      </c>
      <c r="BO45" s="309">
        <f t="shared" si="26"/>
        <v>5747500</v>
      </c>
      <c r="BP45" s="309">
        <f t="shared" si="27"/>
        <v>73961000</v>
      </c>
      <c r="BQ45" s="309">
        <f t="shared" si="27"/>
        <v>50017358</v>
      </c>
      <c r="BR45" s="309">
        <f t="shared" si="28"/>
        <v>23943642</v>
      </c>
      <c r="BS45" s="309">
        <f t="shared" si="29"/>
        <v>0</v>
      </c>
      <c r="BT45" s="309">
        <f t="shared" si="29"/>
        <v>0</v>
      </c>
      <c r="BU45" s="309">
        <f t="shared" si="30"/>
        <v>0</v>
      </c>
    </row>
    <row r="46" spans="1:73" x14ac:dyDescent="0.35">
      <c r="A46" s="18">
        <v>39</v>
      </c>
      <c r="B46" s="184">
        <v>43190</v>
      </c>
      <c r="C46" s="175">
        <f>MAX(C$6:C45)-SUM(E$6:E45)</f>
        <v>0</v>
      </c>
      <c r="D46" s="309">
        <f>IF(C46=0,0,IF(E45=0,MAX(D$6:D45),D45-1))</f>
        <v>0</v>
      </c>
      <c r="E46" s="309">
        <f t="shared" si="0"/>
        <v>0</v>
      </c>
      <c r="F46" s="175">
        <f>MAX(F$6:F45)-SUM(H$6:H45)</f>
        <v>0</v>
      </c>
      <c r="G46" s="309">
        <f>IF(F46=0,0,IF(H45=0,MAX(G$6:G45),G45-1))</f>
        <v>0</v>
      </c>
      <c r="H46" s="309">
        <f t="shared" si="1"/>
        <v>0</v>
      </c>
      <c r="I46" s="175">
        <f>MAX(I$6:I45)-SUM(K$6:K45)</f>
        <v>0</v>
      </c>
      <c r="J46" s="309">
        <f>IF(I46=0,0,IF(K45=0,MAX(J$6:J45),J45-1))</f>
        <v>0</v>
      </c>
      <c r="K46" s="309">
        <f t="shared" si="2"/>
        <v>0</v>
      </c>
      <c r="L46" s="175">
        <f>MAX(L$6:L45)-SUM(N$6:N45)</f>
        <v>0</v>
      </c>
      <c r="M46" s="309">
        <f>IF(L46=0,0,IF(N45=0,MAX(M$6:M45),M45-1))</f>
        <v>0</v>
      </c>
      <c r="N46" s="309">
        <f t="shared" si="3"/>
        <v>0</v>
      </c>
      <c r="O46" s="175">
        <f>MAX(O$6:O45)-SUM(Q$6:Q45)</f>
        <v>9693750</v>
      </c>
      <c r="P46" s="309">
        <f>IF(O46=0,0,IF(Q45=0,MAX(P$6:P45),P45-1))</f>
        <v>10</v>
      </c>
      <c r="Q46" s="309">
        <f t="shared" si="4"/>
        <v>969375</v>
      </c>
      <c r="R46" s="175">
        <f>MAX(R$6:R45)-SUM(T$6:T45)</f>
        <v>5999892</v>
      </c>
      <c r="S46" s="309">
        <f>IF(R46=0,0,IF(T45=0,MAX(S$6:S45),S45-1))</f>
        <v>22</v>
      </c>
      <c r="T46" s="309">
        <f t="shared" si="5"/>
        <v>272722</v>
      </c>
      <c r="U46" s="175">
        <f>MAX(U$6:U45)-SUM(W$6:W45)</f>
        <v>2502500</v>
      </c>
      <c r="V46" s="309">
        <f>IF(U46=0,0,IF(W45=0,MAX(V$6:V45),V45-1))</f>
        <v>22</v>
      </c>
      <c r="W46" s="309">
        <f t="shared" si="6"/>
        <v>113750</v>
      </c>
      <c r="X46" s="175">
        <f>MAX(X$6:X45)-SUM(Z$6:Z45)</f>
        <v>0</v>
      </c>
      <c r="Y46" s="309">
        <f>IF(X46=0,0,IF(Z45=0,MAX(Y$6:Y45),Y45-1))</f>
        <v>0</v>
      </c>
      <c r="Z46" s="309">
        <f t="shared" si="7"/>
        <v>0</v>
      </c>
      <c r="AA46" s="175">
        <f>MAX(AA$6:AA45)-SUM(AC$6:AC45)</f>
        <v>2420000</v>
      </c>
      <c r="AB46" s="309">
        <f>IF(AA46=0,0,IF(AC45=0,MAX(AB$6:AB45),AB45-1))</f>
        <v>4</v>
      </c>
      <c r="AC46" s="309">
        <f t="shared" si="8"/>
        <v>605000</v>
      </c>
      <c r="AD46" s="175">
        <f>MAX(AD$6:AD45)-SUM(AF$6:AF45)</f>
        <v>3327500</v>
      </c>
      <c r="AE46" s="309">
        <f>IF(AD46=0,0,IF(AF45=0,MAX(AE$6:AE45),AE45-1))</f>
        <v>10</v>
      </c>
      <c r="AF46" s="309">
        <f t="shared" si="9"/>
        <v>332750</v>
      </c>
      <c r="AG46" s="175">
        <v>0</v>
      </c>
      <c r="AH46" s="309">
        <f>IF(AG46=0,0,IF(AI45=0,MAX(AH$6:AH45),AH45-1))</f>
        <v>0</v>
      </c>
      <c r="AI46" s="309">
        <f t="shared" si="10"/>
        <v>0</v>
      </c>
      <c r="AJ46" s="175">
        <v>0</v>
      </c>
      <c r="AK46" s="309">
        <f>IF(AJ46=0,0,IF(AL45=0,MAX(AK$6:AK45),AK45-1))</f>
        <v>0</v>
      </c>
      <c r="AL46" s="309">
        <f t="shared" si="11"/>
        <v>0</v>
      </c>
      <c r="AM46" s="175">
        <v>0</v>
      </c>
      <c r="AN46" s="309">
        <f>IF(AM46=0,0,IF(AO45=0,MAX(AN$6:AN45),AN45-1))</f>
        <v>0</v>
      </c>
      <c r="AO46" s="309">
        <f t="shared" si="12"/>
        <v>0</v>
      </c>
      <c r="AP46" s="175">
        <v>0</v>
      </c>
      <c r="AQ46" s="309">
        <f>IF(AP46=0,0,IF(AR45=0,MAX(AQ$6:AQ45),AQ45-1))</f>
        <v>0</v>
      </c>
      <c r="AR46" s="309">
        <f t="shared" si="13"/>
        <v>0</v>
      </c>
      <c r="AS46" s="175">
        <v>0</v>
      </c>
      <c r="AT46" s="309">
        <f>IF(AS46=0,0,IF(AU45=0,MAX(AT$6:AT45),AT45-1))</f>
        <v>0</v>
      </c>
      <c r="AU46" s="309">
        <f t="shared" si="14"/>
        <v>0</v>
      </c>
      <c r="AV46" s="309">
        <v>0</v>
      </c>
      <c r="AW46" s="309">
        <f>IF(AV46=0,0,IF(AX45=0,MAX(AW$6:AW45),AW45-1))</f>
        <v>0</v>
      </c>
      <c r="AX46" s="309">
        <f t="shared" si="15"/>
        <v>0</v>
      </c>
      <c r="AY46" s="175">
        <v>0</v>
      </c>
      <c r="AZ46" s="309">
        <f>IF(AY46=0,0,IF(BA45=0,MAX(AZ$6:AZ45),AZ45-1))</f>
        <v>0</v>
      </c>
      <c r="BA46" s="309">
        <f t="shared" si="16"/>
        <v>0</v>
      </c>
      <c r="BB46" s="309">
        <f t="shared" si="19"/>
        <v>2293597</v>
      </c>
      <c r="BC46" s="309">
        <f t="shared" si="20"/>
        <v>23943642</v>
      </c>
      <c r="BD46" s="309">
        <f t="shared" si="21"/>
        <v>2293597</v>
      </c>
      <c r="BE46" s="309">
        <f t="shared" si="22"/>
        <v>21650045</v>
      </c>
      <c r="BF46" s="309">
        <f>MAX(C$6:C46)+MAX(F$6:F46)+MAX(I$6:I46)+MAX(L$6:L46)+MAX(O$6:O46)+MAX(R$6:R46)+MAX(U$6:U46)+MAX(X$6:X46)+MAX(AA$6:AA46)+MAX(AD$6:AD46)+MAX(AG$6:AG46)+MAX(AJ$6:AJ46)+MAX(AM$6:AM46)+MAX(AP$6:AP46)+MAX(AS$6:AS46)+MAX(AV$6:AV46)+MAX(AY$6:AY46)</f>
        <v>73961000</v>
      </c>
      <c r="BG46" s="309">
        <f>SUM(E$6:E46)+SUM(H$6:H46)+SUM(K$6:K46)+SUM(N$6:N46)+SUM(Q$6:Q46)+SUM(T$6:T46)+SUM(W$6:W46)+SUM(Z$6:Z46)+SUM(AC$6:AC46)+SUM(AF$6:AF46)+SUM(AI$6:AI46)+SUM(AL$6:AL46)+SUM(AO$6:AO46)+SUM(AR$6:AR46)+SUM(AU$6:AU46)+SUM(AX$6:AX46)+SUM(BA$6:BA46)</f>
        <v>52310955</v>
      </c>
      <c r="BH46" s="309">
        <f t="shared" si="23"/>
        <v>21650045</v>
      </c>
      <c r="BI46" s="309">
        <f t="shared" si="24"/>
        <v>0</v>
      </c>
      <c r="BJ46" s="309">
        <f>MAX(I$6:I46)+MAX(O$6:O46)+MAX(R$6:R46)+MAX(U$6:U46)+MAX(AJ$6:AJ46)+MAX(AM$6:AM46)</f>
        <v>37178000</v>
      </c>
      <c r="BK46" s="309">
        <f>SUM(K$6:K46)+SUM(Q$6:Q46)+SUM(T$6:T46)+SUM(W$6:W46)+SUM(AL$6:AL46)+SUM(AO$6:AO46)</f>
        <v>20337705</v>
      </c>
      <c r="BL46" s="309">
        <f t="shared" si="25"/>
        <v>16840295</v>
      </c>
      <c r="BM46" s="309">
        <f>MAX(C$6:C46)+MAX(F$6:F46)+MAX(L$6:L46)+MAX(X$6:X46)+MAX(AA$6:AA46)+MAX(AD$6:AD46)+MAX(AG$6:AG46)+MAX(AP$6:AP46)+MAX(AS$6:AS46)+MAX(AV$6:AV46)+MAX(AY$6:AY46)</f>
        <v>36783000</v>
      </c>
      <c r="BN46" s="309">
        <f>SUM(E$6:E46)+SUM(H$6:H46)+SUM(N$6:N46)+SUM(Z$6:Z46)+SUM(AC$6:AC46)+SUM(AF$6:AF46)+SUM(AI$6:AI46)+SUM(AR$6:AR46)+SUM(AU$6:AU46)+SUM(AX$6:AX46)+SUM(BA$6:BA46)</f>
        <v>31973250</v>
      </c>
      <c r="BO46" s="309">
        <f t="shared" si="26"/>
        <v>4809750</v>
      </c>
      <c r="BP46" s="309">
        <f t="shared" si="27"/>
        <v>73961000</v>
      </c>
      <c r="BQ46" s="309">
        <f t="shared" si="27"/>
        <v>52310955</v>
      </c>
      <c r="BR46" s="309">
        <f t="shared" si="28"/>
        <v>21650045</v>
      </c>
      <c r="BS46" s="309">
        <f t="shared" si="29"/>
        <v>0</v>
      </c>
      <c r="BT46" s="309">
        <f t="shared" si="29"/>
        <v>0</v>
      </c>
      <c r="BU46" s="309">
        <f t="shared" si="30"/>
        <v>0</v>
      </c>
    </row>
    <row r="47" spans="1:73" x14ac:dyDescent="0.35">
      <c r="A47" s="18">
        <v>40</v>
      </c>
      <c r="B47" s="184">
        <v>43220</v>
      </c>
      <c r="C47" s="175">
        <f>MAX(C$6:C46)-SUM(E$6:E46)</f>
        <v>0</v>
      </c>
      <c r="D47" s="309">
        <f>IF(C47=0,0,IF(E46=0,MAX(D$6:D46),D46-1))</f>
        <v>0</v>
      </c>
      <c r="E47" s="309">
        <f t="shared" si="0"/>
        <v>0</v>
      </c>
      <c r="F47" s="175">
        <f>MAX(F$6:F46)-SUM(H$6:H46)</f>
        <v>0</v>
      </c>
      <c r="G47" s="309">
        <f>IF(F47=0,0,IF(H46=0,MAX(G$6:G46),G46-1))</f>
        <v>0</v>
      </c>
      <c r="H47" s="309">
        <f t="shared" si="1"/>
        <v>0</v>
      </c>
      <c r="I47" s="175">
        <f>MAX(I$6:I46)-SUM(K$6:K46)</f>
        <v>0</v>
      </c>
      <c r="J47" s="309">
        <f>IF(I47=0,0,IF(K46=0,MAX(J$6:J46),J46-1))</f>
        <v>0</v>
      </c>
      <c r="K47" s="309">
        <f t="shared" si="2"/>
        <v>0</v>
      </c>
      <c r="L47" s="175">
        <f>MAX(L$6:L46)-SUM(N$6:N46)</f>
        <v>0</v>
      </c>
      <c r="M47" s="309">
        <f>IF(L47=0,0,IF(N46=0,MAX(M$6:M46),M46-1))</f>
        <v>0</v>
      </c>
      <c r="N47" s="309">
        <f t="shared" si="3"/>
        <v>0</v>
      </c>
      <c r="O47" s="175">
        <f>MAX(O$6:O46)-SUM(Q$6:Q46)</f>
        <v>8724375</v>
      </c>
      <c r="P47" s="309">
        <f>IF(O47=0,0,IF(Q46=0,MAX(P$6:P46),P46-1))</f>
        <v>9</v>
      </c>
      <c r="Q47" s="309">
        <f t="shared" si="4"/>
        <v>969375</v>
      </c>
      <c r="R47" s="175">
        <f>MAX(R$6:R46)-SUM(T$6:T46)</f>
        <v>5727170</v>
      </c>
      <c r="S47" s="309">
        <f>IF(R47=0,0,IF(T46=0,MAX(S$6:S46),S46-1))</f>
        <v>21</v>
      </c>
      <c r="T47" s="309">
        <f t="shared" si="5"/>
        <v>272722</v>
      </c>
      <c r="U47" s="175">
        <f>MAX(U$6:U46)-SUM(W$6:W46)</f>
        <v>2388750</v>
      </c>
      <c r="V47" s="309">
        <f>IF(U47=0,0,IF(W46=0,MAX(V$6:V46),V46-1))</f>
        <v>21</v>
      </c>
      <c r="W47" s="309">
        <f t="shared" si="6"/>
        <v>113750</v>
      </c>
      <c r="X47" s="175">
        <f>MAX(X$6:X46)-SUM(Z$6:Z46)</f>
        <v>0</v>
      </c>
      <c r="Y47" s="309">
        <f>IF(X47=0,0,IF(Z46=0,MAX(Y$6:Y46),Y46-1))</f>
        <v>0</v>
      </c>
      <c r="Z47" s="309">
        <f t="shared" si="7"/>
        <v>0</v>
      </c>
      <c r="AA47" s="175">
        <f>MAX(AA$6:AA46)-SUM(AC$6:AC46)</f>
        <v>1815000</v>
      </c>
      <c r="AB47" s="309">
        <f>IF(AA47=0,0,IF(AC46=0,MAX(AB$6:AB46),AB46-1))</f>
        <v>3</v>
      </c>
      <c r="AC47" s="309">
        <f t="shared" si="8"/>
        <v>605000</v>
      </c>
      <c r="AD47" s="175">
        <f>MAX(AD$6:AD46)-SUM(AF$6:AF46)</f>
        <v>2994750</v>
      </c>
      <c r="AE47" s="309">
        <f>IF(AD47=0,0,IF(AF46=0,MAX(AE$6:AE46),AE46-1))</f>
        <v>9</v>
      </c>
      <c r="AF47" s="309">
        <f t="shared" si="9"/>
        <v>332750</v>
      </c>
      <c r="AG47" s="175">
        <v>0</v>
      </c>
      <c r="AH47" s="309">
        <f>IF(AG47=0,0,IF(AI46=0,MAX(AH$6:AH46),AH46-1))</f>
        <v>0</v>
      </c>
      <c r="AI47" s="309">
        <f t="shared" si="10"/>
        <v>0</v>
      </c>
      <c r="AJ47" s="175">
        <v>0</v>
      </c>
      <c r="AK47" s="309">
        <f>IF(AJ47=0,0,IF(AL46=0,MAX(AK$6:AK46),AK46-1))</f>
        <v>0</v>
      </c>
      <c r="AL47" s="309">
        <f t="shared" si="11"/>
        <v>0</v>
      </c>
      <c r="AM47" s="175">
        <v>0</v>
      </c>
      <c r="AN47" s="309">
        <f>IF(AM47=0,0,IF(AO46=0,MAX(AN$6:AN46),AN46-1))</f>
        <v>0</v>
      </c>
      <c r="AO47" s="309">
        <f t="shared" si="12"/>
        <v>0</v>
      </c>
      <c r="AP47" s="175">
        <v>0</v>
      </c>
      <c r="AQ47" s="309">
        <f>IF(AP47=0,0,IF(AR46=0,MAX(AQ$6:AQ46),AQ46-1))</f>
        <v>0</v>
      </c>
      <c r="AR47" s="309">
        <f t="shared" si="13"/>
        <v>0</v>
      </c>
      <c r="AS47" s="175">
        <v>0</v>
      </c>
      <c r="AT47" s="309">
        <f>IF(AS47=0,0,IF(AU46=0,MAX(AT$6:AT46),AT46-1))</f>
        <v>0</v>
      </c>
      <c r="AU47" s="309">
        <f t="shared" si="14"/>
        <v>0</v>
      </c>
      <c r="AV47" s="309">
        <v>0</v>
      </c>
      <c r="AW47" s="309">
        <f>IF(AV47=0,0,IF(AX46=0,MAX(AW$6:AW46),AW46-1))</f>
        <v>0</v>
      </c>
      <c r="AX47" s="309">
        <f t="shared" si="15"/>
        <v>0</v>
      </c>
      <c r="AY47" s="175">
        <v>0</v>
      </c>
      <c r="AZ47" s="309">
        <f>IF(AY47=0,0,IF(BA46=0,MAX(AZ$6:AZ46),AZ46-1))</f>
        <v>0</v>
      </c>
      <c r="BA47" s="309">
        <f t="shared" si="16"/>
        <v>0</v>
      </c>
      <c r="BB47" s="309">
        <f t="shared" si="19"/>
        <v>2293597</v>
      </c>
      <c r="BC47" s="309">
        <f t="shared" si="20"/>
        <v>21650045</v>
      </c>
      <c r="BD47" s="309">
        <f t="shared" si="21"/>
        <v>2293597</v>
      </c>
      <c r="BE47" s="309">
        <f t="shared" si="22"/>
        <v>19356448</v>
      </c>
      <c r="BF47" s="309">
        <f>MAX(C$6:C47)+MAX(F$6:F47)+MAX(I$6:I47)+MAX(L$6:L47)+MAX(O$6:O47)+MAX(R$6:R47)+MAX(U$6:U47)+MAX(X$6:X47)+MAX(AA$6:AA47)+MAX(AD$6:AD47)+MAX(AG$6:AG47)+MAX(AJ$6:AJ47)+MAX(AM$6:AM47)+MAX(AP$6:AP47)+MAX(AS$6:AS47)+MAX(AV$6:AV47)+MAX(AY$6:AY47)</f>
        <v>73961000</v>
      </c>
      <c r="BG47" s="309">
        <f>SUM(E$6:E47)+SUM(H$6:H47)+SUM(K$6:K47)+SUM(N$6:N47)+SUM(Q$6:Q47)+SUM(T$6:T47)+SUM(W$6:W47)+SUM(Z$6:Z47)+SUM(AC$6:AC47)+SUM(AF$6:AF47)+SUM(AI$6:AI47)+SUM(AL$6:AL47)+SUM(AO$6:AO47)+SUM(AR$6:AR47)+SUM(AU$6:AU47)+SUM(AX$6:AX47)+SUM(BA$6:BA47)</f>
        <v>54604552</v>
      </c>
      <c r="BH47" s="309">
        <f t="shared" si="23"/>
        <v>19356448</v>
      </c>
      <c r="BI47" s="309">
        <f t="shared" si="24"/>
        <v>0</v>
      </c>
      <c r="BJ47" s="309">
        <f>MAX(I$6:I47)+MAX(O$6:O47)+MAX(R$6:R47)+MAX(U$6:U47)+MAX(AJ$6:AJ47)+MAX(AM$6:AM47)</f>
        <v>37178000</v>
      </c>
      <c r="BK47" s="309">
        <f>SUM(K$6:K47)+SUM(Q$6:Q47)+SUM(T$6:T47)+SUM(W$6:W47)+SUM(AL$6:AL47)+SUM(AO$6:AO47)</f>
        <v>21693552</v>
      </c>
      <c r="BL47" s="309">
        <f t="shared" si="25"/>
        <v>15484448</v>
      </c>
      <c r="BM47" s="309">
        <f>MAX(C$6:C47)+MAX(F$6:F47)+MAX(L$6:L47)+MAX(X$6:X47)+MAX(AA$6:AA47)+MAX(AD$6:AD47)+MAX(AG$6:AG47)+MAX(AP$6:AP47)+MAX(AS$6:AS47)+MAX(AV$6:AV47)+MAX(AY$6:AY47)</f>
        <v>36783000</v>
      </c>
      <c r="BN47" s="309">
        <f>SUM(E$6:E47)+SUM(H$6:H47)+SUM(N$6:N47)+SUM(Z$6:Z47)+SUM(AC$6:AC47)+SUM(AF$6:AF47)+SUM(AI$6:AI47)+SUM(AR$6:AR47)+SUM(AU$6:AU47)+SUM(AX$6:AX47)+SUM(BA$6:BA47)</f>
        <v>32911000</v>
      </c>
      <c r="BO47" s="309">
        <f t="shared" si="26"/>
        <v>3872000</v>
      </c>
      <c r="BP47" s="309">
        <f t="shared" si="27"/>
        <v>73961000</v>
      </c>
      <c r="BQ47" s="309">
        <f t="shared" si="27"/>
        <v>54604552</v>
      </c>
      <c r="BR47" s="309">
        <f t="shared" si="28"/>
        <v>19356448</v>
      </c>
      <c r="BS47" s="309">
        <f t="shared" si="29"/>
        <v>0</v>
      </c>
      <c r="BT47" s="309">
        <f t="shared" si="29"/>
        <v>0</v>
      </c>
      <c r="BU47" s="309">
        <f t="shared" si="30"/>
        <v>0</v>
      </c>
    </row>
    <row r="48" spans="1:73" x14ac:dyDescent="0.35">
      <c r="A48" s="18">
        <v>41</v>
      </c>
      <c r="B48" s="184">
        <v>43251</v>
      </c>
      <c r="C48" s="175">
        <f>MAX(C$6:C47)-SUM(E$6:E47)</f>
        <v>0</v>
      </c>
      <c r="D48" s="309">
        <f>IF(C48=0,0,IF(E47=0,MAX(D$6:D47),D47-1))</f>
        <v>0</v>
      </c>
      <c r="E48" s="309">
        <f t="shared" si="0"/>
        <v>0</v>
      </c>
      <c r="F48" s="175">
        <f>MAX(F$6:F47)-SUM(H$6:H47)</f>
        <v>0</v>
      </c>
      <c r="G48" s="309">
        <f>IF(F48=0,0,IF(H47=0,MAX(G$6:G47),G47-1))</f>
        <v>0</v>
      </c>
      <c r="H48" s="309">
        <f t="shared" si="1"/>
        <v>0</v>
      </c>
      <c r="I48" s="175">
        <f>MAX(I$6:I47)-SUM(K$6:K47)</f>
        <v>0</v>
      </c>
      <c r="J48" s="309">
        <f>IF(I48=0,0,IF(K47=0,MAX(J$6:J47),J47-1))</f>
        <v>0</v>
      </c>
      <c r="K48" s="309">
        <f t="shared" si="2"/>
        <v>0</v>
      </c>
      <c r="L48" s="175">
        <f>MAX(L$6:L47)-SUM(N$6:N47)</f>
        <v>0</v>
      </c>
      <c r="M48" s="309">
        <f>IF(L48=0,0,IF(N47=0,MAX(M$6:M47),M47-1))</f>
        <v>0</v>
      </c>
      <c r="N48" s="309">
        <f t="shared" si="3"/>
        <v>0</v>
      </c>
      <c r="O48" s="175">
        <f>MAX(O$6:O47)-SUM(Q$6:Q47)</f>
        <v>7755000</v>
      </c>
      <c r="P48" s="309">
        <f>IF(O48=0,0,IF(Q47=0,MAX(P$6:P47),P47-1))</f>
        <v>8</v>
      </c>
      <c r="Q48" s="309">
        <f t="shared" si="4"/>
        <v>969375</v>
      </c>
      <c r="R48" s="175">
        <f>MAX(R$6:R47)-SUM(T$6:T47)</f>
        <v>5454448</v>
      </c>
      <c r="S48" s="309">
        <f>IF(R48=0,0,IF(T47=0,MAX(S$6:S47),S47-1))</f>
        <v>20</v>
      </c>
      <c r="T48" s="309">
        <f t="shared" si="5"/>
        <v>272722</v>
      </c>
      <c r="U48" s="175">
        <f>MAX(U$6:U47)-SUM(W$6:W47)</f>
        <v>2275000</v>
      </c>
      <c r="V48" s="309">
        <f>IF(U48=0,0,IF(W47=0,MAX(V$6:V47),V47-1))</f>
        <v>20</v>
      </c>
      <c r="W48" s="309">
        <f t="shared" si="6"/>
        <v>113750</v>
      </c>
      <c r="X48" s="175">
        <f>MAX(X$6:X47)-SUM(Z$6:Z47)</f>
        <v>0</v>
      </c>
      <c r="Y48" s="309">
        <f>IF(X48=0,0,IF(Z47=0,MAX(Y$6:Y47),Y47-1))</f>
        <v>0</v>
      </c>
      <c r="Z48" s="309">
        <f t="shared" si="7"/>
        <v>0</v>
      </c>
      <c r="AA48" s="175">
        <f>MAX(AA$6:AA47)-SUM(AC$6:AC47)</f>
        <v>1210000</v>
      </c>
      <c r="AB48" s="309">
        <f>IF(AA48=0,0,IF(AC47=0,MAX(AB$6:AB47),AB47-1))</f>
        <v>2</v>
      </c>
      <c r="AC48" s="309">
        <f t="shared" si="8"/>
        <v>605000</v>
      </c>
      <c r="AD48" s="175">
        <f>MAX(AD$6:AD47)-SUM(AF$6:AF47)</f>
        <v>2662000</v>
      </c>
      <c r="AE48" s="309">
        <f>IF(AD48=0,0,IF(AF47=0,MAX(AE$6:AE47),AE47-1))</f>
        <v>8</v>
      </c>
      <c r="AF48" s="309">
        <f t="shared" si="9"/>
        <v>332750</v>
      </c>
      <c r="AG48" s="175">
        <v>0</v>
      </c>
      <c r="AH48" s="309">
        <f>IF(AG48=0,0,IF(AI47=0,MAX(AH$6:AH47),AH47-1))</f>
        <v>0</v>
      </c>
      <c r="AI48" s="309">
        <f t="shared" si="10"/>
        <v>0</v>
      </c>
      <c r="AJ48" s="175">
        <v>0</v>
      </c>
      <c r="AK48" s="309">
        <f>IF(AJ48=0,0,IF(AL47=0,MAX(AK$6:AK47),AK47-1))</f>
        <v>0</v>
      </c>
      <c r="AL48" s="309">
        <f t="shared" si="11"/>
        <v>0</v>
      </c>
      <c r="AM48" s="175">
        <v>0</v>
      </c>
      <c r="AN48" s="309">
        <f>IF(AM48=0,0,IF(AO47=0,MAX(AN$6:AN47),AN47-1))</f>
        <v>0</v>
      </c>
      <c r="AO48" s="309">
        <f t="shared" si="12"/>
        <v>0</v>
      </c>
      <c r="AP48" s="175">
        <v>0</v>
      </c>
      <c r="AQ48" s="309">
        <f>IF(AP48=0,0,IF(AR47=0,MAX(AQ$6:AQ47),AQ47-1))</f>
        <v>0</v>
      </c>
      <c r="AR48" s="309">
        <f t="shared" si="13"/>
        <v>0</v>
      </c>
      <c r="AS48" s="175">
        <v>0</v>
      </c>
      <c r="AT48" s="309">
        <f>IF(AS48=0,0,IF(AU47=0,MAX(AT$6:AT47),AT47-1))</f>
        <v>0</v>
      </c>
      <c r="AU48" s="309">
        <f t="shared" si="14"/>
        <v>0</v>
      </c>
      <c r="AV48" s="309">
        <v>0</v>
      </c>
      <c r="AW48" s="309">
        <f>IF(AV48=0,0,IF(AX47=0,MAX(AW$6:AW47),AW47-1))</f>
        <v>0</v>
      </c>
      <c r="AX48" s="309">
        <f t="shared" si="15"/>
        <v>0</v>
      </c>
      <c r="AY48" s="175">
        <v>0</v>
      </c>
      <c r="AZ48" s="309">
        <f>IF(AY48=0,0,IF(BA47=0,MAX(AZ$6:AZ47),AZ47-1))</f>
        <v>0</v>
      </c>
      <c r="BA48" s="309">
        <f t="shared" si="16"/>
        <v>0</v>
      </c>
      <c r="BB48" s="309">
        <f t="shared" si="19"/>
        <v>2293597</v>
      </c>
      <c r="BC48" s="309">
        <f t="shared" si="20"/>
        <v>19356448</v>
      </c>
      <c r="BD48" s="309">
        <f t="shared" si="21"/>
        <v>2293597</v>
      </c>
      <c r="BE48" s="309">
        <f t="shared" si="22"/>
        <v>17062851</v>
      </c>
      <c r="BF48" s="309">
        <f>MAX(C$6:C48)+MAX(F$6:F48)+MAX(I$6:I48)+MAX(L$6:L48)+MAX(O$6:O48)+MAX(R$6:R48)+MAX(U$6:U48)+MAX(X$6:X48)+MAX(AA$6:AA48)+MAX(AD$6:AD48)+MAX(AG$6:AG48)+MAX(AJ$6:AJ48)+MAX(AM$6:AM48)+MAX(AP$6:AP48)+MAX(AS$6:AS48)+MAX(AV$6:AV48)+MAX(AY$6:AY48)</f>
        <v>73961000</v>
      </c>
      <c r="BG48" s="309">
        <f>SUM(E$6:E48)+SUM(H$6:H48)+SUM(K$6:K48)+SUM(N$6:N48)+SUM(Q$6:Q48)+SUM(T$6:T48)+SUM(W$6:W48)+SUM(Z$6:Z48)+SUM(AC$6:AC48)+SUM(AF$6:AF48)+SUM(AI$6:AI48)+SUM(AL$6:AL48)+SUM(AO$6:AO48)+SUM(AR$6:AR48)+SUM(AU$6:AU48)+SUM(AX$6:AX48)+SUM(BA$6:BA48)</f>
        <v>56898149</v>
      </c>
      <c r="BH48" s="309">
        <f t="shared" si="23"/>
        <v>17062851</v>
      </c>
      <c r="BI48" s="309">
        <f t="shared" si="24"/>
        <v>0</v>
      </c>
      <c r="BJ48" s="309">
        <f>MAX(I$6:I48)+MAX(O$6:O48)+MAX(R$6:R48)+MAX(U$6:U48)+MAX(AJ$6:AJ48)+MAX(AM$6:AM48)</f>
        <v>37178000</v>
      </c>
      <c r="BK48" s="309">
        <f>SUM(K$6:K48)+SUM(Q$6:Q48)+SUM(T$6:T48)+SUM(W$6:W48)+SUM(AL$6:AL48)+SUM(AO$6:AO48)</f>
        <v>23049399</v>
      </c>
      <c r="BL48" s="309">
        <f t="shared" si="25"/>
        <v>14128601</v>
      </c>
      <c r="BM48" s="309">
        <f>MAX(C$6:C48)+MAX(F$6:F48)+MAX(L$6:L48)+MAX(X$6:X48)+MAX(AA$6:AA48)+MAX(AD$6:AD48)+MAX(AG$6:AG48)+MAX(AP$6:AP48)+MAX(AS$6:AS48)+MAX(AV$6:AV48)+MAX(AY$6:AY48)</f>
        <v>36783000</v>
      </c>
      <c r="BN48" s="309">
        <f>SUM(E$6:E48)+SUM(H$6:H48)+SUM(N$6:N48)+SUM(Z$6:Z48)+SUM(AC$6:AC48)+SUM(AF$6:AF48)+SUM(AI$6:AI48)+SUM(AR$6:AR48)+SUM(AU$6:AU48)+SUM(AX$6:AX48)+SUM(BA$6:BA48)</f>
        <v>33848750</v>
      </c>
      <c r="BO48" s="309">
        <f t="shared" si="26"/>
        <v>2934250</v>
      </c>
      <c r="BP48" s="309">
        <f t="shared" si="27"/>
        <v>73961000</v>
      </c>
      <c r="BQ48" s="309">
        <f t="shared" si="27"/>
        <v>56898149</v>
      </c>
      <c r="BR48" s="309">
        <f t="shared" si="28"/>
        <v>17062851</v>
      </c>
      <c r="BS48" s="309">
        <f t="shared" si="29"/>
        <v>0</v>
      </c>
      <c r="BT48" s="309">
        <f t="shared" si="29"/>
        <v>0</v>
      </c>
      <c r="BU48" s="309">
        <f t="shared" si="30"/>
        <v>0</v>
      </c>
    </row>
    <row r="49" spans="1:73" x14ac:dyDescent="0.35">
      <c r="A49" s="18">
        <v>42</v>
      </c>
      <c r="B49" s="184">
        <v>43281</v>
      </c>
      <c r="C49" s="175">
        <f>MAX(C$6:C48)-SUM(E$6:E48)</f>
        <v>0</v>
      </c>
      <c r="D49" s="309">
        <f>IF(C49=0,0,IF(E48=0,MAX(D$6:D48),D48-1))</f>
        <v>0</v>
      </c>
      <c r="E49" s="309">
        <f t="shared" si="0"/>
        <v>0</v>
      </c>
      <c r="F49" s="175">
        <f>MAX(F$6:F48)-SUM(H$6:H48)</f>
        <v>0</v>
      </c>
      <c r="G49" s="309">
        <f>IF(F49=0,0,IF(H48=0,MAX(G$6:G48),G48-1))</f>
        <v>0</v>
      </c>
      <c r="H49" s="309">
        <f t="shared" si="1"/>
        <v>0</v>
      </c>
      <c r="I49" s="175">
        <f>MAX(I$6:I48)-SUM(K$6:K48)</f>
        <v>0</v>
      </c>
      <c r="J49" s="309">
        <f>IF(I49=0,0,IF(K48=0,MAX(J$6:J48),J48-1))</f>
        <v>0</v>
      </c>
      <c r="K49" s="309">
        <f t="shared" si="2"/>
        <v>0</v>
      </c>
      <c r="L49" s="175">
        <f>MAX(L$6:L48)-SUM(N$6:N48)</f>
        <v>0</v>
      </c>
      <c r="M49" s="309">
        <f>IF(L49=0,0,IF(N48=0,MAX(M$6:M48),M48-1))</f>
        <v>0</v>
      </c>
      <c r="N49" s="309">
        <f t="shared" si="3"/>
        <v>0</v>
      </c>
      <c r="O49" s="175">
        <f>MAX(O$6:O48)-SUM(Q$6:Q48)</f>
        <v>6785625</v>
      </c>
      <c r="P49" s="309">
        <f>IF(O49=0,0,IF(Q48=0,MAX(P$6:P48),P48-1))</f>
        <v>7</v>
      </c>
      <c r="Q49" s="309">
        <f t="shared" si="4"/>
        <v>969375</v>
      </c>
      <c r="R49" s="175">
        <f>MAX(R$6:R48)-SUM(T$6:T48)</f>
        <v>5181726</v>
      </c>
      <c r="S49" s="309">
        <f>IF(R49=0,0,IF(T48=0,MAX(S$6:S48),S48-1))</f>
        <v>19</v>
      </c>
      <c r="T49" s="309">
        <f t="shared" si="5"/>
        <v>272722</v>
      </c>
      <c r="U49" s="175">
        <f>MAX(U$6:U48)-SUM(W$6:W48)</f>
        <v>2161250</v>
      </c>
      <c r="V49" s="309">
        <f>IF(U49=0,0,IF(W48=0,MAX(V$6:V48),V48-1))</f>
        <v>19</v>
      </c>
      <c r="W49" s="309">
        <f t="shared" si="6"/>
        <v>113750</v>
      </c>
      <c r="X49" s="175">
        <f>MAX(X$6:X48)-SUM(Z$6:Z48)</f>
        <v>0</v>
      </c>
      <c r="Y49" s="309">
        <f>IF(X49=0,0,IF(Z48=0,MAX(Y$6:Y48),Y48-1))</f>
        <v>0</v>
      </c>
      <c r="Z49" s="309">
        <f t="shared" si="7"/>
        <v>0</v>
      </c>
      <c r="AA49" s="175">
        <f>MAX(AA$6:AA48)-SUM(AC$6:AC48)</f>
        <v>605000</v>
      </c>
      <c r="AB49" s="309">
        <f>IF(AA49=0,0,IF(AC48=0,MAX(AB$6:AB48),AB48-1))</f>
        <v>1</v>
      </c>
      <c r="AC49" s="309">
        <f t="shared" si="8"/>
        <v>605000</v>
      </c>
      <c r="AD49" s="175">
        <f>MAX(AD$6:AD48)-SUM(AF$6:AF48)</f>
        <v>2329250</v>
      </c>
      <c r="AE49" s="309">
        <f>IF(AD49=0,0,IF(AF48=0,MAX(AE$6:AE48),AE48-1))</f>
        <v>7</v>
      </c>
      <c r="AF49" s="309">
        <f t="shared" si="9"/>
        <v>332750</v>
      </c>
      <c r="AG49" s="175">
        <f>'Inv Adic'!J14</f>
        <v>7986000</v>
      </c>
      <c r="AH49" s="309">
        <f>IF(AG49=0,0,IF(AI48=0,MAX(AH$6:AH48),AH48-1))</f>
        <v>12</v>
      </c>
      <c r="AI49" s="309">
        <f t="shared" si="10"/>
        <v>0</v>
      </c>
      <c r="AJ49" s="175">
        <v>0</v>
      </c>
      <c r="AK49" s="309">
        <f>IF(AJ49=0,0,IF(AL48=0,MAX(AK$6:AK48),AK48-1))</f>
        <v>0</v>
      </c>
      <c r="AL49" s="309">
        <f t="shared" si="11"/>
        <v>0</v>
      </c>
      <c r="AM49" s="175">
        <v>0</v>
      </c>
      <c r="AN49" s="309">
        <f>IF(AM49=0,0,IF(AO48=0,MAX(AN$6:AN48),AN48-1))</f>
        <v>0</v>
      </c>
      <c r="AO49" s="309">
        <f t="shared" si="12"/>
        <v>0</v>
      </c>
      <c r="AP49" s="175">
        <v>0</v>
      </c>
      <c r="AQ49" s="309">
        <f>IF(AP49=0,0,IF(AR48=0,MAX(AQ$6:AQ48),AQ48-1))</f>
        <v>0</v>
      </c>
      <c r="AR49" s="309">
        <f t="shared" si="13"/>
        <v>0</v>
      </c>
      <c r="AS49" s="175">
        <v>0</v>
      </c>
      <c r="AT49" s="309">
        <f>IF(AS49=0,0,IF(AU48=0,MAX(AT$6:AT48),AT48-1))</f>
        <v>0</v>
      </c>
      <c r="AU49" s="309">
        <f t="shared" si="14"/>
        <v>0</v>
      </c>
      <c r="AV49" s="309">
        <v>0</v>
      </c>
      <c r="AW49" s="309">
        <f>IF(AV49=0,0,IF(AX48=0,MAX(AW$6:AW48),AW48-1))</f>
        <v>0</v>
      </c>
      <c r="AX49" s="309">
        <f t="shared" si="15"/>
        <v>0</v>
      </c>
      <c r="AY49" s="175">
        <v>0</v>
      </c>
      <c r="AZ49" s="309">
        <f>IF(AY49=0,0,IF(BA48=0,MAX(AZ$6:AZ48),AZ48-1))</f>
        <v>0</v>
      </c>
      <c r="BA49" s="309">
        <f t="shared" si="16"/>
        <v>0</v>
      </c>
      <c r="BB49" s="309">
        <f t="shared" si="19"/>
        <v>2293597</v>
      </c>
      <c r="BC49" s="309">
        <f t="shared" si="20"/>
        <v>25048851</v>
      </c>
      <c r="BD49" s="309">
        <f t="shared" si="21"/>
        <v>2293597</v>
      </c>
      <c r="BE49" s="309">
        <f t="shared" si="22"/>
        <v>22755254</v>
      </c>
      <c r="BF49" s="309">
        <f>MAX(C$6:C49)+MAX(F$6:F49)+MAX(I$6:I49)+MAX(L$6:L49)+MAX(O$6:O49)+MAX(R$6:R49)+MAX(U$6:U49)+MAX(X$6:X49)+MAX(AA$6:AA49)+MAX(AD$6:AD49)+MAX(AG$6:AG49)+MAX(AJ$6:AJ49)+MAX(AM$6:AM49)+MAX(AP$6:AP49)+MAX(AS$6:AS49)+MAX(AV$6:AV49)+MAX(AY$6:AY49)</f>
        <v>81947000</v>
      </c>
      <c r="BG49" s="309">
        <f>SUM(E$6:E49)+SUM(H$6:H49)+SUM(K$6:K49)+SUM(N$6:N49)+SUM(Q$6:Q49)+SUM(T$6:T49)+SUM(W$6:W49)+SUM(Z$6:Z49)+SUM(AC$6:AC49)+SUM(AF$6:AF49)+SUM(AI$6:AI49)+SUM(AL$6:AL49)+SUM(AO$6:AO49)+SUM(AR$6:AR49)+SUM(AU$6:AU49)+SUM(AX$6:AX49)+SUM(BA$6:BA49)</f>
        <v>59191746</v>
      </c>
      <c r="BH49" s="309">
        <f t="shared" si="23"/>
        <v>22755254</v>
      </c>
      <c r="BI49" s="309">
        <f t="shared" si="24"/>
        <v>0</v>
      </c>
      <c r="BJ49" s="309">
        <f>MAX(I$6:I49)+MAX(O$6:O49)+MAX(R$6:R49)+MAX(U$6:U49)+MAX(AJ$6:AJ49)+MAX(AM$6:AM49)</f>
        <v>37178000</v>
      </c>
      <c r="BK49" s="309">
        <f>SUM(K$6:K49)+SUM(Q$6:Q49)+SUM(T$6:T49)+SUM(W$6:W49)+SUM(AL$6:AL49)+SUM(AO$6:AO49)</f>
        <v>24405246</v>
      </c>
      <c r="BL49" s="309">
        <f t="shared" si="25"/>
        <v>12772754</v>
      </c>
      <c r="BM49" s="309">
        <f>MAX(C$6:C49)+MAX(F$6:F49)+MAX(L$6:L49)+MAX(X$6:X49)+MAX(AA$6:AA49)+MAX(AD$6:AD49)+MAX(AG$6:AG49)+MAX(AP$6:AP49)+MAX(AS$6:AS49)+MAX(AV$6:AV49)+MAX(AY$6:AY49)</f>
        <v>44769000</v>
      </c>
      <c r="BN49" s="309">
        <f>SUM(E$6:E49)+SUM(H$6:H49)+SUM(N$6:N49)+SUM(Z$6:Z49)+SUM(AC$6:AC49)+SUM(AF$6:AF49)+SUM(AI$6:AI49)+SUM(AR$6:AR49)+SUM(AU$6:AU49)+SUM(AX$6:AX49)+SUM(BA$6:BA49)</f>
        <v>34786500</v>
      </c>
      <c r="BO49" s="309">
        <f t="shared" si="26"/>
        <v>9982500</v>
      </c>
      <c r="BP49" s="309">
        <f t="shared" si="27"/>
        <v>81947000</v>
      </c>
      <c r="BQ49" s="309">
        <f t="shared" si="27"/>
        <v>59191746</v>
      </c>
      <c r="BR49" s="309">
        <f t="shared" si="28"/>
        <v>22755254</v>
      </c>
      <c r="BS49" s="309">
        <f t="shared" si="29"/>
        <v>0</v>
      </c>
      <c r="BT49" s="309">
        <f t="shared" si="29"/>
        <v>0</v>
      </c>
      <c r="BU49" s="309">
        <f t="shared" si="30"/>
        <v>0</v>
      </c>
    </row>
    <row r="50" spans="1:73" x14ac:dyDescent="0.35">
      <c r="A50" s="18">
        <v>43</v>
      </c>
      <c r="B50" s="184">
        <v>43312</v>
      </c>
      <c r="C50" s="175">
        <f>MAX(C$6:C49)-SUM(E$6:E49)</f>
        <v>0</v>
      </c>
      <c r="D50" s="309">
        <f>IF(C50=0,0,IF(E49=0,MAX(D$6:D49),D49-1))</f>
        <v>0</v>
      </c>
      <c r="E50" s="309">
        <f t="shared" si="0"/>
        <v>0</v>
      </c>
      <c r="F50" s="175">
        <f>MAX(F$6:F49)-SUM(H$6:H49)</f>
        <v>0</v>
      </c>
      <c r="G50" s="309">
        <f>IF(F50=0,0,IF(H49=0,MAX(G$6:G49),G49-1))</f>
        <v>0</v>
      </c>
      <c r="H50" s="309">
        <f t="shared" si="1"/>
        <v>0</v>
      </c>
      <c r="I50" s="175">
        <f>MAX(I$6:I49)-SUM(K$6:K49)</f>
        <v>0</v>
      </c>
      <c r="J50" s="309">
        <f>IF(I50=0,0,IF(K49=0,MAX(J$6:J49),J49-1))</f>
        <v>0</v>
      </c>
      <c r="K50" s="309">
        <f t="shared" si="2"/>
        <v>0</v>
      </c>
      <c r="L50" s="175">
        <f>MAX(L$6:L49)-SUM(N$6:N49)</f>
        <v>0</v>
      </c>
      <c r="M50" s="309">
        <f>IF(L50=0,0,IF(N49=0,MAX(M$6:M49),M49-1))</f>
        <v>0</v>
      </c>
      <c r="N50" s="309">
        <f t="shared" si="3"/>
        <v>0</v>
      </c>
      <c r="O50" s="175">
        <f>MAX(O$6:O49)-SUM(Q$6:Q49)</f>
        <v>5816250</v>
      </c>
      <c r="P50" s="309">
        <f>IF(O50=0,0,IF(Q49=0,MAX(P$6:P49),P49-1))</f>
        <v>6</v>
      </c>
      <c r="Q50" s="309">
        <f t="shared" si="4"/>
        <v>969375</v>
      </c>
      <c r="R50" s="175">
        <f>MAX(R$6:R49)-SUM(T$6:T49)</f>
        <v>4909004</v>
      </c>
      <c r="S50" s="309">
        <f>IF(R50=0,0,IF(T49=0,MAX(S$6:S49),S49-1))</f>
        <v>18</v>
      </c>
      <c r="T50" s="309">
        <f t="shared" si="5"/>
        <v>272722</v>
      </c>
      <c r="U50" s="175">
        <f>MAX(U$6:U49)-SUM(W$6:W49)</f>
        <v>2047500</v>
      </c>
      <c r="V50" s="309">
        <f>IF(U50=0,0,IF(W49=0,MAX(V$6:V49),V49-1))</f>
        <v>18</v>
      </c>
      <c r="W50" s="309">
        <f t="shared" si="6"/>
        <v>113750</v>
      </c>
      <c r="X50" s="175">
        <f>MAX(X$6:X49)-SUM(Z$6:Z49)</f>
        <v>0</v>
      </c>
      <c r="Y50" s="309">
        <f>IF(X50=0,0,IF(Z49=0,MAX(Y$6:Y49),Y49-1))</f>
        <v>0</v>
      </c>
      <c r="Z50" s="309">
        <f t="shared" si="7"/>
        <v>0</v>
      </c>
      <c r="AA50" s="175">
        <f>MAX(AA$6:AA49)-SUM(AC$6:AC49)</f>
        <v>0</v>
      </c>
      <c r="AB50" s="309">
        <f>IF(AA50=0,0,IF(AC49=0,MAX(AB$6:AB49),AB49-1))</f>
        <v>0</v>
      </c>
      <c r="AC50" s="309">
        <f t="shared" si="8"/>
        <v>0</v>
      </c>
      <c r="AD50" s="175">
        <f>MAX(AD$6:AD49)-SUM(AF$6:AF49)</f>
        <v>1996500</v>
      </c>
      <c r="AE50" s="309">
        <f>IF(AD50=0,0,IF(AF49=0,MAX(AE$6:AE49),AE49-1))</f>
        <v>6</v>
      </c>
      <c r="AF50" s="309">
        <f t="shared" si="9"/>
        <v>332750</v>
      </c>
      <c r="AG50" s="175">
        <f>MAX(AG$6:AG49)-SUM(AI$6:AI49)</f>
        <v>7986000</v>
      </c>
      <c r="AH50" s="309">
        <f>IF(AG50=0,0,IF(AI49=0,MAX(AH$6:AH49),AH49-1))</f>
        <v>12</v>
      </c>
      <c r="AI50" s="309">
        <f t="shared" si="10"/>
        <v>665500</v>
      </c>
      <c r="AJ50" s="175">
        <v>0</v>
      </c>
      <c r="AK50" s="309">
        <f>IF(AJ50=0,0,IF(AL49=0,MAX(AK$6:AK49),AK49-1))</f>
        <v>0</v>
      </c>
      <c r="AL50" s="309">
        <f t="shared" si="11"/>
        <v>0</v>
      </c>
      <c r="AM50" s="175">
        <v>0</v>
      </c>
      <c r="AN50" s="309">
        <f>IF(AM50=0,0,IF(AO49=0,MAX(AN$6:AN49),AN49-1))</f>
        <v>0</v>
      </c>
      <c r="AO50" s="309">
        <f t="shared" si="12"/>
        <v>0</v>
      </c>
      <c r="AP50" s="175">
        <v>0</v>
      </c>
      <c r="AQ50" s="309">
        <f>IF(AP50=0,0,IF(AR49=0,MAX(AQ$6:AQ49),AQ49-1))</f>
        <v>0</v>
      </c>
      <c r="AR50" s="309">
        <f t="shared" si="13"/>
        <v>0</v>
      </c>
      <c r="AS50" s="175">
        <v>0</v>
      </c>
      <c r="AT50" s="309">
        <f>IF(AS50=0,0,IF(AU49=0,MAX(AT$6:AT49),AT49-1))</f>
        <v>0</v>
      </c>
      <c r="AU50" s="309">
        <f t="shared" si="14"/>
        <v>0</v>
      </c>
      <c r="AV50" s="309">
        <v>0</v>
      </c>
      <c r="AW50" s="309">
        <f>IF(AV50=0,0,IF(AX49=0,MAX(AW$6:AW49),AW49-1))</f>
        <v>0</v>
      </c>
      <c r="AX50" s="309">
        <f t="shared" si="15"/>
        <v>0</v>
      </c>
      <c r="AY50" s="175">
        <v>0</v>
      </c>
      <c r="AZ50" s="309">
        <f>IF(AY50=0,0,IF(BA49=0,MAX(AZ$6:AZ49),AZ49-1))</f>
        <v>0</v>
      </c>
      <c r="BA50" s="309">
        <f t="shared" si="16"/>
        <v>0</v>
      </c>
      <c r="BB50" s="309">
        <f t="shared" si="19"/>
        <v>2354097</v>
      </c>
      <c r="BC50" s="309">
        <f t="shared" si="20"/>
        <v>22755254</v>
      </c>
      <c r="BD50" s="309">
        <f t="shared" si="21"/>
        <v>2354097</v>
      </c>
      <c r="BE50" s="309">
        <f t="shared" si="22"/>
        <v>20401157</v>
      </c>
      <c r="BF50" s="309">
        <f>MAX(C$6:C50)+MAX(F$6:F50)+MAX(I$6:I50)+MAX(L$6:L50)+MAX(O$6:O50)+MAX(R$6:R50)+MAX(U$6:U50)+MAX(X$6:X50)+MAX(AA$6:AA50)+MAX(AD$6:AD50)+MAX(AG$6:AG50)+MAX(AJ$6:AJ50)+MAX(AM$6:AM50)+MAX(AP$6:AP50)+MAX(AS$6:AS50)+MAX(AV$6:AV50)+MAX(AY$6:AY50)</f>
        <v>81947000</v>
      </c>
      <c r="BG50" s="309">
        <f>SUM(E$6:E50)+SUM(H$6:H50)+SUM(K$6:K50)+SUM(N$6:N50)+SUM(Q$6:Q50)+SUM(T$6:T50)+SUM(W$6:W50)+SUM(Z$6:Z50)+SUM(AC$6:AC50)+SUM(AF$6:AF50)+SUM(AI$6:AI50)+SUM(AL$6:AL50)+SUM(AO$6:AO50)+SUM(AR$6:AR50)+SUM(AU$6:AU50)+SUM(AX$6:AX50)+SUM(BA$6:BA50)</f>
        <v>61545843</v>
      </c>
      <c r="BH50" s="309">
        <f t="shared" si="23"/>
        <v>20401157</v>
      </c>
      <c r="BI50" s="309">
        <f t="shared" si="24"/>
        <v>0</v>
      </c>
      <c r="BJ50" s="309">
        <f>MAX(I$6:I50)+MAX(O$6:O50)+MAX(R$6:R50)+MAX(U$6:U50)+MAX(AJ$6:AJ50)+MAX(AM$6:AM50)</f>
        <v>37178000</v>
      </c>
      <c r="BK50" s="309">
        <f>SUM(K$6:K50)+SUM(Q$6:Q50)+SUM(T$6:T50)+SUM(W$6:W50)+SUM(AL$6:AL50)+SUM(AO$6:AO50)</f>
        <v>25761093</v>
      </c>
      <c r="BL50" s="309">
        <f t="shared" si="25"/>
        <v>11416907</v>
      </c>
      <c r="BM50" s="309">
        <f>MAX(C$6:C50)+MAX(F$6:F50)+MAX(L$6:L50)+MAX(X$6:X50)+MAX(AA$6:AA50)+MAX(AD$6:AD50)+MAX(AG$6:AG50)+MAX(AP$6:AP50)+MAX(AS$6:AS50)+MAX(AV$6:AV50)+MAX(AY$6:AY50)</f>
        <v>44769000</v>
      </c>
      <c r="BN50" s="309">
        <f>SUM(E$6:E50)+SUM(H$6:H50)+SUM(N$6:N50)+SUM(Z$6:Z50)+SUM(AC$6:AC50)+SUM(AF$6:AF50)+SUM(AI$6:AI50)+SUM(AR$6:AR50)+SUM(AU$6:AU50)+SUM(AX$6:AX50)+SUM(BA$6:BA50)</f>
        <v>35784750</v>
      </c>
      <c r="BO50" s="309">
        <f t="shared" si="26"/>
        <v>8984250</v>
      </c>
      <c r="BP50" s="309">
        <f t="shared" si="27"/>
        <v>81947000</v>
      </c>
      <c r="BQ50" s="309">
        <f t="shared" si="27"/>
        <v>61545843</v>
      </c>
      <c r="BR50" s="309">
        <f t="shared" si="28"/>
        <v>20401157</v>
      </c>
      <c r="BS50" s="309">
        <f t="shared" si="29"/>
        <v>0</v>
      </c>
      <c r="BT50" s="309">
        <f t="shared" si="29"/>
        <v>0</v>
      </c>
      <c r="BU50" s="309">
        <f t="shared" si="30"/>
        <v>0</v>
      </c>
    </row>
    <row r="51" spans="1:73" x14ac:dyDescent="0.35">
      <c r="A51" s="18">
        <v>44</v>
      </c>
      <c r="B51" s="184">
        <v>43343</v>
      </c>
      <c r="C51" s="175">
        <f>MAX(C$6:C50)-SUM(E$6:E50)</f>
        <v>0</v>
      </c>
      <c r="D51" s="309">
        <f>IF(C51=0,0,IF(E50=0,MAX(D$6:D50),D50-1))</f>
        <v>0</v>
      </c>
      <c r="E51" s="309">
        <f t="shared" si="0"/>
        <v>0</v>
      </c>
      <c r="F51" s="175">
        <f>MAX(F$6:F50)-SUM(H$6:H50)</f>
        <v>0</v>
      </c>
      <c r="G51" s="309">
        <f>IF(F51=0,0,IF(H50=0,MAX(G$6:G50),G50-1))</f>
        <v>0</v>
      </c>
      <c r="H51" s="309">
        <f t="shared" si="1"/>
        <v>0</v>
      </c>
      <c r="I51" s="175">
        <f>MAX(I$6:I50)-SUM(K$6:K50)</f>
        <v>0</v>
      </c>
      <c r="J51" s="309">
        <f>IF(I51=0,0,IF(K50=0,MAX(J$6:J50),J50-1))</f>
        <v>0</v>
      </c>
      <c r="K51" s="309">
        <f t="shared" si="2"/>
        <v>0</v>
      </c>
      <c r="L51" s="175">
        <f>MAX(L$6:L50)-SUM(N$6:N50)</f>
        <v>0</v>
      </c>
      <c r="M51" s="309">
        <f>IF(L51=0,0,IF(N50=0,MAX(M$6:M50),M50-1))</f>
        <v>0</v>
      </c>
      <c r="N51" s="309">
        <f t="shared" si="3"/>
        <v>0</v>
      </c>
      <c r="O51" s="175">
        <f>MAX(O$6:O50)-SUM(Q$6:Q50)</f>
        <v>4846875</v>
      </c>
      <c r="P51" s="309">
        <f>IF(O51=0,0,IF(Q50=0,MAX(P$6:P50),P50-1))</f>
        <v>5</v>
      </c>
      <c r="Q51" s="309">
        <f t="shared" si="4"/>
        <v>969375</v>
      </c>
      <c r="R51" s="175">
        <f>MAX(R$6:R50)-SUM(T$6:T50)</f>
        <v>4636282</v>
      </c>
      <c r="S51" s="309">
        <f>IF(R51=0,0,IF(T50=0,MAX(S$6:S50),S50-1))</f>
        <v>17</v>
      </c>
      <c r="T51" s="309">
        <f t="shared" si="5"/>
        <v>272722</v>
      </c>
      <c r="U51" s="175">
        <f>MAX(U$6:U50)-SUM(W$6:W50)</f>
        <v>1933750</v>
      </c>
      <c r="V51" s="309">
        <f>IF(U51=0,0,IF(W50=0,MAX(V$6:V50),V50-1))</f>
        <v>17</v>
      </c>
      <c r="W51" s="309">
        <f t="shared" si="6"/>
        <v>113750</v>
      </c>
      <c r="X51" s="175">
        <f>MAX(X$6:X50)-SUM(Z$6:Z50)</f>
        <v>0</v>
      </c>
      <c r="Y51" s="309">
        <f>IF(X51=0,0,IF(Z50=0,MAX(Y$6:Y50),Y50-1))</f>
        <v>0</v>
      </c>
      <c r="Z51" s="309">
        <f t="shared" si="7"/>
        <v>0</v>
      </c>
      <c r="AA51" s="175">
        <f>MAX(AA$6:AA50)-SUM(AC$6:AC50)</f>
        <v>0</v>
      </c>
      <c r="AB51" s="309">
        <f>IF(AA51=0,0,IF(AC50=0,MAX(AB$6:AB50),AB50-1))</f>
        <v>0</v>
      </c>
      <c r="AC51" s="309">
        <f t="shared" si="8"/>
        <v>0</v>
      </c>
      <c r="AD51" s="175">
        <f>MAX(AD$6:AD50)-SUM(AF$6:AF50)</f>
        <v>1663750</v>
      </c>
      <c r="AE51" s="309">
        <f>IF(AD51=0,0,IF(AF50=0,MAX(AE$6:AE50),AE50-1))</f>
        <v>5</v>
      </c>
      <c r="AF51" s="309">
        <f t="shared" si="9"/>
        <v>332750</v>
      </c>
      <c r="AG51" s="175">
        <f>MAX(AG$6:AG50)-SUM(AI$6:AI50)</f>
        <v>7320500</v>
      </c>
      <c r="AH51" s="309">
        <f>IF(AG51=0,0,IF(AI50=0,MAX(AH$6:AH50),AH50-1))</f>
        <v>11</v>
      </c>
      <c r="AI51" s="309">
        <f t="shared" si="10"/>
        <v>665500</v>
      </c>
      <c r="AJ51" s="175">
        <v>0</v>
      </c>
      <c r="AK51" s="309">
        <f>IF(AJ51=0,0,IF(AL50=0,MAX(AK$6:AK50),AK50-1))</f>
        <v>0</v>
      </c>
      <c r="AL51" s="309">
        <f t="shared" si="11"/>
        <v>0</v>
      </c>
      <c r="AM51" s="175">
        <v>0</v>
      </c>
      <c r="AN51" s="309">
        <f>IF(AM51=0,0,IF(AO50=0,MAX(AN$6:AN50),AN50-1))</f>
        <v>0</v>
      </c>
      <c r="AO51" s="309">
        <f t="shared" si="12"/>
        <v>0</v>
      </c>
      <c r="AP51" s="175">
        <v>0</v>
      </c>
      <c r="AQ51" s="309">
        <f>IF(AP51=0,0,IF(AR50=0,MAX(AQ$6:AQ50),AQ50-1))</f>
        <v>0</v>
      </c>
      <c r="AR51" s="309">
        <f t="shared" si="13"/>
        <v>0</v>
      </c>
      <c r="AS51" s="175">
        <v>0</v>
      </c>
      <c r="AT51" s="309">
        <f>IF(AS51=0,0,IF(AU50=0,MAX(AT$6:AT50),AT50-1))</f>
        <v>0</v>
      </c>
      <c r="AU51" s="309">
        <f t="shared" si="14"/>
        <v>0</v>
      </c>
      <c r="AV51" s="309">
        <v>0</v>
      </c>
      <c r="AW51" s="309">
        <f>IF(AV51=0,0,IF(AX50=0,MAX(AW$6:AW50),AW50-1))</f>
        <v>0</v>
      </c>
      <c r="AX51" s="309">
        <f t="shared" si="15"/>
        <v>0</v>
      </c>
      <c r="AY51" s="175">
        <v>0</v>
      </c>
      <c r="AZ51" s="309">
        <f>IF(AY51=0,0,IF(BA50=0,MAX(AZ$6:AZ50),AZ50-1))</f>
        <v>0</v>
      </c>
      <c r="BA51" s="309">
        <f t="shared" si="16"/>
        <v>0</v>
      </c>
      <c r="BB51" s="309">
        <f t="shared" si="19"/>
        <v>2354097</v>
      </c>
      <c r="BC51" s="309">
        <f t="shared" si="20"/>
        <v>20401157</v>
      </c>
      <c r="BD51" s="309">
        <f t="shared" si="21"/>
        <v>2354097</v>
      </c>
      <c r="BE51" s="309">
        <f t="shared" si="22"/>
        <v>18047060</v>
      </c>
      <c r="BF51" s="309">
        <f>MAX(C$6:C51)+MAX(F$6:F51)+MAX(I$6:I51)+MAX(L$6:L51)+MAX(O$6:O51)+MAX(R$6:R51)+MAX(U$6:U51)+MAX(X$6:X51)+MAX(AA$6:AA51)+MAX(AD$6:AD51)+MAX(AG$6:AG51)+MAX(AJ$6:AJ51)+MAX(AM$6:AM51)+MAX(AP$6:AP51)+MAX(AS$6:AS51)+MAX(AV$6:AV51)+MAX(AY$6:AY51)</f>
        <v>81947000</v>
      </c>
      <c r="BG51" s="309">
        <f>SUM(E$6:E51)+SUM(H$6:H51)+SUM(K$6:K51)+SUM(N$6:N51)+SUM(Q$6:Q51)+SUM(T$6:T51)+SUM(W$6:W51)+SUM(Z$6:Z51)+SUM(AC$6:AC51)+SUM(AF$6:AF51)+SUM(AI$6:AI51)+SUM(AL$6:AL51)+SUM(AO$6:AO51)+SUM(AR$6:AR51)+SUM(AU$6:AU51)+SUM(AX$6:AX51)+SUM(BA$6:BA51)</f>
        <v>63899940</v>
      </c>
      <c r="BH51" s="309">
        <f t="shared" si="23"/>
        <v>18047060</v>
      </c>
      <c r="BI51" s="309">
        <f t="shared" si="24"/>
        <v>0</v>
      </c>
      <c r="BJ51" s="309">
        <f>MAX(I$6:I51)+MAX(O$6:O51)+MAX(R$6:R51)+MAX(U$6:U51)+MAX(AJ$6:AJ51)+MAX(AM$6:AM51)</f>
        <v>37178000</v>
      </c>
      <c r="BK51" s="309">
        <f>SUM(K$6:K51)+SUM(Q$6:Q51)+SUM(T$6:T51)+SUM(W$6:W51)+SUM(AL$6:AL51)+SUM(AO$6:AO51)</f>
        <v>27116940</v>
      </c>
      <c r="BL51" s="309">
        <f t="shared" si="25"/>
        <v>10061060</v>
      </c>
      <c r="BM51" s="309">
        <f>MAX(C$6:C51)+MAX(F$6:F51)+MAX(L$6:L51)+MAX(X$6:X51)+MAX(AA$6:AA51)+MAX(AD$6:AD51)+MAX(AG$6:AG51)+MAX(AP$6:AP51)+MAX(AS$6:AS51)+MAX(AV$6:AV51)+MAX(AY$6:AY51)</f>
        <v>44769000</v>
      </c>
      <c r="BN51" s="309">
        <f>SUM(E$6:E51)+SUM(H$6:H51)+SUM(N$6:N51)+SUM(Z$6:Z51)+SUM(AC$6:AC51)+SUM(AF$6:AF51)+SUM(AI$6:AI51)+SUM(AR$6:AR51)+SUM(AU$6:AU51)+SUM(AX$6:AX51)+SUM(BA$6:BA51)</f>
        <v>36783000</v>
      </c>
      <c r="BO51" s="309">
        <f t="shared" si="26"/>
        <v>7986000</v>
      </c>
      <c r="BP51" s="309">
        <f t="shared" si="27"/>
        <v>81947000</v>
      </c>
      <c r="BQ51" s="309">
        <f t="shared" si="27"/>
        <v>63899940</v>
      </c>
      <c r="BR51" s="309">
        <f t="shared" si="28"/>
        <v>18047060</v>
      </c>
      <c r="BS51" s="309">
        <f t="shared" si="29"/>
        <v>0</v>
      </c>
      <c r="BT51" s="309">
        <f t="shared" si="29"/>
        <v>0</v>
      </c>
      <c r="BU51" s="309">
        <f t="shared" si="30"/>
        <v>0</v>
      </c>
    </row>
    <row r="52" spans="1:73" x14ac:dyDescent="0.35">
      <c r="A52" s="18">
        <v>45</v>
      </c>
      <c r="B52" s="184">
        <v>43373</v>
      </c>
      <c r="C52" s="175">
        <f>MAX(C$6:C51)-SUM(E$6:E51)</f>
        <v>0</v>
      </c>
      <c r="D52" s="309">
        <f>IF(C52=0,0,IF(E51=0,MAX(D$6:D51),D51-1))</f>
        <v>0</v>
      </c>
      <c r="E52" s="309">
        <f t="shared" si="0"/>
        <v>0</v>
      </c>
      <c r="F52" s="175">
        <f>MAX(F$6:F51)-SUM(H$6:H51)</f>
        <v>0</v>
      </c>
      <c r="G52" s="309">
        <f>IF(F52=0,0,IF(H51=0,MAX(G$6:G51),G51-1))</f>
        <v>0</v>
      </c>
      <c r="H52" s="309">
        <f t="shared" si="1"/>
        <v>0</v>
      </c>
      <c r="I52" s="175">
        <f>MAX(I$6:I51)-SUM(K$6:K51)</f>
        <v>0</v>
      </c>
      <c r="J52" s="309">
        <f>IF(I52=0,0,IF(K51=0,MAX(J$6:J51),J51-1))</f>
        <v>0</v>
      </c>
      <c r="K52" s="309">
        <f t="shared" si="2"/>
        <v>0</v>
      </c>
      <c r="L52" s="175">
        <f>MAX(L$6:L51)-SUM(N$6:N51)</f>
        <v>0</v>
      </c>
      <c r="M52" s="309">
        <f>IF(L52=0,0,IF(N51=0,MAX(M$6:M51),M51-1))</f>
        <v>0</v>
      </c>
      <c r="N52" s="309">
        <f t="shared" si="3"/>
        <v>0</v>
      </c>
      <c r="O52" s="175">
        <f>MAX(O$6:O51)-SUM(Q$6:Q51)</f>
        <v>3877500</v>
      </c>
      <c r="P52" s="309">
        <f>IF(O52=0,0,IF(Q51=0,MAX(P$6:P51),P51-1))</f>
        <v>4</v>
      </c>
      <c r="Q52" s="309">
        <f t="shared" si="4"/>
        <v>969375</v>
      </c>
      <c r="R52" s="175">
        <f>MAX(R$6:R51)-SUM(T$6:T51)</f>
        <v>4363560</v>
      </c>
      <c r="S52" s="309">
        <f>IF(R52=0,0,IF(T51=0,MAX(S$6:S51),S51-1))</f>
        <v>16</v>
      </c>
      <c r="T52" s="309">
        <f t="shared" si="5"/>
        <v>272723</v>
      </c>
      <c r="U52" s="175">
        <f>MAX(U$6:U51)-SUM(W$6:W51)</f>
        <v>1820000</v>
      </c>
      <c r="V52" s="309">
        <f>IF(U52=0,0,IF(W51=0,MAX(V$6:V51),V51-1))</f>
        <v>16</v>
      </c>
      <c r="W52" s="309">
        <f t="shared" si="6"/>
        <v>113750</v>
      </c>
      <c r="X52" s="175">
        <f>MAX(X$6:X51)-SUM(Z$6:Z51)</f>
        <v>0</v>
      </c>
      <c r="Y52" s="309">
        <f>IF(X52=0,0,IF(Z51=0,MAX(Y$6:Y51),Y51-1))</f>
        <v>0</v>
      </c>
      <c r="Z52" s="309">
        <f t="shared" si="7"/>
        <v>0</v>
      </c>
      <c r="AA52" s="175">
        <f>MAX(AA$6:AA51)-SUM(AC$6:AC51)</f>
        <v>0</v>
      </c>
      <c r="AB52" s="309">
        <f>IF(AA52=0,0,IF(AC51=0,MAX(AB$6:AB51),AB51-1))</f>
        <v>0</v>
      </c>
      <c r="AC52" s="309">
        <f t="shared" si="8"/>
        <v>0</v>
      </c>
      <c r="AD52" s="175">
        <f>MAX(AD$6:AD51)-SUM(AF$6:AF51)</f>
        <v>1331000</v>
      </c>
      <c r="AE52" s="309">
        <f>IF(AD52=0,0,IF(AF51=0,MAX(AE$6:AE51),AE51-1))</f>
        <v>4</v>
      </c>
      <c r="AF52" s="309">
        <f t="shared" si="9"/>
        <v>332750</v>
      </c>
      <c r="AG52" s="175">
        <f>MAX(AG$6:AG51)-SUM(AI$6:AI51)</f>
        <v>6655000</v>
      </c>
      <c r="AH52" s="309">
        <f>IF(AG52=0,0,IF(AI51=0,MAX(AH$6:AH51),AH51-1))</f>
        <v>10</v>
      </c>
      <c r="AI52" s="309">
        <f t="shared" si="10"/>
        <v>665500</v>
      </c>
      <c r="AJ52" s="175">
        <v>0</v>
      </c>
      <c r="AK52" s="309">
        <f>IF(AJ52=0,0,IF(AL51=0,MAX(AK$6:AK51),AK51-1))</f>
        <v>0</v>
      </c>
      <c r="AL52" s="309">
        <f t="shared" si="11"/>
        <v>0</v>
      </c>
      <c r="AM52" s="175">
        <v>0</v>
      </c>
      <c r="AN52" s="309">
        <f>IF(AM52=0,0,IF(AO51=0,MAX(AN$6:AN51),AN51-1))</f>
        <v>0</v>
      </c>
      <c r="AO52" s="309">
        <f t="shared" si="12"/>
        <v>0</v>
      </c>
      <c r="AP52" s="175">
        <v>0</v>
      </c>
      <c r="AQ52" s="309">
        <f>IF(AP52=0,0,IF(AR51=0,MAX(AQ$6:AQ51),AQ51-1))</f>
        <v>0</v>
      </c>
      <c r="AR52" s="309">
        <f t="shared" si="13"/>
        <v>0</v>
      </c>
      <c r="AS52" s="175">
        <v>0</v>
      </c>
      <c r="AT52" s="309">
        <f>IF(AS52=0,0,IF(AU51=0,MAX(AT$6:AT51),AT51-1))</f>
        <v>0</v>
      </c>
      <c r="AU52" s="309">
        <f t="shared" si="14"/>
        <v>0</v>
      </c>
      <c r="AV52" s="309">
        <v>0</v>
      </c>
      <c r="AW52" s="309">
        <f>IF(AV52=0,0,IF(AX51=0,MAX(AW$6:AW51),AW51-1))</f>
        <v>0</v>
      </c>
      <c r="AX52" s="309">
        <f t="shared" si="15"/>
        <v>0</v>
      </c>
      <c r="AY52" s="175">
        <v>0</v>
      </c>
      <c r="AZ52" s="309">
        <f>IF(AY52=0,0,IF(BA51=0,MAX(AZ$6:AZ51),AZ51-1))</f>
        <v>0</v>
      </c>
      <c r="BA52" s="309">
        <f t="shared" si="16"/>
        <v>0</v>
      </c>
      <c r="BB52" s="309">
        <f t="shared" si="19"/>
        <v>2354098</v>
      </c>
      <c r="BC52" s="309">
        <f t="shared" si="20"/>
        <v>18047060</v>
      </c>
      <c r="BD52" s="309">
        <f t="shared" si="21"/>
        <v>2354098</v>
      </c>
      <c r="BE52" s="309">
        <f t="shared" si="22"/>
        <v>15692962</v>
      </c>
      <c r="BF52" s="309">
        <f>MAX(C$6:C52)+MAX(F$6:F52)+MAX(I$6:I52)+MAX(L$6:L52)+MAX(O$6:O52)+MAX(R$6:R52)+MAX(U$6:U52)+MAX(X$6:X52)+MAX(AA$6:AA52)+MAX(AD$6:AD52)+MAX(AG$6:AG52)+MAX(AJ$6:AJ52)+MAX(AM$6:AM52)+MAX(AP$6:AP52)+MAX(AS$6:AS52)+MAX(AV$6:AV52)+MAX(AY$6:AY52)</f>
        <v>81947000</v>
      </c>
      <c r="BG52" s="309">
        <f>SUM(E$6:E52)+SUM(H$6:H52)+SUM(K$6:K52)+SUM(N$6:N52)+SUM(Q$6:Q52)+SUM(T$6:T52)+SUM(W$6:W52)+SUM(Z$6:Z52)+SUM(AC$6:AC52)+SUM(AF$6:AF52)+SUM(AI$6:AI52)+SUM(AL$6:AL52)+SUM(AO$6:AO52)+SUM(AR$6:AR52)+SUM(AU$6:AU52)+SUM(AX$6:AX52)+SUM(BA$6:BA52)</f>
        <v>66254038</v>
      </c>
      <c r="BH52" s="309">
        <f t="shared" si="23"/>
        <v>15692962</v>
      </c>
      <c r="BI52" s="309">
        <f t="shared" si="24"/>
        <v>0</v>
      </c>
      <c r="BJ52" s="309">
        <f>MAX(I$6:I52)+MAX(O$6:O52)+MAX(R$6:R52)+MAX(U$6:U52)+MAX(AJ$6:AJ52)+MAX(AM$6:AM52)</f>
        <v>37178000</v>
      </c>
      <c r="BK52" s="309">
        <f>SUM(K$6:K52)+SUM(Q$6:Q52)+SUM(T$6:T52)+SUM(W$6:W52)+SUM(AL$6:AL52)+SUM(AO$6:AO52)</f>
        <v>28472788</v>
      </c>
      <c r="BL52" s="309">
        <f t="shared" si="25"/>
        <v>8705212</v>
      </c>
      <c r="BM52" s="309">
        <f>MAX(C$6:C52)+MAX(F$6:F52)+MAX(L$6:L52)+MAX(X$6:X52)+MAX(AA$6:AA52)+MAX(AD$6:AD52)+MAX(AG$6:AG52)+MAX(AP$6:AP52)+MAX(AS$6:AS52)+MAX(AV$6:AV52)+MAX(AY$6:AY52)</f>
        <v>44769000</v>
      </c>
      <c r="BN52" s="309">
        <f>SUM(E$6:E52)+SUM(H$6:H52)+SUM(N$6:N52)+SUM(Z$6:Z52)+SUM(AC$6:AC52)+SUM(AF$6:AF52)+SUM(AI$6:AI52)+SUM(AR$6:AR52)+SUM(AU$6:AU52)+SUM(AX$6:AX52)+SUM(BA$6:BA52)</f>
        <v>37781250</v>
      </c>
      <c r="BO52" s="309">
        <f t="shared" si="26"/>
        <v>6987750</v>
      </c>
      <c r="BP52" s="309">
        <f t="shared" si="27"/>
        <v>81947000</v>
      </c>
      <c r="BQ52" s="309">
        <f t="shared" si="27"/>
        <v>66254038</v>
      </c>
      <c r="BR52" s="309">
        <f t="shared" si="28"/>
        <v>15692962</v>
      </c>
      <c r="BS52" s="309">
        <f t="shared" si="29"/>
        <v>0</v>
      </c>
      <c r="BT52" s="309">
        <f t="shared" si="29"/>
        <v>0</v>
      </c>
      <c r="BU52" s="309">
        <f t="shared" si="30"/>
        <v>0</v>
      </c>
    </row>
    <row r="53" spans="1:73" x14ac:dyDescent="0.35">
      <c r="A53" s="18">
        <v>46</v>
      </c>
      <c r="B53" s="184">
        <v>43404</v>
      </c>
      <c r="C53" s="175">
        <f>MAX(C$6:C52)-SUM(E$6:E52)</f>
        <v>0</v>
      </c>
      <c r="D53" s="309">
        <f>IF(C53=0,0,IF(E52=0,MAX(D$6:D52),D52-1))</f>
        <v>0</v>
      </c>
      <c r="E53" s="309">
        <f t="shared" si="0"/>
        <v>0</v>
      </c>
      <c r="F53" s="175">
        <f>MAX(F$6:F52)-SUM(H$6:H52)</f>
        <v>0</v>
      </c>
      <c r="G53" s="309">
        <f>IF(F53=0,0,IF(H52=0,MAX(G$6:G52),G52-1))</f>
        <v>0</v>
      </c>
      <c r="H53" s="309">
        <f t="shared" si="1"/>
        <v>0</v>
      </c>
      <c r="I53" s="175">
        <f>MAX(I$6:I52)-SUM(K$6:K52)</f>
        <v>0</v>
      </c>
      <c r="J53" s="309">
        <f>IF(I53=0,0,IF(K52=0,MAX(J$6:J52),J52-1))</f>
        <v>0</v>
      </c>
      <c r="K53" s="309">
        <f t="shared" si="2"/>
        <v>0</v>
      </c>
      <c r="L53" s="175">
        <f>MAX(L$6:L52)-SUM(N$6:N52)</f>
        <v>0</v>
      </c>
      <c r="M53" s="309">
        <f>IF(L53=0,0,IF(N52=0,MAX(M$6:M52),M52-1))</f>
        <v>0</v>
      </c>
      <c r="N53" s="309">
        <f t="shared" si="3"/>
        <v>0</v>
      </c>
      <c r="O53" s="175">
        <f>MAX(O$6:O52)-SUM(Q$6:Q52)</f>
        <v>2908125</v>
      </c>
      <c r="P53" s="309">
        <f>IF(O53=0,0,IF(Q52=0,MAX(P$6:P52),P52-1))</f>
        <v>3</v>
      </c>
      <c r="Q53" s="309">
        <f t="shared" si="4"/>
        <v>969375</v>
      </c>
      <c r="R53" s="175">
        <f>MAX(R$6:R52)-SUM(T$6:T52)</f>
        <v>4090837</v>
      </c>
      <c r="S53" s="309">
        <f>IF(R53=0,0,IF(T52=0,MAX(S$6:S52),S52-1))</f>
        <v>15</v>
      </c>
      <c r="T53" s="309">
        <f t="shared" si="5"/>
        <v>272722</v>
      </c>
      <c r="U53" s="175">
        <f>MAX(U$6:U52)-SUM(W$6:W52)</f>
        <v>1706250</v>
      </c>
      <c r="V53" s="309">
        <f>IF(U53=0,0,IF(W52=0,MAX(V$6:V52),V52-1))</f>
        <v>15</v>
      </c>
      <c r="W53" s="309">
        <f t="shared" si="6"/>
        <v>113750</v>
      </c>
      <c r="X53" s="175">
        <f>MAX(X$6:X52)-SUM(Z$6:Z52)</f>
        <v>0</v>
      </c>
      <c r="Y53" s="309">
        <f>IF(X53=0,0,IF(Z52=0,MAX(Y$6:Y52),Y52-1))</f>
        <v>0</v>
      </c>
      <c r="Z53" s="309">
        <f t="shared" si="7"/>
        <v>0</v>
      </c>
      <c r="AA53" s="175">
        <f>MAX(AA$6:AA52)-SUM(AC$6:AC52)</f>
        <v>0</v>
      </c>
      <c r="AB53" s="309">
        <f>IF(AA53=0,0,IF(AC52=0,MAX(AB$6:AB52),AB52-1))</f>
        <v>0</v>
      </c>
      <c r="AC53" s="309">
        <f t="shared" si="8"/>
        <v>0</v>
      </c>
      <c r="AD53" s="175">
        <f>MAX(AD$6:AD52)-SUM(AF$6:AF52)</f>
        <v>998250</v>
      </c>
      <c r="AE53" s="309">
        <f>IF(AD53=0,0,IF(AF52=0,MAX(AE$6:AE52),AE52-1))</f>
        <v>3</v>
      </c>
      <c r="AF53" s="309">
        <f t="shared" si="9"/>
        <v>332750</v>
      </c>
      <c r="AG53" s="175">
        <f>MAX(AG$6:AG52)-SUM(AI$6:AI52)</f>
        <v>5989500</v>
      </c>
      <c r="AH53" s="309">
        <f>IF(AG53=0,0,IF(AI52=0,MAX(AH$6:AH52),AH52-1))</f>
        <v>9</v>
      </c>
      <c r="AI53" s="309">
        <f t="shared" si="10"/>
        <v>665500</v>
      </c>
      <c r="AJ53" s="175">
        <v>0</v>
      </c>
      <c r="AK53" s="309">
        <f>IF(AJ53=0,0,IF(AL52=0,MAX(AK$6:AK52),AK52-1))</f>
        <v>0</v>
      </c>
      <c r="AL53" s="309">
        <f t="shared" si="11"/>
        <v>0</v>
      </c>
      <c r="AM53" s="175">
        <v>0</v>
      </c>
      <c r="AN53" s="309">
        <f>IF(AM53=0,0,IF(AO52=0,MAX(AN$6:AN52),AN52-1))</f>
        <v>0</v>
      </c>
      <c r="AO53" s="309">
        <f t="shared" si="12"/>
        <v>0</v>
      </c>
      <c r="AP53" s="175">
        <v>0</v>
      </c>
      <c r="AQ53" s="309">
        <f>IF(AP53=0,0,IF(AR52=0,MAX(AQ$6:AQ52),AQ52-1))</f>
        <v>0</v>
      </c>
      <c r="AR53" s="309">
        <f t="shared" si="13"/>
        <v>0</v>
      </c>
      <c r="AS53" s="175">
        <v>0</v>
      </c>
      <c r="AT53" s="309">
        <f>IF(AS53=0,0,IF(AU52=0,MAX(AT$6:AT52),AT52-1))</f>
        <v>0</v>
      </c>
      <c r="AU53" s="309">
        <f t="shared" si="14"/>
        <v>0</v>
      </c>
      <c r="AV53" s="309">
        <v>0</v>
      </c>
      <c r="AW53" s="309">
        <f>IF(AV53=0,0,IF(AX52=0,MAX(AW$6:AW52),AW52-1))</f>
        <v>0</v>
      </c>
      <c r="AX53" s="309">
        <f t="shared" si="15"/>
        <v>0</v>
      </c>
      <c r="AY53" s="175">
        <v>0</v>
      </c>
      <c r="AZ53" s="309">
        <f>IF(AY53=0,0,IF(BA52=0,MAX(AZ$6:AZ52),AZ52-1))</f>
        <v>0</v>
      </c>
      <c r="BA53" s="309">
        <f t="shared" si="16"/>
        <v>0</v>
      </c>
      <c r="BB53" s="309">
        <f t="shared" si="19"/>
        <v>2354097</v>
      </c>
      <c r="BC53" s="309">
        <f t="shared" si="20"/>
        <v>15692962</v>
      </c>
      <c r="BD53" s="309">
        <f t="shared" si="21"/>
        <v>2354097</v>
      </c>
      <c r="BE53" s="309">
        <f t="shared" si="22"/>
        <v>13338865</v>
      </c>
      <c r="BF53" s="309">
        <f>MAX(C$6:C53)+MAX(F$6:F53)+MAX(I$6:I53)+MAX(L$6:L53)+MAX(O$6:O53)+MAX(R$6:R53)+MAX(U$6:U53)+MAX(X$6:X53)+MAX(AA$6:AA53)+MAX(AD$6:AD53)+MAX(AG$6:AG53)+MAX(AJ$6:AJ53)+MAX(AM$6:AM53)+MAX(AP$6:AP53)+MAX(AS$6:AS53)+MAX(AV$6:AV53)+MAX(AY$6:AY53)</f>
        <v>81947000</v>
      </c>
      <c r="BG53" s="309">
        <f>SUM(E$6:E53)+SUM(H$6:H53)+SUM(K$6:K53)+SUM(N$6:N53)+SUM(Q$6:Q53)+SUM(T$6:T53)+SUM(W$6:W53)+SUM(Z$6:Z53)+SUM(AC$6:AC53)+SUM(AF$6:AF53)+SUM(AI$6:AI53)+SUM(AL$6:AL53)+SUM(AO$6:AO53)+SUM(AR$6:AR53)+SUM(AU$6:AU53)+SUM(AX$6:AX53)+SUM(BA$6:BA53)</f>
        <v>68608135</v>
      </c>
      <c r="BH53" s="309">
        <f t="shared" si="23"/>
        <v>13338865</v>
      </c>
      <c r="BI53" s="309">
        <f t="shared" si="24"/>
        <v>0</v>
      </c>
      <c r="BJ53" s="309">
        <f>MAX(I$6:I53)+MAX(O$6:O53)+MAX(R$6:R53)+MAX(U$6:U53)+MAX(AJ$6:AJ53)+MAX(AM$6:AM53)</f>
        <v>37178000</v>
      </c>
      <c r="BK53" s="309">
        <f>SUM(K$6:K53)+SUM(Q$6:Q53)+SUM(T$6:T53)+SUM(W$6:W53)+SUM(AL$6:AL53)+SUM(AO$6:AO53)</f>
        <v>29828635</v>
      </c>
      <c r="BL53" s="309">
        <f t="shared" si="25"/>
        <v>7349365</v>
      </c>
      <c r="BM53" s="309">
        <f>MAX(C$6:C53)+MAX(F$6:F53)+MAX(L$6:L53)+MAX(X$6:X53)+MAX(AA$6:AA53)+MAX(AD$6:AD53)+MAX(AG$6:AG53)+MAX(AP$6:AP53)+MAX(AS$6:AS53)+MAX(AV$6:AV53)+MAX(AY$6:AY53)</f>
        <v>44769000</v>
      </c>
      <c r="BN53" s="309">
        <f>SUM(E$6:E53)+SUM(H$6:H53)+SUM(N$6:N53)+SUM(Z$6:Z53)+SUM(AC$6:AC53)+SUM(AF$6:AF53)+SUM(AI$6:AI53)+SUM(AR$6:AR53)+SUM(AU$6:AU53)+SUM(AX$6:AX53)+SUM(BA$6:BA53)</f>
        <v>38779500</v>
      </c>
      <c r="BO53" s="309">
        <f t="shared" si="26"/>
        <v>5989500</v>
      </c>
      <c r="BP53" s="309">
        <f t="shared" si="27"/>
        <v>81947000</v>
      </c>
      <c r="BQ53" s="309">
        <f t="shared" si="27"/>
        <v>68608135</v>
      </c>
      <c r="BR53" s="309">
        <f t="shared" si="28"/>
        <v>13338865</v>
      </c>
      <c r="BS53" s="309">
        <f t="shared" si="29"/>
        <v>0</v>
      </c>
      <c r="BT53" s="309">
        <f t="shared" si="29"/>
        <v>0</v>
      </c>
      <c r="BU53" s="309">
        <f t="shared" si="30"/>
        <v>0</v>
      </c>
    </row>
    <row r="54" spans="1:73" x14ac:dyDescent="0.35">
      <c r="A54" s="18">
        <v>47</v>
      </c>
      <c r="B54" s="184">
        <v>43434</v>
      </c>
      <c r="C54" s="175">
        <f>MAX(C$6:C53)-SUM(E$6:E53)</f>
        <v>0</v>
      </c>
      <c r="D54" s="309">
        <f>IF(C54=0,0,IF(E53=0,MAX(D$6:D53),D53-1))</f>
        <v>0</v>
      </c>
      <c r="E54" s="309">
        <f t="shared" si="0"/>
        <v>0</v>
      </c>
      <c r="F54" s="175">
        <f>MAX(F$6:F53)-SUM(H$6:H53)</f>
        <v>0</v>
      </c>
      <c r="G54" s="309">
        <f>IF(F54=0,0,IF(H53=0,MAX(G$6:G53),G53-1))</f>
        <v>0</v>
      </c>
      <c r="H54" s="309">
        <f t="shared" si="1"/>
        <v>0</v>
      </c>
      <c r="I54" s="175">
        <f>MAX(I$6:I53)-SUM(K$6:K53)</f>
        <v>0</v>
      </c>
      <c r="J54" s="309">
        <f>IF(I54=0,0,IF(K53=0,MAX(J$6:J53),J53-1))</f>
        <v>0</v>
      </c>
      <c r="K54" s="309">
        <f t="shared" si="2"/>
        <v>0</v>
      </c>
      <c r="L54" s="175">
        <f>MAX(L$6:L53)-SUM(N$6:N53)</f>
        <v>0</v>
      </c>
      <c r="M54" s="309">
        <f>IF(L54=0,0,IF(N53=0,MAX(M$6:M53),M53-1))</f>
        <v>0</v>
      </c>
      <c r="N54" s="309">
        <f t="shared" si="3"/>
        <v>0</v>
      </c>
      <c r="O54" s="175">
        <f>MAX(O$6:O53)-SUM(Q$6:Q53)</f>
        <v>1938750</v>
      </c>
      <c r="P54" s="309">
        <f>IF(O54=0,0,IF(Q53=0,MAX(P$6:P53),P53-1))</f>
        <v>2</v>
      </c>
      <c r="Q54" s="309">
        <f t="shared" si="4"/>
        <v>969375</v>
      </c>
      <c r="R54" s="175">
        <f>MAX(R$6:R53)-SUM(T$6:T53)</f>
        <v>3818115</v>
      </c>
      <c r="S54" s="309">
        <f>IF(R54=0,0,IF(T53=0,MAX(S$6:S53),S53-1))</f>
        <v>14</v>
      </c>
      <c r="T54" s="309">
        <f t="shared" si="5"/>
        <v>272723</v>
      </c>
      <c r="U54" s="175">
        <f>MAX(U$6:U53)-SUM(W$6:W53)</f>
        <v>1592500</v>
      </c>
      <c r="V54" s="309">
        <f>IF(U54=0,0,IF(W53=0,MAX(V$6:V53),V53-1))</f>
        <v>14</v>
      </c>
      <c r="W54" s="309">
        <f t="shared" si="6"/>
        <v>113750</v>
      </c>
      <c r="X54" s="175">
        <f>MAX(X$6:X53)-SUM(Z$6:Z53)</f>
        <v>0</v>
      </c>
      <c r="Y54" s="309">
        <f>IF(X54=0,0,IF(Z53=0,MAX(Y$6:Y53),Y53-1))</f>
        <v>0</v>
      </c>
      <c r="Z54" s="309">
        <f t="shared" si="7"/>
        <v>0</v>
      </c>
      <c r="AA54" s="175">
        <f>MAX(AA$6:AA53)-SUM(AC$6:AC53)</f>
        <v>0</v>
      </c>
      <c r="AB54" s="309">
        <f>IF(AA54=0,0,IF(AC53=0,MAX(AB$6:AB53),AB53-1))</f>
        <v>0</v>
      </c>
      <c r="AC54" s="309">
        <f t="shared" si="8"/>
        <v>0</v>
      </c>
      <c r="AD54" s="175">
        <f>MAX(AD$6:AD53)-SUM(AF$6:AF53)</f>
        <v>665500</v>
      </c>
      <c r="AE54" s="309">
        <f>IF(AD54=0,0,IF(AF53=0,MAX(AE$6:AE53),AE53-1))</f>
        <v>2</v>
      </c>
      <c r="AF54" s="309">
        <f t="shared" si="9"/>
        <v>332750</v>
      </c>
      <c r="AG54" s="175">
        <f>MAX(AG$6:AG53)-SUM(AI$6:AI53)</f>
        <v>5324000</v>
      </c>
      <c r="AH54" s="309">
        <f>IF(AG54=0,0,IF(AI53=0,MAX(AH$6:AH53),AH53-1))</f>
        <v>8</v>
      </c>
      <c r="AI54" s="309">
        <f t="shared" si="10"/>
        <v>665500</v>
      </c>
      <c r="AJ54" s="175">
        <v>0</v>
      </c>
      <c r="AK54" s="309">
        <f>IF(AJ54=0,0,IF(AL53=0,MAX(AK$6:AK53),AK53-1))</f>
        <v>0</v>
      </c>
      <c r="AL54" s="309">
        <f t="shared" si="11"/>
        <v>0</v>
      </c>
      <c r="AM54" s="175">
        <v>0</v>
      </c>
      <c r="AN54" s="309">
        <f>IF(AM54=0,0,IF(AO53=0,MAX(AN$6:AN53),AN53-1))</f>
        <v>0</v>
      </c>
      <c r="AO54" s="309">
        <f t="shared" si="12"/>
        <v>0</v>
      </c>
      <c r="AP54" s="175">
        <v>0</v>
      </c>
      <c r="AQ54" s="309">
        <f>IF(AP54=0,0,IF(AR53=0,MAX(AQ$6:AQ53),AQ53-1))</f>
        <v>0</v>
      </c>
      <c r="AR54" s="309">
        <f t="shared" si="13"/>
        <v>0</v>
      </c>
      <c r="AS54" s="175">
        <v>0</v>
      </c>
      <c r="AT54" s="309">
        <f>IF(AS54=0,0,IF(AU53=0,MAX(AT$6:AT53),AT53-1))</f>
        <v>0</v>
      </c>
      <c r="AU54" s="309">
        <f t="shared" si="14"/>
        <v>0</v>
      </c>
      <c r="AV54" s="309">
        <v>0</v>
      </c>
      <c r="AW54" s="309">
        <f>IF(AV54=0,0,IF(AX53=0,MAX(AW$6:AW53),AW53-1))</f>
        <v>0</v>
      </c>
      <c r="AX54" s="309">
        <f t="shared" si="15"/>
        <v>0</v>
      </c>
      <c r="AY54" s="175">
        <v>0</v>
      </c>
      <c r="AZ54" s="309">
        <f>IF(AY54=0,0,IF(BA53=0,MAX(AZ$6:AZ53),AZ53-1))</f>
        <v>0</v>
      </c>
      <c r="BA54" s="309">
        <f t="shared" si="16"/>
        <v>0</v>
      </c>
      <c r="BB54" s="309">
        <f t="shared" si="19"/>
        <v>2354098</v>
      </c>
      <c r="BC54" s="309">
        <f t="shared" si="20"/>
        <v>13338865</v>
      </c>
      <c r="BD54" s="309">
        <f t="shared" si="21"/>
        <v>2354098</v>
      </c>
      <c r="BE54" s="309">
        <f t="shared" si="22"/>
        <v>10984767</v>
      </c>
      <c r="BF54" s="309">
        <f>MAX(C$6:C54)+MAX(F$6:F54)+MAX(I$6:I54)+MAX(L$6:L54)+MAX(O$6:O54)+MAX(R$6:R54)+MAX(U$6:U54)+MAX(X$6:X54)+MAX(AA$6:AA54)+MAX(AD$6:AD54)+MAX(AG$6:AG54)+MAX(AJ$6:AJ54)+MAX(AM$6:AM54)+MAX(AP$6:AP54)+MAX(AS$6:AS54)+MAX(AV$6:AV54)+MAX(AY$6:AY54)</f>
        <v>81947000</v>
      </c>
      <c r="BG54" s="309">
        <f>SUM(E$6:E54)+SUM(H$6:H54)+SUM(K$6:K54)+SUM(N$6:N54)+SUM(Q$6:Q54)+SUM(T$6:T54)+SUM(W$6:W54)+SUM(Z$6:Z54)+SUM(AC$6:AC54)+SUM(AF$6:AF54)+SUM(AI$6:AI54)+SUM(AL$6:AL54)+SUM(AO$6:AO54)+SUM(AR$6:AR54)+SUM(AU$6:AU54)+SUM(AX$6:AX54)+SUM(BA$6:BA54)</f>
        <v>70962233</v>
      </c>
      <c r="BH54" s="309">
        <f t="shared" si="23"/>
        <v>10984767</v>
      </c>
      <c r="BI54" s="309">
        <f t="shared" si="24"/>
        <v>0</v>
      </c>
      <c r="BJ54" s="309">
        <f>MAX(I$6:I54)+MAX(O$6:O54)+MAX(R$6:R54)+MAX(U$6:U54)+MAX(AJ$6:AJ54)+MAX(AM$6:AM54)</f>
        <v>37178000</v>
      </c>
      <c r="BK54" s="309">
        <f>SUM(K$6:K54)+SUM(Q$6:Q54)+SUM(T$6:T54)+SUM(W$6:W54)+SUM(AL$6:AL54)+SUM(AO$6:AO54)</f>
        <v>31184483</v>
      </c>
      <c r="BL54" s="309">
        <f t="shared" si="25"/>
        <v>5993517</v>
      </c>
      <c r="BM54" s="309">
        <f>MAX(C$6:C54)+MAX(F$6:F54)+MAX(L$6:L54)+MAX(X$6:X54)+MAX(AA$6:AA54)+MAX(AD$6:AD54)+MAX(AG$6:AG54)+MAX(AP$6:AP54)+MAX(AS$6:AS54)+MAX(AV$6:AV54)+MAX(AY$6:AY54)</f>
        <v>44769000</v>
      </c>
      <c r="BN54" s="309">
        <f>SUM(E$6:E54)+SUM(H$6:H54)+SUM(N$6:N54)+SUM(Z$6:Z54)+SUM(AC$6:AC54)+SUM(AF$6:AF54)+SUM(AI$6:AI54)+SUM(AR$6:AR54)+SUM(AU$6:AU54)+SUM(AX$6:AX54)+SUM(BA$6:BA54)</f>
        <v>39777750</v>
      </c>
      <c r="BO54" s="309">
        <f t="shared" si="26"/>
        <v>4991250</v>
      </c>
      <c r="BP54" s="309">
        <f t="shared" si="27"/>
        <v>81947000</v>
      </c>
      <c r="BQ54" s="309">
        <f t="shared" si="27"/>
        <v>70962233</v>
      </c>
      <c r="BR54" s="309">
        <f t="shared" si="28"/>
        <v>10984767</v>
      </c>
      <c r="BS54" s="309">
        <f t="shared" si="29"/>
        <v>0</v>
      </c>
      <c r="BT54" s="309">
        <f t="shared" si="29"/>
        <v>0</v>
      </c>
      <c r="BU54" s="309">
        <f t="shared" si="30"/>
        <v>0</v>
      </c>
    </row>
    <row r="55" spans="1:73" x14ac:dyDescent="0.35">
      <c r="A55" s="18">
        <v>48</v>
      </c>
      <c r="B55" s="184">
        <v>43465</v>
      </c>
      <c r="C55" s="175">
        <f>MAX(C$6:C54)-SUM(E$6:E54)</f>
        <v>0</v>
      </c>
      <c r="D55" s="309">
        <f>IF(C55=0,0,IF(E54=0,MAX(D$6:D54),D54-1))</f>
        <v>0</v>
      </c>
      <c r="E55" s="309">
        <f t="shared" si="0"/>
        <v>0</v>
      </c>
      <c r="F55" s="175">
        <f>MAX(F$6:F54)-SUM(H$6:H54)</f>
        <v>0</v>
      </c>
      <c r="G55" s="309">
        <f>IF(F55=0,0,IF(H54=0,MAX(G$6:G54),G54-1))</f>
        <v>0</v>
      </c>
      <c r="H55" s="309">
        <f t="shared" si="1"/>
        <v>0</v>
      </c>
      <c r="I55" s="175">
        <f>MAX(I$6:I54)-SUM(K$6:K54)</f>
        <v>0</v>
      </c>
      <c r="J55" s="309">
        <f>IF(I55=0,0,IF(K54=0,MAX(J$6:J54),J54-1))</f>
        <v>0</v>
      </c>
      <c r="K55" s="309">
        <f t="shared" si="2"/>
        <v>0</v>
      </c>
      <c r="L55" s="175">
        <f>MAX(L$6:L54)-SUM(N$6:N54)</f>
        <v>0</v>
      </c>
      <c r="M55" s="309">
        <f>IF(L55=0,0,IF(N54=0,MAX(M$6:M54),M54-1))</f>
        <v>0</v>
      </c>
      <c r="N55" s="309">
        <f t="shared" si="3"/>
        <v>0</v>
      </c>
      <c r="O55" s="175">
        <f>MAX(O$6:O54)-SUM(Q$6:Q54)</f>
        <v>969375</v>
      </c>
      <c r="P55" s="309">
        <f>IF(O55=0,0,IF(Q54=0,MAX(P$6:P54),P54-1))</f>
        <v>1</v>
      </c>
      <c r="Q55" s="309">
        <f t="shared" si="4"/>
        <v>969375</v>
      </c>
      <c r="R55" s="175">
        <f>MAX(R$6:R54)-SUM(T$6:T54)</f>
        <v>3545392</v>
      </c>
      <c r="S55" s="309">
        <f>IF(R55=0,0,IF(T54=0,MAX(S$6:S54),S54-1))</f>
        <v>13</v>
      </c>
      <c r="T55" s="309">
        <f t="shared" si="5"/>
        <v>272722</v>
      </c>
      <c r="U55" s="175">
        <f>MAX(U$6:U54)-SUM(W$6:W54)</f>
        <v>1478750</v>
      </c>
      <c r="V55" s="309">
        <f>IF(U55=0,0,IF(W54=0,MAX(V$6:V54),V54-1))</f>
        <v>13</v>
      </c>
      <c r="W55" s="309">
        <f t="shared" si="6"/>
        <v>113750</v>
      </c>
      <c r="X55" s="175">
        <f>MAX(X$6:X54)-SUM(Z$6:Z54)</f>
        <v>0</v>
      </c>
      <c r="Y55" s="309">
        <f>IF(X55=0,0,IF(Z54=0,MAX(Y$6:Y54),Y54-1))</f>
        <v>0</v>
      </c>
      <c r="Z55" s="309">
        <f t="shared" si="7"/>
        <v>0</v>
      </c>
      <c r="AA55" s="175">
        <f>MAX(AA$6:AA54)-SUM(AC$6:AC54)</f>
        <v>0</v>
      </c>
      <c r="AB55" s="309">
        <f>IF(AA55=0,0,IF(AC54=0,MAX(AB$6:AB54),AB54-1))</f>
        <v>0</v>
      </c>
      <c r="AC55" s="309">
        <f t="shared" si="8"/>
        <v>0</v>
      </c>
      <c r="AD55" s="175">
        <f>MAX(AD$6:AD54)-SUM(AF$6:AF54)</f>
        <v>332750</v>
      </c>
      <c r="AE55" s="309">
        <f>IF(AD55=0,0,IF(AF54=0,MAX(AE$6:AE54),AE54-1))</f>
        <v>1</v>
      </c>
      <c r="AF55" s="309">
        <f t="shared" si="9"/>
        <v>332750</v>
      </c>
      <c r="AG55" s="175">
        <f>MAX(AG$6:AG54)-SUM(AI$6:AI54)</f>
        <v>4658500</v>
      </c>
      <c r="AH55" s="309">
        <f>IF(AG55=0,0,IF(AI54=0,MAX(AH$6:AH54),AH54-1))</f>
        <v>7</v>
      </c>
      <c r="AI55" s="309">
        <f t="shared" si="10"/>
        <v>665500</v>
      </c>
      <c r="AJ55" s="175">
        <f>'Inv Adic'!K8+'Inv Adic'!K9</f>
        <v>25592000</v>
      </c>
      <c r="AK55" s="309">
        <f>IF(AJ55=0,0,IF(AL54=0,MAX(AK$6:AK54),AK54-1))</f>
        <v>24</v>
      </c>
      <c r="AL55" s="309">
        <f t="shared" si="11"/>
        <v>0</v>
      </c>
      <c r="AM55" s="175">
        <f>'Inv Adic'!K10</f>
        <v>10309000</v>
      </c>
      <c r="AN55" s="309">
        <f>IF(AM55=0,0,IF(AO54=0,MAX(AN$6:AN54),AN54-1))</f>
        <v>36</v>
      </c>
      <c r="AO55" s="309">
        <f t="shared" si="12"/>
        <v>0</v>
      </c>
      <c r="AP55" s="175">
        <f>'Inv Adic'!K11+'Inv Adic'!K12</f>
        <v>4300000</v>
      </c>
      <c r="AQ55" s="309">
        <f>IF(AP55=0,0,IF(AR54=0,MAX(AQ$6:AQ54),AQ54-1))</f>
        <v>36</v>
      </c>
      <c r="AR55" s="309">
        <f t="shared" si="13"/>
        <v>0</v>
      </c>
      <c r="AS55" s="175">
        <f>'Inv Adic'!K13</f>
        <v>4392000</v>
      </c>
      <c r="AT55" s="309">
        <f>IF(AS55=0,0,IF(AU54=0,MAX(AT$6:AT54),AT54-1))</f>
        <v>12</v>
      </c>
      <c r="AU55" s="309">
        <f t="shared" si="14"/>
        <v>0</v>
      </c>
      <c r="AV55" s="309">
        <v>0</v>
      </c>
      <c r="AW55" s="309">
        <f>IF(AV55=0,0,IF(AX54=0,MAX(AW$6:AW54),AW54-1))</f>
        <v>0</v>
      </c>
      <c r="AX55" s="309">
        <f t="shared" si="15"/>
        <v>0</v>
      </c>
      <c r="AY55" s="175">
        <v>0</v>
      </c>
      <c r="AZ55" s="309">
        <f>IF(AY55=0,0,IF(BA54=0,MAX(AZ$6:AZ54),AZ54-1))</f>
        <v>0</v>
      </c>
      <c r="BA55" s="309">
        <f t="shared" si="16"/>
        <v>0</v>
      </c>
      <c r="BB55" s="309">
        <f t="shared" si="19"/>
        <v>2354097</v>
      </c>
      <c r="BC55" s="309">
        <f t="shared" si="20"/>
        <v>55577767</v>
      </c>
      <c r="BD55" s="309">
        <f t="shared" si="21"/>
        <v>2354097</v>
      </c>
      <c r="BE55" s="309">
        <f t="shared" si="22"/>
        <v>53223670</v>
      </c>
      <c r="BF55" s="309">
        <f>MAX(C$6:C55)+MAX(F$6:F55)+MAX(I$6:I55)+MAX(L$6:L55)+MAX(O$6:O55)+MAX(R$6:R55)+MAX(U$6:U55)+MAX(X$6:X55)+MAX(AA$6:AA55)+MAX(AD$6:AD55)+MAX(AG$6:AG55)+MAX(AJ$6:AJ55)+MAX(AM$6:AM55)+MAX(AP$6:AP55)+MAX(AS$6:AS55)+MAX(AV$6:AV55)+MAX(AY$6:AY55)</f>
        <v>126540000</v>
      </c>
      <c r="BG55" s="309">
        <f>SUM(E$6:E55)+SUM(H$6:H55)+SUM(K$6:K55)+SUM(N$6:N55)+SUM(Q$6:Q55)+SUM(T$6:T55)+SUM(W$6:W55)+SUM(Z$6:Z55)+SUM(AC$6:AC55)+SUM(AF$6:AF55)+SUM(AI$6:AI55)+SUM(AL$6:AL55)+SUM(AO$6:AO55)+SUM(AR$6:AR55)+SUM(AU$6:AU55)+SUM(AX$6:AX55)+SUM(BA$6:BA55)</f>
        <v>73316330</v>
      </c>
      <c r="BH55" s="309">
        <f t="shared" si="23"/>
        <v>53223670</v>
      </c>
      <c r="BI55" s="309">
        <f t="shared" si="24"/>
        <v>0</v>
      </c>
      <c r="BJ55" s="309">
        <f>MAX(I$6:I55)+MAX(O$6:O55)+MAX(R$6:R55)+MAX(U$6:U55)+MAX(AJ$6:AJ55)+MAX(AM$6:AM55)</f>
        <v>73079000</v>
      </c>
      <c r="BK55" s="309">
        <f>SUM(K$6:K55)+SUM(Q$6:Q55)+SUM(T$6:T55)+SUM(W$6:W55)+SUM(AL$6:AL55)+SUM(AO$6:AO55)</f>
        <v>32540330</v>
      </c>
      <c r="BL55" s="309">
        <f t="shared" si="25"/>
        <v>40538670</v>
      </c>
      <c r="BM55" s="309">
        <f>MAX(C$6:C55)+MAX(F$6:F55)+MAX(L$6:L55)+MAX(X$6:X55)+MAX(AA$6:AA55)+MAX(AD$6:AD55)+MAX(AG$6:AG55)+MAX(AP$6:AP55)+MAX(AS$6:AS55)+MAX(AV$6:AV55)+MAX(AY$6:AY55)</f>
        <v>53461000</v>
      </c>
      <c r="BN55" s="309">
        <f>SUM(E$6:E55)+SUM(H$6:H55)+SUM(N$6:N55)+SUM(Z$6:Z55)+SUM(AC$6:AC55)+SUM(AF$6:AF55)+SUM(AI$6:AI55)+SUM(AR$6:AR55)+SUM(AU$6:AU55)+SUM(AX$6:AX55)+SUM(BA$6:BA55)</f>
        <v>40776000</v>
      </c>
      <c r="BO55" s="309">
        <f t="shared" si="26"/>
        <v>12685000</v>
      </c>
      <c r="BP55" s="309">
        <f t="shared" si="27"/>
        <v>126540000</v>
      </c>
      <c r="BQ55" s="309">
        <f t="shared" si="27"/>
        <v>73316330</v>
      </c>
      <c r="BR55" s="309">
        <f t="shared" si="28"/>
        <v>53223670</v>
      </c>
      <c r="BS55" s="309">
        <f t="shared" si="29"/>
        <v>0</v>
      </c>
      <c r="BT55" s="309">
        <f t="shared" si="29"/>
        <v>0</v>
      </c>
      <c r="BU55" s="309">
        <f t="shared" si="30"/>
        <v>0</v>
      </c>
    </row>
    <row r="56" spans="1:73" x14ac:dyDescent="0.35">
      <c r="A56" s="18">
        <v>49</v>
      </c>
      <c r="B56" s="184">
        <v>43496</v>
      </c>
      <c r="C56" s="175">
        <f>MAX(C$6:C55)-SUM(E$6:E55)</f>
        <v>0</v>
      </c>
      <c r="D56" s="309">
        <f>IF(C56=0,0,IF(E55=0,MAX(D$6:D55),D55-1))</f>
        <v>0</v>
      </c>
      <c r="E56" s="309">
        <f t="shared" si="0"/>
        <v>0</v>
      </c>
      <c r="F56" s="175">
        <f>MAX(F$6:F55)-SUM(H$6:H55)</f>
        <v>0</v>
      </c>
      <c r="G56" s="309">
        <f>IF(F56=0,0,IF(H55=0,MAX(G$6:G55),G55-1))</f>
        <v>0</v>
      </c>
      <c r="H56" s="309">
        <f t="shared" si="1"/>
        <v>0</v>
      </c>
      <c r="I56" s="175">
        <f>MAX(I$6:I55)-SUM(K$6:K55)</f>
        <v>0</v>
      </c>
      <c r="J56" s="309">
        <f>IF(I56=0,0,IF(K55=0,MAX(J$6:J55),J55-1))</f>
        <v>0</v>
      </c>
      <c r="K56" s="309">
        <f t="shared" si="2"/>
        <v>0</v>
      </c>
      <c r="L56" s="175">
        <f>MAX(L$6:L55)-SUM(N$6:N55)</f>
        <v>0</v>
      </c>
      <c r="M56" s="309">
        <f>IF(L56=0,0,IF(N55=0,MAX(M$6:M55),M55-1))</f>
        <v>0</v>
      </c>
      <c r="N56" s="309">
        <f t="shared" si="3"/>
        <v>0</v>
      </c>
      <c r="O56" s="175">
        <f>MAX(O$6:O55)-SUM(Q$6:Q55)</f>
        <v>0</v>
      </c>
      <c r="P56" s="309">
        <f>IF(O56=0,0,IF(Q55=0,MAX(P$6:P55),P55-1))</f>
        <v>0</v>
      </c>
      <c r="Q56" s="309">
        <f t="shared" si="4"/>
        <v>0</v>
      </c>
      <c r="R56" s="175">
        <f>MAX(R$6:R55)-SUM(T$6:T55)</f>
        <v>3272670</v>
      </c>
      <c r="S56" s="309">
        <f>IF(R56=0,0,IF(T55=0,MAX(S$6:S55),S55-1))</f>
        <v>12</v>
      </c>
      <c r="T56" s="309">
        <f t="shared" si="5"/>
        <v>272723</v>
      </c>
      <c r="U56" s="175">
        <f>MAX(U$6:U55)-SUM(W$6:W55)</f>
        <v>1365000</v>
      </c>
      <c r="V56" s="309">
        <f>IF(U56=0,0,IF(W55=0,MAX(V$6:V55),V55-1))</f>
        <v>12</v>
      </c>
      <c r="W56" s="309">
        <f t="shared" si="6"/>
        <v>113750</v>
      </c>
      <c r="X56" s="175">
        <f>MAX(X$6:X55)-SUM(Z$6:Z55)</f>
        <v>0</v>
      </c>
      <c r="Y56" s="309">
        <f>IF(X56=0,0,IF(Z55=0,MAX(Y$6:Y55),Y55-1))</f>
        <v>0</v>
      </c>
      <c r="Z56" s="309">
        <f t="shared" si="7"/>
        <v>0</v>
      </c>
      <c r="AA56" s="175">
        <f>MAX(AA$6:AA55)-SUM(AC$6:AC55)</f>
        <v>0</v>
      </c>
      <c r="AB56" s="309">
        <f>IF(AA56=0,0,IF(AC55=0,MAX(AB$6:AB55),AB55-1))</f>
        <v>0</v>
      </c>
      <c r="AC56" s="309">
        <f t="shared" si="8"/>
        <v>0</v>
      </c>
      <c r="AD56" s="175">
        <f>MAX(AD$6:AD55)-SUM(AF$6:AF55)</f>
        <v>0</v>
      </c>
      <c r="AE56" s="309">
        <f>IF(AD56=0,0,IF(AF55=0,MAX(AE$6:AE55),AE55-1))</f>
        <v>0</v>
      </c>
      <c r="AF56" s="309">
        <f t="shared" si="9"/>
        <v>0</v>
      </c>
      <c r="AG56" s="175">
        <f>MAX(AG$6:AG55)-SUM(AI$6:AI55)</f>
        <v>3993000</v>
      </c>
      <c r="AH56" s="309">
        <f>IF(AG56=0,0,IF(AI55=0,MAX(AH$6:AH55),AH55-1))</f>
        <v>6</v>
      </c>
      <c r="AI56" s="309">
        <f t="shared" si="10"/>
        <v>665500</v>
      </c>
      <c r="AJ56" s="175">
        <f>MAX(AJ$6:AJ55)-SUM(AL$6:AL55)</f>
        <v>25592000</v>
      </c>
      <c r="AK56" s="309">
        <f>IF(AJ56=0,0,IF(AL55=0,MAX(AK$6:AK55),AK55-1))</f>
        <v>24</v>
      </c>
      <c r="AL56" s="309">
        <f t="shared" si="11"/>
        <v>1066333</v>
      </c>
      <c r="AM56" s="175">
        <f>MAX(AM$6:AM55)-SUM(AO$6:AO55)</f>
        <v>10309000</v>
      </c>
      <c r="AN56" s="309">
        <f>IF(AM56=0,0,IF(AO55=0,MAX(AN$6:AN55),AN55-1))</f>
        <v>36</v>
      </c>
      <c r="AO56" s="309">
        <f t="shared" si="12"/>
        <v>286361</v>
      </c>
      <c r="AP56" s="175">
        <f>MAX(AP$6:AP55)-SUM(AR$6:AR55)</f>
        <v>4300000</v>
      </c>
      <c r="AQ56" s="309">
        <f>IF(AP56=0,0,IF(AR55=0,MAX(AQ$6:AQ55),AQ55-1))</f>
        <v>36</v>
      </c>
      <c r="AR56" s="309">
        <f t="shared" si="13"/>
        <v>119444</v>
      </c>
      <c r="AS56" s="175">
        <f>MAX(AS$6:AS55)-SUM(AU$6:AU55)</f>
        <v>4392000</v>
      </c>
      <c r="AT56" s="309">
        <f>IF(AS56=0,0,IF(AU55=0,MAX(AT$6:AT55),AT55-1))</f>
        <v>12</v>
      </c>
      <c r="AU56" s="309">
        <f t="shared" si="14"/>
        <v>366000</v>
      </c>
      <c r="AV56" s="309">
        <v>0</v>
      </c>
      <c r="AW56" s="309">
        <f>IF(AV56=0,0,IF(AX55=0,MAX(AW$6:AW55),AW55-1))</f>
        <v>0</v>
      </c>
      <c r="AX56" s="309">
        <f t="shared" si="15"/>
        <v>0</v>
      </c>
      <c r="AY56" s="175">
        <v>0</v>
      </c>
      <c r="AZ56" s="309">
        <f>IF(AY56=0,0,IF(BA55=0,MAX(AZ$6:AZ55),AZ55-1))</f>
        <v>0</v>
      </c>
      <c r="BA56" s="309">
        <f t="shared" si="16"/>
        <v>0</v>
      </c>
      <c r="BB56" s="309">
        <f t="shared" si="19"/>
        <v>2890111</v>
      </c>
      <c r="BC56" s="309">
        <f t="shared" si="20"/>
        <v>53223670</v>
      </c>
      <c r="BD56" s="309">
        <f t="shared" si="21"/>
        <v>2890111</v>
      </c>
      <c r="BE56" s="309">
        <f t="shared" si="22"/>
        <v>50333559</v>
      </c>
      <c r="BF56" s="309">
        <f>MAX(C$6:C56)+MAX(F$6:F56)+MAX(I$6:I56)+MAX(L$6:L56)+MAX(O$6:O56)+MAX(R$6:R56)+MAX(U$6:U56)+MAX(X$6:X56)+MAX(AA$6:AA56)+MAX(AD$6:AD56)+MAX(AG$6:AG56)+MAX(AJ$6:AJ56)+MAX(AM$6:AM56)+MAX(AP$6:AP56)+MAX(AS$6:AS56)+MAX(AV$6:AV56)+MAX(AY$6:AY56)</f>
        <v>126540000</v>
      </c>
      <c r="BG56" s="309">
        <f>SUM(E$6:E56)+SUM(H$6:H56)+SUM(K$6:K56)+SUM(N$6:N56)+SUM(Q$6:Q56)+SUM(T$6:T56)+SUM(W$6:W56)+SUM(Z$6:Z56)+SUM(AC$6:AC56)+SUM(AF$6:AF56)+SUM(AI$6:AI56)+SUM(AL$6:AL56)+SUM(AO$6:AO56)+SUM(AR$6:AR56)+SUM(AU$6:AU56)+SUM(AX$6:AX56)+SUM(BA$6:BA56)</f>
        <v>76206441</v>
      </c>
      <c r="BH56" s="309">
        <f t="shared" si="23"/>
        <v>50333559</v>
      </c>
      <c r="BI56" s="309">
        <f t="shared" si="24"/>
        <v>0</v>
      </c>
      <c r="BJ56" s="309">
        <f>MAX(I$6:I56)+MAX(O$6:O56)+MAX(R$6:R56)+MAX(U$6:U56)+MAX(AJ$6:AJ56)+MAX(AM$6:AM56)</f>
        <v>73079000</v>
      </c>
      <c r="BK56" s="309">
        <f>SUM(K$6:K56)+SUM(Q$6:Q56)+SUM(T$6:T56)+SUM(W$6:W56)+SUM(AL$6:AL56)+SUM(AO$6:AO56)</f>
        <v>34279497</v>
      </c>
      <c r="BL56" s="309">
        <f t="shared" si="25"/>
        <v>38799503</v>
      </c>
      <c r="BM56" s="309">
        <f>MAX(C$6:C56)+MAX(F$6:F56)+MAX(L$6:L56)+MAX(X$6:X56)+MAX(AA$6:AA56)+MAX(AD$6:AD56)+MAX(AG$6:AG56)+MAX(AP$6:AP56)+MAX(AS$6:AS56)+MAX(AV$6:AV56)+MAX(AY$6:AY56)</f>
        <v>53461000</v>
      </c>
      <c r="BN56" s="309">
        <f>SUM(E$6:E56)+SUM(H$6:H56)+SUM(N$6:N56)+SUM(Z$6:Z56)+SUM(AC$6:AC56)+SUM(AF$6:AF56)+SUM(AI$6:AI56)+SUM(AR$6:AR56)+SUM(AU$6:AU56)+SUM(AX$6:AX56)+SUM(BA$6:BA56)</f>
        <v>41926944</v>
      </c>
      <c r="BO56" s="309">
        <f t="shared" si="26"/>
        <v>11534056</v>
      </c>
      <c r="BP56" s="309">
        <f t="shared" si="27"/>
        <v>126540000</v>
      </c>
      <c r="BQ56" s="309">
        <f t="shared" si="27"/>
        <v>76206441</v>
      </c>
      <c r="BR56" s="309">
        <f t="shared" si="28"/>
        <v>50333559</v>
      </c>
      <c r="BS56" s="309">
        <f t="shared" si="29"/>
        <v>0</v>
      </c>
      <c r="BT56" s="309">
        <f t="shared" si="29"/>
        <v>0</v>
      </c>
      <c r="BU56" s="309">
        <f t="shared" si="30"/>
        <v>0</v>
      </c>
    </row>
    <row r="57" spans="1:73" x14ac:dyDescent="0.35">
      <c r="A57" s="18">
        <v>50</v>
      </c>
      <c r="B57" s="184">
        <v>43524</v>
      </c>
      <c r="C57" s="175">
        <f>MAX(C$6:C56)-SUM(E$6:E56)</f>
        <v>0</v>
      </c>
      <c r="D57" s="309">
        <f>IF(C57=0,0,IF(E56=0,MAX(D$6:D56),D56-1))</f>
        <v>0</v>
      </c>
      <c r="E57" s="309">
        <f t="shared" si="0"/>
        <v>0</v>
      </c>
      <c r="F57" s="175">
        <f>MAX(F$6:F56)-SUM(H$6:H56)</f>
        <v>0</v>
      </c>
      <c r="G57" s="309">
        <f>IF(F57=0,0,IF(H56=0,MAX(G$6:G56),G56-1))</f>
        <v>0</v>
      </c>
      <c r="H57" s="309">
        <f t="shared" si="1"/>
        <v>0</v>
      </c>
      <c r="I57" s="175">
        <f>MAX(I$6:I56)-SUM(K$6:K56)</f>
        <v>0</v>
      </c>
      <c r="J57" s="309">
        <f>IF(I57=0,0,IF(K56=0,MAX(J$6:J56),J56-1))</f>
        <v>0</v>
      </c>
      <c r="K57" s="309">
        <f t="shared" si="2"/>
        <v>0</v>
      </c>
      <c r="L57" s="175">
        <f>MAX(L$6:L56)-SUM(N$6:N56)</f>
        <v>0</v>
      </c>
      <c r="M57" s="309">
        <f>IF(L57=0,0,IF(N56=0,MAX(M$6:M56),M56-1))</f>
        <v>0</v>
      </c>
      <c r="N57" s="309">
        <f t="shared" si="3"/>
        <v>0</v>
      </c>
      <c r="O57" s="175">
        <f>MAX(O$6:O56)-SUM(Q$6:Q56)</f>
        <v>0</v>
      </c>
      <c r="P57" s="309">
        <f>IF(O57=0,0,IF(Q56=0,MAX(P$6:P56),P56-1))</f>
        <v>0</v>
      </c>
      <c r="Q57" s="309">
        <f t="shared" si="4"/>
        <v>0</v>
      </c>
      <c r="R57" s="175">
        <f>MAX(R$6:R56)-SUM(T$6:T56)</f>
        <v>2999947</v>
      </c>
      <c r="S57" s="309">
        <f>IF(R57=0,0,IF(T56=0,MAX(S$6:S56),S56-1))</f>
        <v>11</v>
      </c>
      <c r="T57" s="309">
        <f t="shared" si="5"/>
        <v>272722</v>
      </c>
      <c r="U57" s="175">
        <f>MAX(U$6:U56)-SUM(W$6:W56)</f>
        <v>1251250</v>
      </c>
      <c r="V57" s="309">
        <f>IF(U57=0,0,IF(W56=0,MAX(V$6:V56),V56-1))</f>
        <v>11</v>
      </c>
      <c r="W57" s="309">
        <f t="shared" si="6"/>
        <v>113750</v>
      </c>
      <c r="X57" s="175">
        <f>MAX(X$6:X56)-SUM(Z$6:Z56)</f>
        <v>0</v>
      </c>
      <c r="Y57" s="309">
        <f>IF(X57=0,0,IF(Z56=0,MAX(Y$6:Y56),Y56-1))</f>
        <v>0</v>
      </c>
      <c r="Z57" s="309">
        <f t="shared" si="7"/>
        <v>0</v>
      </c>
      <c r="AA57" s="175">
        <f>MAX(AA$6:AA56)-SUM(AC$6:AC56)</f>
        <v>0</v>
      </c>
      <c r="AB57" s="309">
        <f>IF(AA57=0,0,IF(AC56=0,MAX(AB$6:AB56),AB56-1))</f>
        <v>0</v>
      </c>
      <c r="AC57" s="309">
        <f t="shared" si="8"/>
        <v>0</v>
      </c>
      <c r="AD57" s="175">
        <f>MAX(AD$6:AD56)-SUM(AF$6:AF56)</f>
        <v>0</v>
      </c>
      <c r="AE57" s="309">
        <f>IF(AD57=0,0,IF(AF56=0,MAX(AE$6:AE56),AE56-1))</f>
        <v>0</v>
      </c>
      <c r="AF57" s="309">
        <f t="shared" si="9"/>
        <v>0</v>
      </c>
      <c r="AG57" s="175">
        <f>MAX(AG$6:AG56)-SUM(AI$6:AI56)</f>
        <v>3327500</v>
      </c>
      <c r="AH57" s="309">
        <f>IF(AG57=0,0,IF(AI56=0,MAX(AH$6:AH56),AH56-1))</f>
        <v>5</v>
      </c>
      <c r="AI57" s="309">
        <f t="shared" si="10"/>
        <v>665500</v>
      </c>
      <c r="AJ57" s="175">
        <f>MAX(AJ$6:AJ56)-SUM(AL$6:AL56)</f>
        <v>24525667</v>
      </c>
      <c r="AK57" s="309">
        <f>IF(AJ57=0,0,IF(AL56=0,MAX(AK$6:AK56),AK56-1))</f>
        <v>23</v>
      </c>
      <c r="AL57" s="309">
        <f t="shared" si="11"/>
        <v>1066333</v>
      </c>
      <c r="AM57" s="175">
        <f>MAX(AM$6:AM56)-SUM(AO$6:AO56)</f>
        <v>10022639</v>
      </c>
      <c r="AN57" s="309">
        <f>IF(AM57=0,0,IF(AO56=0,MAX(AN$6:AN56),AN56-1))</f>
        <v>35</v>
      </c>
      <c r="AO57" s="309">
        <f t="shared" si="12"/>
        <v>286361</v>
      </c>
      <c r="AP57" s="175">
        <f>MAX(AP$6:AP56)-SUM(AR$6:AR56)</f>
        <v>4180556</v>
      </c>
      <c r="AQ57" s="309">
        <f>IF(AP57=0,0,IF(AR56=0,MAX(AQ$6:AQ56),AQ56-1))</f>
        <v>35</v>
      </c>
      <c r="AR57" s="309">
        <f t="shared" si="13"/>
        <v>119444</v>
      </c>
      <c r="AS57" s="175">
        <f>MAX(AS$6:AS56)-SUM(AU$6:AU56)</f>
        <v>4026000</v>
      </c>
      <c r="AT57" s="309">
        <f>IF(AS57=0,0,IF(AU56=0,MAX(AT$6:AT56),AT56-1))</f>
        <v>11</v>
      </c>
      <c r="AU57" s="309">
        <f t="shared" si="14"/>
        <v>366000</v>
      </c>
      <c r="AV57" s="309">
        <v>0</v>
      </c>
      <c r="AW57" s="309">
        <f>IF(AV57=0,0,IF(AX56=0,MAX(AW$6:AW56),AW56-1))</f>
        <v>0</v>
      </c>
      <c r="AX57" s="309">
        <f t="shared" si="15"/>
        <v>0</v>
      </c>
      <c r="AY57" s="175">
        <v>0</v>
      </c>
      <c r="AZ57" s="309">
        <f>IF(AY57=0,0,IF(BA56=0,MAX(AZ$6:AZ56),AZ56-1))</f>
        <v>0</v>
      </c>
      <c r="BA57" s="309">
        <f t="shared" si="16"/>
        <v>0</v>
      </c>
      <c r="BB57" s="309">
        <f t="shared" si="19"/>
        <v>2890110</v>
      </c>
      <c r="BC57" s="309">
        <f t="shared" si="20"/>
        <v>50333559</v>
      </c>
      <c r="BD57" s="309">
        <f t="shared" si="21"/>
        <v>2890110</v>
      </c>
      <c r="BE57" s="309">
        <f t="shared" si="22"/>
        <v>47443449</v>
      </c>
      <c r="BF57" s="309">
        <f>MAX(C$6:C57)+MAX(F$6:F57)+MAX(I$6:I57)+MAX(L$6:L57)+MAX(O$6:O57)+MAX(R$6:R57)+MAX(U$6:U57)+MAX(X$6:X57)+MAX(AA$6:AA57)+MAX(AD$6:AD57)+MAX(AG$6:AG57)+MAX(AJ$6:AJ57)+MAX(AM$6:AM57)+MAX(AP$6:AP57)+MAX(AS$6:AS57)+MAX(AV$6:AV57)+MAX(AY$6:AY57)</f>
        <v>126540000</v>
      </c>
      <c r="BG57" s="309">
        <f>SUM(E$6:E57)+SUM(H$6:H57)+SUM(K$6:K57)+SUM(N$6:N57)+SUM(Q$6:Q57)+SUM(T$6:T57)+SUM(W$6:W57)+SUM(Z$6:Z57)+SUM(AC$6:AC57)+SUM(AF$6:AF57)+SUM(AI$6:AI57)+SUM(AL$6:AL57)+SUM(AO$6:AO57)+SUM(AR$6:AR57)+SUM(AU$6:AU57)+SUM(AX$6:AX57)+SUM(BA$6:BA57)</f>
        <v>79096551</v>
      </c>
      <c r="BH57" s="309">
        <f t="shared" si="23"/>
        <v>47443449</v>
      </c>
      <c r="BI57" s="309">
        <f t="shared" si="24"/>
        <v>0</v>
      </c>
      <c r="BJ57" s="309">
        <f>MAX(I$6:I57)+MAX(O$6:O57)+MAX(R$6:R57)+MAX(U$6:U57)+MAX(AJ$6:AJ57)+MAX(AM$6:AM57)</f>
        <v>73079000</v>
      </c>
      <c r="BK57" s="309">
        <f>SUM(K$6:K57)+SUM(Q$6:Q57)+SUM(T$6:T57)+SUM(W$6:W57)+SUM(AL$6:AL57)+SUM(AO$6:AO57)</f>
        <v>36018663</v>
      </c>
      <c r="BL57" s="309">
        <f t="shared" si="25"/>
        <v>37060337</v>
      </c>
      <c r="BM57" s="309">
        <f>MAX(C$6:C57)+MAX(F$6:F57)+MAX(L$6:L57)+MAX(X$6:X57)+MAX(AA$6:AA57)+MAX(AD$6:AD57)+MAX(AG$6:AG57)+MAX(AP$6:AP57)+MAX(AS$6:AS57)+MAX(AV$6:AV57)+MAX(AY$6:AY57)</f>
        <v>53461000</v>
      </c>
      <c r="BN57" s="309">
        <f>SUM(E$6:E57)+SUM(H$6:H57)+SUM(N$6:N57)+SUM(Z$6:Z57)+SUM(AC$6:AC57)+SUM(AF$6:AF57)+SUM(AI$6:AI57)+SUM(AR$6:AR57)+SUM(AU$6:AU57)+SUM(AX$6:AX57)+SUM(BA$6:BA57)</f>
        <v>43077888</v>
      </c>
      <c r="BO57" s="309">
        <f t="shared" si="26"/>
        <v>10383112</v>
      </c>
      <c r="BP57" s="309">
        <f t="shared" si="27"/>
        <v>126540000</v>
      </c>
      <c r="BQ57" s="309">
        <f t="shared" si="27"/>
        <v>79096551</v>
      </c>
      <c r="BR57" s="309">
        <f t="shared" si="28"/>
        <v>47443449</v>
      </c>
      <c r="BS57" s="309">
        <f t="shared" si="29"/>
        <v>0</v>
      </c>
      <c r="BT57" s="309">
        <f t="shared" si="29"/>
        <v>0</v>
      </c>
      <c r="BU57" s="309">
        <f t="shared" si="30"/>
        <v>0</v>
      </c>
    </row>
    <row r="58" spans="1:73" x14ac:dyDescent="0.35">
      <c r="A58" s="18">
        <v>51</v>
      </c>
      <c r="B58" s="184">
        <v>43555</v>
      </c>
      <c r="C58" s="175">
        <f>MAX(C$6:C57)-SUM(E$6:E57)</f>
        <v>0</v>
      </c>
      <c r="D58" s="309">
        <f>IF(C58=0,0,IF(E57=0,MAX(D$6:D57),D57-1))</f>
        <v>0</v>
      </c>
      <c r="E58" s="309">
        <f t="shared" si="0"/>
        <v>0</v>
      </c>
      <c r="F58" s="175">
        <f>MAX(F$6:F57)-SUM(H$6:H57)</f>
        <v>0</v>
      </c>
      <c r="G58" s="309">
        <f>IF(F58=0,0,IF(H57=0,MAX(G$6:G57),G57-1))</f>
        <v>0</v>
      </c>
      <c r="H58" s="309">
        <f t="shared" si="1"/>
        <v>0</v>
      </c>
      <c r="I58" s="175">
        <f>MAX(I$6:I57)-SUM(K$6:K57)</f>
        <v>0</v>
      </c>
      <c r="J58" s="309">
        <f>IF(I58=0,0,IF(K57=0,MAX(J$6:J57),J57-1))</f>
        <v>0</v>
      </c>
      <c r="K58" s="309">
        <f t="shared" si="2"/>
        <v>0</v>
      </c>
      <c r="L58" s="175">
        <f>MAX(L$6:L57)-SUM(N$6:N57)</f>
        <v>0</v>
      </c>
      <c r="M58" s="309">
        <f>IF(L58=0,0,IF(N57=0,MAX(M$6:M57),M57-1))</f>
        <v>0</v>
      </c>
      <c r="N58" s="309">
        <f t="shared" si="3"/>
        <v>0</v>
      </c>
      <c r="O58" s="175">
        <f>MAX(O$6:O57)-SUM(Q$6:Q57)</f>
        <v>0</v>
      </c>
      <c r="P58" s="309">
        <f>IF(O58=0,0,IF(Q57=0,MAX(P$6:P57),P57-1))</f>
        <v>0</v>
      </c>
      <c r="Q58" s="309">
        <f t="shared" si="4"/>
        <v>0</v>
      </c>
      <c r="R58" s="175">
        <f>MAX(R$6:R57)-SUM(T$6:T57)</f>
        <v>2727225</v>
      </c>
      <c r="S58" s="309">
        <f>IF(R58=0,0,IF(T57=0,MAX(S$6:S57),S57-1))</f>
        <v>10</v>
      </c>
      <c r="T58" s="309">
        <f t="shared" si="5"/>
        <v>272723</v>
      </c>
      <c r="U58" s="175">
        <f>MAX(U$6:U57)-SUM(W$6:W57)</f>
        <v>1137500</v>
      </c>
      <c r="V58" s="309">
        <f>IF(U58=0,0,IF(W57=0,MAX(V$6:V57),V57-1))</f>
        <v>10</v>
      </c>
      <c r="W58" s="309">
        <f t="shared" si="6"/>
        <v>113750</v>
      </c>
      <c r="X58" s="175">
        <f>MAX(X$6:X57)-SUM(Z$6:Z57)</f>
        <v>0</v>
      </c>
      <c r="Y58" s="309">
        <f>IF(X58=0,0,IF(Z57=0,MAX(Y$6:Y57),Y57-1))</f>
        <v>0</v>
      </c>
      <c r="Z58" s="309">
        <f t="shared" si="7"/>
        <v>0</v>
      </c>
      <c r="AA58" s="175">
        <f>MAX(AA$6:AA57)-SUM(AC$6:AC57)</f>
        <v>0</v>
      </c>
      <c r="AB58" s="309">
        <f>IF(AA58=0,0,IF(AC57=0,MAX(AB$6:AB57),AB57-1))</f>
        <v>0</v>
      </c>
      <c r="AC58" s="309">
        <f t="shared" si="8"/>
        <v>0</v>
      </c>
      <c r="AD58" s="175">
        <f>MAX(AD$6:AD57)-SUM(AF$6:AF57)</f>
        <v>0</v>
      </c>
      <c r="AE58" s="309">
        <f>IF(AD58=0,0,IF(AF57=0,MAX(AE$6:AE57),AE57-1))</f>
        <v>0</v>
      </c>
      <c r="AF58" s="309">
        <f t="shared" si="9"/>
        <v>0</v>
      </c>
      <c r="AG58" s="175">
        <f>MAX(AG$6:AG57)-SUM(AI$6:AI57)</f>
        <v>2662000</v>
      </c>
      <c r="AH58" s="309">
        <f>IF(AG58=0,0,IF(AI57=0,MAX(AH$6:AH57),AH57-1))</f>
        <v>4</v>
      </c>
      <c r="AI58" s="309">
        <f t="shared" si="10"/>
        <v>665500</v>
      </c>
      <c r="AJ58" s="175">
        <f>MAX(AJ$6:AJ57)-SUM(AL$6:AL57)</f>
        <v>23459334</v>
      </c>
      <c r="AK58" s="309">
        <f>IF(AJ58=0,0,IF(AL57=0,MAX(AK$6:AK57),AK57-1))</f>
        <v>22</v>
      </c>
      <c r="AL58" s="309">
        <f t="shared" si="11"/>
        <v>1066333</v>
      </c>
      <c r="AM58" s="175">
        <f>MAX(AM$6:AM57)-SUM(AO$6:AO57)</f>
        <v>9736278</v>
      </c>
      <c r="AN58" s="309">
        <f>IF(AM58=0,0,IF(AO57=0,MAX(AN$6:AN57),AN57-1))</f>
        <v>34</v>
      </c>
      <c r="AO58" s="309">
        <f t="shared" si="12"/>
        <v>286361</v>
      </c>
      <c r="AP58" s="175">
        <f>MAX(AP$6:AP57)-SUM(AR$6:AR57)</f>
        <v>4061112</v>
      </c>
      <c r="AQ58" s="309">
        <f>IF(AP58=0,0,IF(AR57=0,MAX(AQ$6:AQ57),AQ57-1))</f>
        <v>34</v>
      </c>
      <c r="AR58" s="309">
        <f t="shared" si="13"/>
        <v>119444</v>
      </c>
      <c r="AS58" s="175">
        <f>MAX(AS$6:AS57)-SUM(AU$6:AU57)</f>
        <v>3660000</v>
      </c>
      <c r="AT58" s="309">
        <f>IF(AS58=0,0,IF(AU57=0,MAX(AT$6:AT57),AT57-1))</f>
        <v>10</v>
      </c>
      <c r="AU58" s="309">
        <f t="shared" si="14"/>
        <v>366000</v>
      </c>
      <c r="AV58" s="309">
        <v>0</v>
      </c>
      <c r="AW58" s="309">
        <f>IF(AV58=0,0,IF(AX57=0,MAX(AW$6:AW57),AW57-1))</f>
        <v>0</v>
      </c>
      <c r="AX58" s="309">
        <f t="shared" si="15"/>
        <v>0</v>
      </c>
      <c r="AY58" s="175">
        <v>0</v>
      </c>
      <c r="AZ58" s="309">
        <f>IF(AY58=0,0,IF(BA57=0,MAX(AZ$6:AZ57),AZ57-1))</f>
        <v>0</v>
      </c>
      <c r="BA58" s="309">
        <f t="shared" si="16"/>
        <v>0</v>
      </c>
      <c r="BB58" s="309">
        <f t="shared" si="19"/>
        <v>2890111</v>
      </c>
      <c r="BC58" s="309">
        <f t="shared" si="20"/>
        <v>47443449</v>
      </c>
      <c r="BD58" s="309">
        <f t="shared" si="21"/>
        <v>2890111</v>
      </c>
      <c r="BE58" s="309">
        <f t="shared" si="22"/>
        <v>44553338</v>
      </c>
      <c r="BF58" s="309">
        <f>MAX(C$6:C58)+MAX(F$6:F58)+MAX(I$6:I58)+MAX(L$6:L58)+MAX(O$6:O58)+MAX(R$6:R58)+MAX(U$6:U58)+MAX(X$6:X58)+MAX(AA$6:AA58)+MAX(AD$6:AD58)+MAX(AG$6:AG58)+MAX(AJ$6:AJ58)+MAX(AM$6:AM58)+MAX(AP$6:AP58)+MAX(AS$6:AS58)+MAX(AV$6:AV58)+MAX(AY$6:AY58)</f>
        <v>126540000</v>
      </c>
      <c r="BG58" s="309">
        <f>SUM(E$6:E58)+SUM(H$6:H58)+SUM(K$6:K58)+SUM(N$6:N58)+SUM(Q$6:Q58)+SUM(T$6:T58)+SUM(W$6:W58)+SUM(Z$6:Z58)+SUM(AC$6:AC58)+SUM(AF$6:AF58)+SUM(AI$6:AI58)+SUM(AL$6:AL58)+SUM(AO$6:AO58)+SUM(AR$6:AR58)+SUM(AU$6:AU58)+SUM(AX$6:AX58)+SUM(BA$6:BA58)</f>
        <v>81986662</v>
      </c>
      <c r="BH58" s="309">
        <f t="shared" si="23"/>
        <v>44553338</v>
      </c>
      <c r="BI58" s="309">
        <f t="shared" si="24"/>
        <v>0</v>
      </c>
      <c r="BJ58" s="309">
        <f>MAX(I$6:I58)+MAX(O$6:O58)+MAX(R$6:R58)+MAX(U$6:U58)+MAX(AJ$6:AJ58)+MAX(AM$6:AM58)</f>
        <v>73079000</v>
      </c>
      <c r="BK58" s="309">
        <f>SUM(K$6:K58)+SUM(Q$6:Q58)+SUM(T$6:T58)+SUM(W$6:W58)+SUM(AL$6:AL58)+SUM(AO$6:AO58)</f>
        <v>37757830</v>
      </c>
      <c r="BL58" s="309">
        <f t="shared" si="25"/>
        <v>35321170</v>
      </c>
      <c r="BM58" s="309">
        <f>MAX(C$6:C58)+MAX(F$6:F58)+MAX(L$6:L58)+MAX(X$6:X58)+MAX(AA$6:AA58)+MAX(AD$6:AD58)+MAX(AG$6:AG58)+MAX(AP$6:AP58)+MAX(AS$6:AS58)+MAX(AV$6:AV58)+MAX(AY$6:AY58)</f>
        <v>53461000</v>
      </c>
      <c r="BN58" s="309">
        <f>SUM(E$6:E58)+SUM(H$6:H58)+SUM(N$6:N58)+SUM(Z$6:Z58)+SUM(AC$6:AC58)+SUM(AF$6:AF58)+SUM(AI$6:AI58)+SUM(AR$6:AR58)+SUM(AU$6:AU58)+SUM(AX$6:AX58)+SUM(BA$6:BA58)</f>
        <v>44228832</v>
      </c>
      <c r="BO58" s="309">
        <f t="shared" si="26"/>
        <v>9232168</v>
      </c>
      <c r="BP58" s="309">
        <f t="shared" si="27"/>
        <v>126540000</v>
      </c>
      <c r="BQ58" s="309">
        <f t="shared" si="27"/>
        <v>81986662</v>
      </c>
      <c r="BR58" s="309">
        <f t="shared" si="28"/>
        <v>44553338</v>
      </c>
      <c r="BS58" s="309">
        <f t="shared" si="29"/>
        <v>0</v>
      </c>
      <c r="BT58" s="309">
        <f t="shared" si="29"/>
        <v>0</v>
      </c>
      <c r="BU58" s="309">
        <f t="shared" si="30"/>
        <v>0</v>
      </c>
    </row>
    <row r="59" spans="1:73" x14ac:dyDescent="0.35">
      <c r="A59" s="18">
        <v>52</v>
      </c>
      <c r="B59" s="184">
        <v>43585</v>
      </c>
      <c r="C59" s="175">
        <f>MAX(C$6:C58)-SUM(E$6:E58)</f>
        <v>0</v>
      </c>
      <c r="D59" s="309">
        <f>IF(C59=0,0,IF(E58=0,MAX(D$6:D58),D58-1))</f>
        <v>0</v>
      </c>
      <c r="E59" s="309">
        <f t="shared" si="0"/>
        <v>0</v>
      </c>
      <c r="F59" s="175">
        <f>MAX(F$6:F58)-SUM(H$6:H58)</f>
        <v>0</v>
      </c>
      <c r="G59" s="309">
        <f>IF(F59=0,0,IF(H58=0,MAX(G$6:G58),G58-1))</f>
        <v>0</v>
      </c>
      <c r="H59" s="309">
        <f t="shared" si="1"/>
        <v>0</v>
      </c>
      <c r="I59" s="175">
        <f>MAX(I$6:I58)-SUM(K$6:K58)</f>
        <v>0</v>
      </c>
      <c r="J59" s="309">
        <f>IF(I59=0,0,IF(K58=0,MAX(J$6:J58),J58-1))</f>
        <v>0</v>
      </c>
      <c r="K59" s="309">
        <f t="shared" si="2"/>
        <v>0</v>
      </c>
      <c r="L59" s="175">
        <f>MAX(L$6:L58)-SUM(N$6:N58)</f>
        <v>0</v>
      </c>
      <c r="M59" s="309">
        <f>IF(L59=0,0,IF(N58=0,MAX(M$6:M58),M58-1))</f>
        <v>0</v>
      </c>
      <c r="N59" s="309">
        <f t="shared" si="3"/>
        <v>0</v>
      </c>
      <c r="O59" s="175">
        <f>MAX(O$6:O58)-SUM(Q$6:Q58)</f>
        <v>0</v>
      </c>
      <c r="P59" s="309">
        <f>IF(O59=0,0,IF(Q58=0,MAX(P$6:P58),P58-1))</f>
        <v>0</v>
      </c>
      <c r="Q59" s="309">
        <f t="shared" si="4"/>
        <v>0</v>
      </c>
      <c r="R59" s="175">
        <f>MAX(R$6:R58)-SUM(T$6:T58)</f>
        <v>2454502</v>
      </c>
      <c r="S59" s="309">
        <f>IF(R59=0,0,IF(T58=0,MAX(S$6:S58),S58-1))</f>
        <v>9</v>
      </c>
      <c r="T59" s="309">
        <f t="shared" si="5"/>
        <v>272722</v>
      </c>
      <c r="U59" s="175">
        <f>MAX(U$6:U58)-SUM(W$6:W58)</f>
        <v>1023750</v>
      </c>
      <c r="V59" s="309">
        <f>IF(U59=0,0,IF(W58=0,MAX(V$6:V58),V58-1))</f>
        <v>9</v>
      </c>
      <c r="W59" s="309">
        <f t="shared" si="6"/>
        <v>113750</v>
      </c>
      <c r="X59" s="175">
        <f>MAX(X$6:X58)-SUM(Z$6:Z58)</f>
        <v>0</v>
      </c>
      <c r="Y59" s="309">
        <f>IF(X59=0,0,IF(Z58=0,MAX(Y$6:Y58),Y58-1))</f>
        <v>0</v>
      </c>
      <c r="Z59" s="309">
        <f t="shared" si="7"/>
        <v>0</v>
      </c>
      <c r="AA59" s="175">
        <f>MAX(AA$6:AA58)-SUM(AC$6:AC58)</f>
        <v>0</v>
      </c>
      <c r="AB59" s="309">
        <f>IF(AA59=0,0,IF(AC58=0,MAX(AB$6:AB58),AB58-1))</f>
        <v>0</v>
      </c>
      <c r="AC59" s="309">
        <f t="shared" si="8"/>
        <v>0</v>
      </c>
      <c r="AD59" s="175">
        <f>MAX(AD$6:AD58)-SUM(AF$6:AF58)</f>
        <v>0</v>
      </c>
      <c r="AE59" s="309">
        <f>IF(AD59=0,0,IF(AF58=0,MAX(AE$6:AE58),AE58-1))</f>
        <v>0</v>
      </c>
      <c r="AF59" s="309">
        <f t="shared" si="9"/>
        <v>0</v>
      </c>
      <c r="AG59" s="175">
        <f>MAX(AG$6:AG58)-SUM(AI$6:AI58)</f>
        <v>1996500</v>
      </c>
      <c r="AH59" s="309">
        <f>IF(AG59=0,0,IF(AI58=0,MAX(AH$6:AH58),AH58-1))</f>
        <v>3</v>
      </c>
      <c r="AI59" s="309">
        <f t="shared" si="10"/>
        <v>665500</v>
      </c>
      <c r="AJ59" s="175">
        <f>MAX(AJ$6:AJ58)-SUM(AL$6:AL58)</f>
        <v>22393001</v>
      </c>
      <c r="AK59" s="309">
        <f>IF(AJ59=0,0,IF(AL58=0,MAX(AK$6:AK58),AK58-1))</f>
        <v>21</v>
      </c>
      <c r="AL59" s="309">
        <f t="shared" si="11"/>
        <v>1066333</v>
      </c>
      <c r="AM59" s="175">
        <f>MAX(AM$6:AM58)-SUM(AO$6:AO58)</f>
        <v>9449917</v>
      </c>
      <c r="AN59" s="309">
        <f>IF(AM59=0,0,IF(AO58=0,MAX(AN$6:AN58),AN58-1))</f>
        <v>33</v>
      </c>
      <c r="AO59" s="309">
        <f t="shared" si="12"/>
        <v>286361</v>
      </c>
      <c r="AP59" s="175">
        <f>MAX(AP$6:AP58)-SUM(AR$6:AR58)</f>
        <v>3941668</v>
      </c>
      <c r="AQ59" s="309">
        <f>IF(AP59=0,0,IF(AR58=0,MAX(AQ$6:AQ58),AQ58-1))</f>
        <v>33</v>
      </c>
      <c r="AR59" s="309">
        <f t="shared" si="13"/>
        <v>119444</v>
      </c>
      <c r="AS59" s="175">
        <f>MAX(AS$6:AS58)-SUM(AU$6:AU58)</f>
        <v>3294000</v>
      </c>
      <c r="AT59" s="309">
        <f>IF(AS59=0,0,IF(AU58=0,MAX(AT$6:AT58),AT58-1))</f>
        <v>9</v>
      </c>
      <c r="AU59" s="309">
        <f t="shared" si="14"/>
        <v>366000</v>
      </c>
      <c r="AV59" s="309">
        <v>0</v>
      </c>
      <c r="AW59" s="309">
        <f>IF(AV59=0,0,IF(AX58=0,MAX(AW$6:AW58),AW58-1))</f>
        <v>0</v>
      </c>
      <c r="AX59" s="309">
        <f t="shared" si="15"/>
        <v>0</v>
      </c>
      <c r="AY59" s="175">
        <v>0</v>
      </c>
      <c r="AZ59" s="309">
        <f>IF(AY59=0,0,IF(BA58=0,MAX(AZ$6:AZ58),AZ58-1))</f>
        <v>0</v>
      </c>
      <c r="BA59" s="309">
        <f t="shared" si="16"/>
        <v>0</v>
      </c>
      <c r="BB59" s="309">
        <f t="shared" si="19"/>
        <v>2890110</v>
      </c>
      <c r="BC59" s="309">
        <f t="shared" si="20"/>
        <v>44553338</v>
      </c>
      <c r="BD59" s="309">
        <f t="shared" si="21"/>
        <v>2890110</v>
      </c>
      <c r="BE59" s="309">
        <f t="shared" si="22"/>
        <v>41663228</v>
      </c>
      <c r="BF59" s="309">
        <f>MAX(C$6:C59)+MAX(F$6:F59)+MAX(I$6:I59)+MAX(L$6:L59)+MAX(O$6:O59)+MAX(R$6:R59)+MAX(U$6:U59)+MAX(X$6:X59)+MAX(AA$6:AA59)+MAX(AD$6:AD59)+MAX(AG$6:AG59)+MAX(AJ$6:AJ59)+MAX(AM$6:AM59)+MAX(AP$6:AP59)+MAX(AS$6:AS59)+MAX(AV$6:AV59)+MAX(AY$6:AY59)</f>
        <v>126540000</v>
      </c>
      <c r="BG59" s="309">
        <f>SUM(E$6:E59)+SUM(H$6:H59)+SUM(K$6:K59)+SUM(N$6:N59)+SUM(Q$6:Q59)+SUM(T$6:T59)+SUM(W$6:W59)+SUM(Z$6:Z59)+SUM(AC$6:AC59)+SUM(AF$6:AF59)+SUM(AI$6:AI59)+SUM(AL$6:AL59)+SUM(AO$6:AO59)+SUM(AR$6:AR59)+SUM(AU$6:AU59)+SUM(AX$6:AX59)+SUM(BA$6:BA59)</f>
        <v>84876772</v>
      </c>
      <c r="BH59" s="309">
        <f t="shared" si="23"/>
        <v>41663228</v>
      </c>
      <c r="BI59" s="309">
        <f t="shared" si="24"/>
        <v>0</v>
      </c>
      <c r="BJ59" s="309">
        <f>MAX(I$6:I59)+MAX(O$6:O59)+MAX(R$6:R59)+MAX(U$6:U59)+MAX(AJ$6:AJ59)+MAX(AM$6:AM59)</f>
        <v>73079000</v>
      </c>
      <c r="BK59" s="309">
        <f>SUM(K$6:K59)+SUM(Q$6:Q59)+SUM(T$6:T59)+SUM(W$6:W59)+SUM(AL$6:AL59)+SUM(AO$6:AO59)</f>
        <v>39496996</v>
      </c>
      <c r="BL59" s="309">
        <f t="shared" si="25"/>
        <v>33582004</v>
      </c>
      <c r="BM59" s="309">
        <f>MAX(C$6:C59)+MAX(F$6:F59)+MAX(L$6:L59)+MAX(X$6:X59)+MAX(AA$6:AA59)+MAX(AD$6:AD59)+MAX(AG$6:AG59)+MAX(AP$6:AP59)+MAX(AS$6:AS59)+MAX(AV$6:AV59)+MAX(AY$6:AY59)</f>
        <v>53461000</v>
      </c>
      <c r="BN59" s="309">
        <f>SUM(E$6:E59)+SUM(H$6:H59)+SUM(N$6:N59)+SUM(Z$6:Z59)+SUM(AC$6:AC59)+SUM(AF$6:AF59)+SUM(AI$6:AI59)+SUM(AR$6:AR59)+SUM(AU$6:AU59)+SUM(AX$6:AX59)+SUM(BA$6:BA59)</f>
        <v>45379776</v>
      </c>
      <c r="BO59" s="309">
        <f t="shared" si="26"/>
        <v>8081224</v>
      </c>
      <c r="BP59" s="309">
        <f t="shared" si="27"/>
        <v>126540000</v>
      </c>
      <c r="BQ59" s="309">
        <f t="shared" si="27"/>
        <v>84876772</v>
      </c>
      <c r="BR59" s="309">
        <f t="shared" si="28"/>
        <v>41663228</v>
      </c>
      <c r="BS59" s="309">
        <f t="shared" si="29"/>
        <v>0</v>
      </c>
      <c r="BT59" s="309">
        <f t="shared" si="29"/>
        <v>0</v>
      </c>
      <c r="BU59" s="309">
        <f t="shared" si="30"/>
        <v>0</v>
      </c>
    </row>
    <row r="60" spans="1:73" x14ac:dyDescent="0.35">
      <c r="A60" s="18">
        <v>53</v>
      </c>
      <c r="B60" s="184">
        <v>43616</v>
      </c>
      <c r="C60" s="175">
        <f>MAX(C$6:C59)-SUM(E$6:E59)</f>
        <v>0</v>
      </c>
      <c r="D60" s="309">
        <f>IF(C60=0,0,IF(E59=0,MAX(D$6:D59),D59-1))</f>
        <v>0</v>
      </c>
      <c r="E60" s="309">
        <f t="shared" si="0"/>
        <v>0</v>
      </c>
      <c r="F60" s="175">
        <f>MAX(F$6:F59)-SUM(H$6:H59)</f>
        <v>0</v>
      </c>
      <c r="G60" s="309">
        <f>IF(F60=0,0,IF(H59=0,MAX(G$6:G59),G59-1))</f>
        <v>0</v>
      </c>
      <c r="H60" s="309">
        <f t="shared" si="1"/>
        <v>0</v>
      </c>
      <c r="I60" s="175">
        <f>MAX(I$6:I59)-SUM(K$6:K59)</f>
        <v>0</v>
      </c>
      <c r="J60" s="309">
        <f>IF(I60=0,0,IF(K59=0,MAX(J$6:J59),J59-1))</f>
        <v>0</v>
      </c>
      <c r="K60" s="309">
        <f t="shared" si="2"/>
        <v>0</v>
      </c>
      <c r="L60" s="175">
        <f>MAX(L$6:L59)-SUM(N$6:N59)</f>
        <v>0</v>
      </c>
      <c r="M60" s="309">
        <f>IF(L60=0,0,IF(N59=0,MAX(M$6:M59),M59-1))</f>
        <v>0</v>
      </c>
      <c r="N60" s="309">
        <f t="shared" si="3"/>
        <v>0</v>
      </c>
      <c r="O60" s="175">
        <f>MAX(O$6:O59)-SUM(Q$6:Q59)</f>
        <v>0</v>
      </c>
      <c r="P60" s="309">
        <f>IF(O60=0,0,IF(Q59=0,MAX(P$6:P59),P59-1))</f>
        <v>0</v>
      </c>
      <c r="Q60" s="309">
        <f t="shared" si="4"/>
        <v>0</v>
      </c>
      <c r="R60" s="175">
        <f>MAX(R$6:R59)-SUM(T$6:T59)</f>
        <v>2181780</v>
      </c>
      <c r="S60" s="309">
        <f>IF(R60=0,0,IF(T59=0,MAX(S$6:S59),S59-1))</f>
        <v>8</v>
      </c>
      <c r="T60" s="309">
        <f t="shared" si="5"/>
        <v>272723</v>
      </c>
      <c r="U60" s="175">
        <f>MAX(U$6:U59)-SUM(W$6:W59)</f>
        <v>910000</v>
      </c>
      <c r="V60" s="309">
        <f>IF(U60=0,0,IF(W59=0,MAX(V$6:V59),V59-1))</f>
        <v>8</v>
      </c>
      <c r="W60" s="309">
        <f t="shared" si="6"/>
        <v>113750</v>
      </c>
      <c r="X60" s="175">
        <f>MAX(X$6:X59)-SUM(Z$6:Z59)</f>
        <v>0</v>
      </c>
      <c r="Y60" s="309">
        <f>IF(X60=0,0,IF(Z59=0,MAX(Y$6:Y59),Y59-1))</f>
        <v>0</v>
      </c>
      <c r="Z60" s="309">
        <f t="shared" si="7"/>
        <v>0</v>
      </c>
      <c r="AA60" s="175">
        <f>MAX(AA$6:AA59)-SUM(AC$6:AC59)</f>
        <v>0</v>
      </c>
      <c r="AB60" s="309">
        <f>IF(AA60=0,0,IF(AC59=0,MAX(AB$6:AB59),AB59-1))</f>
        <v>0</v>
      </c>
      <c r="AC60" s="309">
        <f t="shared" si="8"/>
        <v>0</v>
      </c>
      <c r="AD60" s="175">
        <f>MAX(AD$6:AD59)-SUM(AF$6:AF59)</f>
        <v>0</v>
      </c>
      <c r="AE60" s="309">
        <f>IF(AD60=0,0,IF(AF59=0,MAX(AE$6:AE59),AE59-1))</f>
        <v>0</v>
      </c>
      <c r="AF60" s="309">
        <f t="shared" si="9"/>
        <v>0</v>
      </c>
      <c r="AG60" s="175">
        <f>MAX(AG$6:AG59)-SUM(AI$6:AI59)</f>
        <v>1331000</v>
      </c>
      <c r="AH60" s="309">
        <f>IF(AG60=0,0,IF(AI59=0,MAX(AH$6:AH59),AH59-1))</f>
        <v>2</v>
      </c>
      <c r="AI60" s="309">
        <f t="shared" si="10"/>
        <v>665500</v>
      </c>
      <c r="AJ60" s="175">
        <f>MAX(AJ$6:AJ59)-SUM(AL$6:AL59)</f>
        <v>21326668</v>
      </c>
      <c r="AK60" s="309">
        <f>IF(AJ60=0,0,IF(AL59=0,MAX(AK$6:AK59),AK59-1))</f>
        <v>20</v>
      </c>
      <c r="AL60" s="309">
        <f t="shared" si="11"/>
        <v>1066333</v>
      </c>
      <c r="AM60" s="175">
        <f>MAX(AM$6:AM59)-SUM(AO$6:AO59)</f>
        <v>9163556</v>
      </c>
      <c r="AN60" s="309">
        <f>IF(AM60=0,0,IF(AO59=0,MAX(AN$6:AN59),AN59-1))</f>
        <v>32</v>
      </c>
      <c r="AO60" s="309">
        <f t="shared" si="12"/>
        <v>286361</v>
      </c>
      <c r="AP60" s="175">
        <f>MAX(AP$6:AP59)-SUM(AR$6:AR59)</f>
        <v>3822224</v>
      </c>
      <c r="AQ60" s="309">
        <f>IF(AP60=0,0,IF(AR59=0,MAX(AQ$6:AQ59),AQ59-1))</f>
        <v>32</v>
      </c>
      <c r="AR60" s="309">
        <f t="shared" si="13"/>
        <v>119445</v>
      </c>
      <c r="AS60" s="175">
        <f>MAX(AS$6:AS59)-SUM(AU$6:AU59)</f>
        <v>2928000</v>
      </c>
      <c r="AT60" s="309">
        <f>IF(AS60=0,0,IF(AU59=0,MAX(AT$6:AT59),AT59-1))</f>
        <v>8</v>
      </c>
      <c r="AU60" s="309">
        <f t="shared" si="14"/>
        <v>366000</v>
      </c>
      <c r="AV60" s="309">
        <v>0</v>
      </c>
      <c r="AW60" s="309">
        <f>IF(AV60=0,0,IF(AX59=0,MAX(AW$6:AW59),AW59-1))</f>
        <v>0</v>
      </c>
      <c r="AX60" s="309">
        <f t="shared" si="15"/>
        <v>0</v>
      </c>
      <c r="AY60" s="175">
        <v>0</v>
      </c>
      <c r="AZ60" s="309">
        <f>IF(AY60=0,0,IF(BA59=0,MAX(AZ$6:AZ59),AZ59-1))</f>
        <v>0</v>
      </c>
      <c r="BA60" s="309">
        <f t="shared" si="16"/>
        <v>0</v>
      </c>
      <c r="BB60" s="309">
        <f t="shared" si="19"/>
        <v>2890112</v>
      </c>
      <c r="BC60" s="309">
        <f t="shared" si="20"/>
        <v>41663228</v>
      </c>
      <c r="BD60" s="309">
        <f t="shared" si="21"/>
        <v>2890112</v>
      </c>
      <c r="BE60" s="309">
        <f t="shared" si="22"/>
        <v>38773116</v>
      </c>
      <c r="BF60" s="309">
        <f>MAX(C$6:C60)+MAX(F$6:F60)+MAX(I$6:I60)+MAX(L$6:L60)+MAX(O$6:O60)+MAX(R$6:R60)+MAX(U$6:U60)+MAX(X$6:X60)+MAX(AA$6:AA60)+MAX(AD$6:AD60)+MAX(AG$6:AG60)+MAX(AJ$6:AJ60)+MAX(AM$6:AM60)+MAX(AP$6:AP60)+MAX(AS$6:AS60)+MAX(AV$6:AV60)+MAX(AY$6:AY60)</f>
        <v>126540000</v>
      </c>
      <c r="BG60" s="309">
        <f>SUM(E$6:E60)+SUM(H$6:H60)+SUM(K$6:K60)+SUM(N$6:N60)+SUM(Q$6:Q60)+SUM(T$6:T60)+SUM(W$6:W60)+SUM(Z$6:Z60)+SUM(AC$6:AC60)+SUM(AF$6:AF60)+SUM(AI$6:AI60)+SUM(AL$6:AL60)+SUM(AO$6:AO60)+SUM(AR$6:AR60)+SUM(AU$6:AU60)+SUM(AX$6:AX60)+SUM(BA$6:BA60)</f>
        <v>87766884</v>
      </c>
      <c r="BH60" s="309">
        <f t="shared" si="23"/>
        <v>38773116</v>
      </c>
      <c r="BI60" s="309">
        <f t="shared" si="24"/>
        <v>0</v>
      </c>
      <c r="BJ60" s="309">
        <f>MAX(I$6:I60)+MAX(O$6:O60)+MAX(R$6:R60)+MAX(U$6:U60)+MAX(AJ$6:AJ60)+MAX(AM$6:AM60)</f>
        <v>73079000</v>
      </c>
      <c r="BK60" s="309">
        <f>SUM(K$6:K60)+SUM(Q$6:Q60)+SUM(T$6:T60)+SUM(W$6:W60)+SUM(AL$6:AL60)+SUM(AO$6:AO60)</f>
        <v>41236163</v>
      </c>
      <c r="BL60" s="309">
        <f t="shared" si="25"/>
        <v>31842837</v>
      </c>
      <c r="BM60" s="309">
        <f>MAX(C$6:C60)+MAX(F$6:F60)+MAX(L$6:L60)+MAX(X$6:X60)+MAX(AA$6:AA60)+MAX(AD$6:AD60)+MAX(AG$6:AG60)+MAX(AP$6:AP60)+MAX(AS$6:AS60)+MAX(AV$6:AV60)+MAX(AY$6:AY60)</f>
        <v>53461000</v>
      </c>
      <c r="BN60" s="309">
        <f>SUM(E$6:E60)+SUM(H$6:H60)+SUM(N$6:N60)+SUM(Z$6:Z60)+SUM(AC$6:AC60)+SUM(AF$6:AF60)+SUM(AI$6:AI60)+SUM(AR$6:AR60)+SUM(AU$6:AU60)+SUM(AX$6:AX60)+SUM(BA$6:BA60)</f>
        <v>46530721</v>
      </c>
      <c r="BO60" s="309">
        <f t="shared" si="26"/>
        <v>6930279</v>
      </c>
      <c r="BP60" s="309">
        <f t="shared" si="27"/>
        <v>126540000</v>
      </c>
      <c r="BQ60" s="309">
        <f t="shared" si="27"/>
        <v>87766884</v>
      </c>
      <c r="BR60" s="309">
        <f t="shared" si="28"/>
        <v>38773116</v>
      </c>
      <c r="BS60" s="309">
        <f t="shared" si="29"/>
        <v>0</v>
      </c>
      <c r="BT60" s="309">
        <f t="shared" si="29"/>
        <v>0</v>
      </c>
      <c r="BU60" s="309">
        <f t="shared" si="30"/>
        <v>0</v>
      </c>
    </row>
    <row r="61" spans="1:73" x14ac:dyDescent="0.35">
      <c r="A61" s="18">
        <v>54</v>
      </c>
      <c r="B61" s="184">
        <v>43646</v>
      </c>
      <c r="C61" s="175">
        <f>MAX(C$6:C60)-SUM(E$6:E60)</f>
        <v>0</v>
      </c>
      <c r="D61" s="309">
        <f>IF(C61=0,0,IF(E60=0,MAX(D$6:D60),D60-1))</f>
        <v>0</v>
      </c>
      <c r="E61" s="309">
        <f t="shared" si="0"/>
        <v>0</v>
      </c>
      <c r="F61" s="175">
        <f>MAX(F$6:F60)-SUM(H$6:H60)</f>
        <v>0</v>
      </c>
      <c r="G61" s="309">
        <f>IF(F61=0,0,IF(H60=0,MAX(G$6:G60),G60-1))</f>
        <v>0</v>
      </c>
      <c r="H61" s="309">
        <f t="shared" si="1"/>
        <v>0</v>
      </c>
      <c r="I61" s="175">
        <f>MAX(I$6:I60)-SUM(K$6:K60)</f>
        <v>0</v>
      </c>
      <c r="J61" s="309">
        <f>IF(I61=0,0,IF(K60=0,MAX(J$6:J60),J60-1))</f>
        <v>0</v>
      </c>
      <c r="K61" s="309">
        <f t="shared" si="2"/>
        <v>0</v>
      </c>
      <c r="L61" s="175">
        <f>MAX(L$6:L60)-SUM(N$6:N60)</f>
        <v>0</v>
      </c>
      <c r="M61" s="309">
        <f>IF(L61=0,0,IF(N60=0,MAX(M$6:M60),M60-1))</f>
        <v>0</v>
      </c>
      <c r="N61" s="309">
        <f t="shared" si="3"/>
        <v>0</v>
      </c>
      <c r="O61" s="175">
        <f>MAX(O$6:O60)-SUM(Q$6:Q60)</f>
        <v>0</v>
      </c>
      <c r="P61" s="309">
        <f>IF(O61=0,0,IF(Q60=0,MAX(P$6:P60),P60-1))</f>
        <v>0</v>
      </c>
      <c r="Q61" s="309">
        <f t="shared" si="4"/>
        <v>0</v>
      </c>
      <c r="R61" s="175">
        <f>MAX(R$6:R60)-SUM(T$6:T60)</f>
        <v>1909057</v>
      </c>
      <c r="S61" s="309">
        <f>IF(R61=0,0,IF(T60=0,MAX(S$6:S60),S60-1))</f>
        <v>7</v>
      </c>
      <c r="T61" s="309">
        <f t="shared" si="5"/>
        <v>272722</v>
      </c>
      <c r="U61" s="175">
        <f>MAX(U$6:U60)-SUM(W$6:W60)</f>
        <v>796250</v>
      </c>
      <c r="V61" s="309">
        <f>IF(U61=0,0,IF(W60=0,MAX(V$6:V60),V60-1))</f>
        <v>7</v>
      </c>
      <c r="W61" s="309">
        <f t="shared" si="6"/>
        <v>113750</v>
      </c>
      <c r="X61" s="175">
        <f>MAX(X$6:X60)-SUM(Z$6:Z60)</f>
        <v>0</v>
      </c>
      <c r="Y61" s="309">
        <f>IF(X61=0,0,IF(Z60=0,MAX(Y$6:Y60),Y60-1))</f>
        <v>0</v>
      </c>
      <c r="Z61" s="309">
        <f t="shared" si="7"/>
        <v>0</v>
      </c>
      <c r="AA61" s="175">
        <f>MAX(AA$6:AA60)-SUM(AC$6:AC60)</f>
        <v>0</v>
      </c>
      <c r="AB61" s="309">
        <f>IF(AA61=0,0,IF(AC60=0,MAX(AB$6:AB60),AB60-1))</f>
        <v>0</v>
      </c>
      <c r="AC61" s="309">
        <f t="shared" si="8"/>
        <v>0</v>
      </c>
      <c r="AD61" s="175">
        <f>MAX(AD$6:AD60)-SUM(AF$6:AF60)</f>
        <v>0</v>
      </c>
      <c r="AE61" s="309">
        <f>IF(AD61=0,0,IF(AF60=0,MAX(AE$6:AE60),AE60-1))</f>
        <v>0</v>
      </c>
      <c r="AF61" s="309">
        <f t="shared" si="9"/>
        <v>0</v>
      </c>
      <c r="AG61" s="175">
        <f>MAX(AG$6:AG60)-SUM(AI$6:AI60)</f>
        <v>665500</v>
      </c>
      <c r="AH61" s="309">
        <f>IF(AG61=0,0,IF(AI60=0,MAX(AH$6:AH60),AH60-1))</f>
        <v>1</v>
      </c>
      <c r="AI61" s="309">
        <f t="shared" si="10"/>
        <v>665500</v>
      </c>
      <c r="AJ61" s="175">
        <f>MAX(AJ$6:AJ60)-SUM(AL$6:AL60)</f>
        <v>20260335</v>
      </c>
      <c r="AK61" s="309">
        <f>IF(AJ61=0,0,IF(AL60=0,MAX(AK$6:AK60),AK60-1))</f>
        <v>19</v>
      </c>
      <c r="AL61" s="309">
        <f t="shared" si="11"/>
        <v>1066333</v>
      </c>
      <c r="AM61" s="175">
        <f>MAX(AM$6:AM60)-SUM(AO$6:AO60)</f>
        <v>8877195</v>
      </c>
      <c r="AN61" s="309">
        <f>IF(AM61=0,0,IF(AO60=0,MAX(AN$6:AN60),AN60-1))</f>
        <v>31</v>
      </c>
      <c r="AO61" s="309">
        <f t="shared" si="12"/>
        <v>286361</v>
      </c>
      <c r="AP61" s="175">
        <f>MAX(AP$6:AP60)-SUM(AR$6:AR60)</f>
        <v>3702779</v>
      </c>
      <c r="AQ61" s="309">
        <f>IF(AP61=0,0,IF(AR60=0,MAX(AQ$6:AQ60),AQ60-1))</f>
        <v>31</v>
      </c>
      <c r="AR61" s="309">
        <f t="shared" si="13"/>
        <v>119444</v>
      </c>
      <c r="AS61" s="175">
        <f>MAX(AS$6:AS60)-SUM(AU$6:AU60)</f>
        <v>2562000</v>
      </c>
      <c r="AT61" s="309">
        <f>IF(AS61=0,0,IF(AU60=0,MAX(AT$6:AT60),AT60-1))</f>
        <v>7</v>
      </c>
      <c r="AU61" s="309">
        <f t="shared" si="14"/>
        <v>366000</v>
      </c>
      <c r="AV61" s="309">
        <f>'Inv Adic'!L14</f>
        <v>8785000</v>
      </c>
      <c r="AW61" s="309">
        <f>IF(AV61=0,0,IF(AX60=0,MAX(AW$6:AW60),AW60-1))</f>
        <v>12</v>
      </c>
      <c r="AX61" s="309">
        <f t="shared" si="15"/>
        <v>0</v>
      </c>
      <c r="AY61" s="175">
        <v>0</v>
      </c>
      <c r="AZ61" s="309">
        <f>IF(AY61=0,0,IF(BA60=0,MAX(AZ$6:AZ60),AZ60-1))</f>
        <v>0</v>
      </c>
      <c r="BA61" s="309">
        <f t="shared" si="16"/>
        <v>0</v>
      </c>
      <c r="BB61" s="309">
        <f t="shared" si="19"/>
        <v>2890110</v>
      </c>
      <c r="BC61" s="309">
        <f t="shared" si="20"/>
        <v>47558116</v>
      </c>
      <c r="BD61" s="309">
        <f t="shared" si="21"/>
        <v>2890110</v>
      </c>
      <c r="BE61" s="309">
        <f t="shared" si="22"/>
        <v>44668006</v>
      </c>
      <c r="BF61" s="309">
        <f>MAX(C$6:C61)+MAX(F$6:F61)+MAX(I$6:I61)+MAX(L$6:L61)+MAX(O$6:O61)+MAX(R$6:R61)+MAX(U$6:U61)+MAX(X$6:X61)+MAX(AA$6:AA61)+MAX(AD$6:AD61)+MAX(AG$6:AG61)+MAX(AJ$6:AJ61)+MAX(AM$6:AM61)+MAX(AP$6:AP61)+MAX(AS$6:AS61)+MAX(AV$6:AV61)+MAX(AY$6:AY61)</f>
        <v>135325000</v>
      </c>
      <c r="BG61" s="309">
        <f>SUM(E$6:E61)+SUM(H$6:H61)+SUM(K$6:K61)+SUM(N$6:N61)+SUM(Q$6:Q61)+SUM(T$6:T61)+SUM(W$6:W61)+SUM(Z$6:Z61)+SUM(AC$6:AC61)+SUM(AF$6:AF61)+SUM(AI$6:AI61)+SUM(AL$6:AL61)+SUM(AO$6:AO61)+SUM(AR$6:AR61)+SUM(AU$6:AU61)+SUM(AX$6:AX61)+SUM(BA$6:BA61)</f>
        <v>90656994</v>
      </c>
      <c r="BH61" s="309">
        <f t="shared" si="23"/>
        <v>44668006</v>
      </c>
      <c r="BI61" s="309">
        <f t="shared" si="24"/>
        <v>0</v>
      </c>
      <c r="BJ61" s="309">
        <f>MAX(I$6:I61)+MAX(O$6:O61)+MAX(R$6:R61)+MAX(U$6:U61)+MAX(AJ$6:AJ61)+MAX(AM$6:AM61)</f>
        <v>73079000</v>
      </c>
      <c r="BK61" s="309">
        <f>SUM(K$6:K61)+SUM(Q$6:Q61)+SUM(T$6:T61)+SUM(W$6:W61)+SUM(AL$6:AL61)+SUM(AO$6:AO61)</f>
        <v>42975329</v>
      </c>
      <c r="BL61" s="309">
        <f t="shared" si="25"/>
        <v>30103671</v>
      </c>
      <c r="BM61" s="309">
        <f>MAX(C$6:C61)+MAX(F$6:F61)+MAX(L$6:L61)+MAX(X$6:X61)+MAX(AA$6:AA61)+MAX(AD$6:AD61)+MAX(AG$6:AG61)+MAX(AP$6:AP61)+MAX(AS$6:AS61)+MAX(AV$6:AV61)+MAX(AY$6:AY61)</f>
        <v>62246000</v>
      </c>
      <c r="BN61" s="309">
        <f>SUM(E$6:E61)+SUM(H$6:H61)+SUM(N$6:N61)+SUM(Z$6:Z61)+SUM(AC$6:AC61)+SUM(AF$6:AF61)+SUM(AI$6:AI61)+SUM(AR$6:AR61)+SUM(AU$6:AU61)+SUM(AX$6:AX61)+SUM(BA$6:BA61)</f>
        <v>47681665</v>
      </c>
      <c r="BO61" s="309">
        <f t="shared" si="26"/>
        <v>14564335</v>
      </c>
      <c r="BP61" s="309">
        <f t="shared" si="27"/>
        <v>135325000</v>
      </c>
      <c r="BQ61" s="309">
        <f t="shared" si="27"/>
        <v>90656994</v>
      </c>
      <c r="BR61" s="309">
        <f t="shared" si="28"/>
        <v>44668006</v>
      </c>
      <c r="BS61" s="309">
        <f t="shared" si="29"/>
        <v>0</v>
      </c>
      <c r="BT61" s="309">
        <f t="shared" si="29"/>
        <v>0</v>
      </c>
      <c r="BU61" s="309">
        <f t="shared" si="30"/>
        <v>0</v>
      </c>
    </row>
    <row r="62" spans="1:73" x14ac:dyDescent="0.35">
      <c r="A62" s="18">
        <v>55</v>
      </c>
      <c r="B62" s="184">
        <v>43677</v>
      </c>
      <c r="C62" s="175">
        <f>MAX(C$6:C61)-SUM(E$6:E61)</f>
        <v>0</v>
      </c>
      <c r="D62" s="309">
        <f>IF(C62=0,0,IF(E61=0,MAX(D$6:D61),D61-1))</f>
        <v>0</v>
      </c>
      <c r="E62" s="309">
        <f t="shared" si="0"/>
        <v>0</v>
      </c>
      <c r="F62" s="175">
        <f>MAX(F$6:F61)-SUM(H$6:H61)</f>
        <v>0</v>
      </c>
      <c r="G62" s="309">
        <f>IF(F62=0,0,IF(H61=0,MAX(G$6:G61),G61-1))</f>
        <v>0</v>
      </c>
      <c r="H62" s="309">
        <f t="shared" si="1"/>
        <v>0</v>
      </c>
      <c r="I62" s="175">
        <f>MAX(I$6:I61)-SUM(K$6:K61)</f>
        <v>0</v>
      </c>
      <c r="J62" s="309">
        <f>IF(I62=0,0,IF(K61=0,MAX(J$6:J61),J61-1))</f>
        <v>0</v>
      </c>
      <c r="K62" s="309">
        <f t="shared" si="2"/>
        <v>0</v>
      </c>
      <c r="L62" s="175">
        <f>MAX(L$6:L61)-SUM(N$6:N61)</f>
        <v>0</v>
      </c>
      <c r="M62" s="309">
        <f>IF(L62=0,0,IF(N61=0,MAX(M$6:M61),M61-1))</f>
        <v>0</v>
      </c>
      <c r="N62" s="309">
        <f t="shared" si="3"/>
        <v>0</v>
      </c>
      <c r="O62" s="175">
        <f>MAX(O$6:O61)-SUM(Q$6:Q61)</f>
        <v>0</v>
      </c>
      <c r="P62" s="309">
        <f>IF(O62=0,0,IF(Q61=0,MAX(P$6:P61),P61-1))</f>
        <v>0</v>
      </c>
      <c r="Q62" s="309">
        <f t="shared" si="4"/>
        <v>0</v>
      </c>
      <c r="R62" s="175">
        <f>MAX(R$6:R61)-SUM(T$6:T61)</f>
        <v>1636335</v>
      </c>
      <c r="S62" s="309">
        <f>IF(R62=0,0,IF(T61=0,MAX(S$6:S61),S61-1))</f>
        <v>6</v>
      </c>
      <c r="T62" s="309">
        <f t="shared" si="5"/>
        <v>272723</v>
      </c>
      <c r="U62" s="175">
        <f>MAX(U$6:U61)-SUM(W$6:W61)</f>
        <v>682500</v>
      </c>
      <c r="V62" s="309">
        <f>IF(U62=0,0,IF(W61=0,MAX(V$6:V61),V61-1))</f>
        <v>6</v>
      </c>
      <c r="W62" s="309">
        <f t="shared" si="6"/>
        <v>113750</v>
      </c>
      <c r="X62" s="175">
        <f>MAX(X$6:X61)-SUM(Z$6:Z61)</f>
        <v>0</v>
      </c>
      <c r="Y62" s="309">
        <f>IF(X62=0,0,IF(Z61=0,MAX(Y$6:Y61),Y61-1))</f>
        <v>0</v>
      </c>
      <c r="Z62" s="309">
        <f t="shared" si="7"/>
        <v>0</v>
      </c>
      <c r="AA62" s="175">
        <f>MAX(AA$6:AA61)-SUM(AC$6:AC61)</f>
        <v>0</v>
      </c>
      <c r="AB62" s="309">
        <f>IF(AA62=0,0,IF(AC61=0,MAX(AB$6:AB61),AB61-1))</f>
        <v>0</v>
      </c>
      <c r="AC62" s="309">
        <f t="shared" si="8"/>
        <v>0</v>
      </c>
      <c r="AD62" s="175">
        <f>MAX(AD$6:AD61)-SUM(AF$6:AF61)</f>
        <v>0</v>
      </c>
      <c r="AE62" s="309">
        <f>IF(AD62=0,0,IF(AF61=0,MAX(AE$6:AE61),AE61-1))</f>
        <v>0</v>
      </c>
      <c r="AF62" s="309">
        <f t="shared" si="9"/>
        <v>0</v>
      </c>
      <c r="AG62" s="175">
        <f>MAX(AG$6:AG61)-SUM(AI$6:AI61)</f>
        <v>0</v>
      </c>
      <c r="AH62" s="309">
        <f>IF(AG62=0,0,IF(AI61=0,MAX(AH$6:AH61),AH61-1))</f>
        <v>0</v>
      </c>
      <c r="AI62" s="309">
        <f t="shared" si="10"/>
        <v>0</v>
      </c>
      <c r="AJ62" s="175">
        <f>MAX(AJ$6:AJ61)-SUM(AL$6:AL61)</f>
        <v>19194002</v>
      </c>
      <c r="AK62" s="309">
        <f>IF(AJ62=0,0,IF(AL61=0,MAX(AK$6:AK61),AK61-1))</f>
        <v>18</v>
      </c>
      <c r="AL62" s="309">
        <f t="shared" si="11"/>
        <v>1066333</v>
      </c>
      <c r="AM62" s="175">
        <f>MAX(AM$6:AM61)-SUM(AO$6:AO61)</f>
        <v>8590834</v>
      </c>
      <c r="AN62" s="309">
        <f>IF(AM62=0,0,IF(AO61=0,MAX(AN$6:AN61),AN61-1))</f>
        <v>30</v>
      </c>
      <c r="AO62" s="309">
        <f t="shared" si="12"/>
        <v>286361</v>
      </c>
      <c r="AP62" s="175">
        <f>MAX(AP$6:AP61)-SUM(AR$6:AR61)</f>
        <v>3583335</v>
      </c>
      <c r="AQ62" s="309">
        <f>IF(AP62=0,0,IF(AR61=0,MAX(AQ$6:AQ61),AQ61-1))</f>
        <v>30</v>
      </c>
      <c r="AR62" s="309">
        <f t="shared" si="13"/>
        <v>119445</v>
      </c>
      <c r="AS62" s="175">
        <f>MAX(AS$6:AS61)-SUM(AU$6:AU61)</f>
        <v>2196000</v>
      </c>
      <c r="AT62" s="309">
        <f>IF(AS62=0,0,IF(AU61=0,MAX(AT$6:AT61),AT61-1))</f>
        <v>6</v>
      </c>
      <c r="AU62" s="309">
        <f t="shared" si="14"/>
        <v>366000</v>
      </c>
      <c r="AV62" s="175">
        <f>MAX(AV$6:AV61)-SUM(AX$6:AX61)</f>
        <v>8785000</v>
      </c>
      <c r="AW62" s="309">
        <f>IF(AV62=0,0,IF(AX61=0,MAX(AW$6:AW61),AW61-1))</f>
        <v>12</v>
      </c>
      <c r="AX62" s="309">
        <f t="shared" si="15"/>
        <v>732083</v>
      </c>
      <c r="AY62" s="175">
        <v>0</v>
      </c>
      <c r="AZ62" s="309">
        <f>IF(AY62=0,0,IF(BA61=0,MAX(AZ$6:AZ61),AZ61-1))</f>
        <v>0</v>
      </c>
      <c r="BA62" s="309">
        <f t="shared" si="16"/>
        <v>0</v>
      </c>
      <c r="BB62" s="309">
        <f t="shared" si="19"/>
        <v>2956695</v>
      </c>
      <c r="BC62" s="309">
        <f t="shared" si="20"/>
        <v>44668006</v>
      </c>
      <c r="BD62" s="309">
        <f t="shared" si="21"/>
        <v>2956695</v>
      </c>
      <c r="BE62" s="309">
        <f t="shared" si="22"/>
        <v>41711311</v>
      </c>
      <c r="BF62" s="309">
        <f>MAX(C$6:C62)+MAX(F$6:F62)+MAX(I$6:I62)+MAX(L$6:L62)+MAX(O$6:O62)+MAX(R$6:R62)+MAX(U$6:U62)+MAX(X$6:X62)+MAX(AA$6:AA62)+MAX(AD$6:AD62)+MAX(AG$6:AG62)+MAX(AJ$6:AJ62)+MAX(AM$6:AM62)+MAX(AP$6:AP62)+MAX(AS$6:AS62)+MAX(AV$6:AV62)+MAX(AY$6:AY62)</f>
        <v>135325000</v>
      </c>
      <c r="BG62" s="309">
        <f>SUM(E$6:E62)+SUM(H$6:H62)+SUM(K$6:K62)+SUM(N$6:N62)+SUM(Q$6:Q62)+SUM(T$6:T62)+SUM(W$6:W62)+SUM(Z$6:Z62)+SUM(AC$6:AC62)+SUM(AF$6:AF62)+SUM(AI$6:AI62)+SUM(AL$6:AL62)+SUM(AO$6:AO62)+SUM(AR$6:AR62)+SUM(AU$6:AU62)+SUM(AX$6:AX62)+SUM(BA$6:BA62)</f>
        <v>93613689</v>
      </c>
      <c r="BH62" s="309">
        <f t="shared" si="23"/>
        <v>41711311</v>
      </c>
      <c r="BI62" s="309">
        <f t="shared" si="24"/>
        <v>0</v>
      </c>
      <c r="BJ62" s="309">
        <f>MAX(I$6:I62)+MAX(O$6:O62)+MAX(R$6:R62)+MAX(U$6:U62)+MAX(AJ$6:AJ62)+MAX(AM$6:AM62)</f>
        <v>73079000</v>
      </c>
      <c r="BK62" s="309">
        <f>SUM(K$6:K62)+SUM(Q$6:Q62)+SUM(T$6:T62)+SUM(W$6:W62)+SUM(AL$6:AL62)+SUM(AO$6:AO62)</f>
        <v>44714496</v>
      </c>
      <c r="BL62" s="309">
        <f t="shared" si="25"/>
        <v>28364504</v>
      </c>
      <c r="BM62" s="309">
        <f>MAX(C$6:C62)+MAX(F$6:F62)+MAX(L$6:L62)+MAX(X$6:X62)+MAX(AA$6:AA62)+MAX(AD$6:AD62)+MAX(AG$6:AG62)+MAX(AP$6:AP62)+MAX(AS$6:AS62)+MAX(AV$6:AV62)+MAX(AY$6:AY62)</f>
        <v>62246000</v>
      </c>
      <c r="BN62" s="309">
        <f>SUM(E$6:E62)+SUM(H$6:H62)+SUM(N$6:N62)+SUM(Z$6:Z62)+SUM(AC$6:AC62)+SUM(AF$6:AF62)+SUM(AI$6:AI62)+SUM(AR$6:AR62)+SUM(AU$6:AU62)+SUM(AX$6:AX62)+SUM(BA$6:BA62)</f>
        <v>48899193</v>
      </c>
      <c r="BO62" s="309">
        <f t="shared" si="26"/>
        <v>13346807</v>
      </c>
      <c r="BP62" s="309">
        <f t="shared" si="27"/>
        <v>135325000</v>
      </c>
      <c r="BQ62" s="309">
        <f t="shared" si="27"/>
        <v>93613689</v>
      </c>
      <c r="BR62" s="309">
        <f t="shared" si="28"/>
        <v>41711311</v>
      </c>
      <c r="BS62" s="309">
        <f t="shared" si="29"/>
        <v>0</v>
      </c>
      <c r="BT62" s="309">
        <f t="shared" si="29"/>
        <v>0</v>
      </c>
      <c r="BU62" s="309">
        <f t="shared" si="30"/>
        <v>0</v>
      </c>
    </row>
    <row r="63" spans="1:73" x14ac:dyDescent="0.35">
      <c r="A63" s="18">
        <v>56</v>
      </c>
      <c r="B63" s="184">
        <v>43708</v>
      </c>
      <c r="C63" s="175">
        <f>MAX(C$6:C62)-SUM(E$6:E62)</f>
        <v>0</v>
      </c>
      <c r="D63" s="309">
        <f>IF(C63=0,0,IF(E62=0,MAX(D$6:D62),D62-1))</f>
        <v>0</v>
      </c>
      <c r="E63" s="309">
        <f t="shared" si="0"/>
        <v>0</v>
      </c>
      <c r="F63" s="175">
        <f>MAX(F$6:F62)-SUM(H$6:H62)</f>
        <v>0</v>
      </c>
      <c r="G63" s="309">
        <f>IF(F63=0,0,IF(H62=0,MAX(G$6:G62),G62-1))</f>
        <v>0</v>
      </c>
      <c r="H63" s="309">
        <f t="shared" si="1"/>
        <v>0</v>
      </c>
      <c r="I63" s="175">
        <f>MAX(I$6:I62)-SUM(K$6:K62)</f>
        <v>0</v>
      </c>
      <c r="J63" s="309">
        <f>IF(I63=0,0,IF(K62=0,MAX(J$6:J62),J62-1))</f>
        <v>0</v>
      </c>
      <c r="K63" s="309">
        <f t="shared" si="2"/>
        <v>0</v>
      </c>
      <c r="L63" s="175">
        <f>MAX(L$6:L62)-SUM(N$6:N62)</f>
        <v>0</v>
      </c>
      <c r="M63" s="309">
        <f>IF(L63=0,0,IF(N62=0,MAX(M$6:M62),M62-1))</f>
        <v>0</v>
      </c>
      <c r="N63" s="309">
        <f t="shared" si="3"/>
        <v>0</v>
      </c>
      <c r="O63" s="175">
        <f>MAX(O$6:O62)-SUM(Q$6:Q62)</f>
        <v>0</v>
      </c>
      <c r="P63" s="309">
        <f>IF(O63=0,0,IF(Q62=0,MAX(P$6:P62),P62-1))</f>
        <v>0</v>
      </c>
      <c r="Q63" s="309">
        <f t="shared" si="4"/>
        <v>0</v>
      </c>
      <c r="R63" s="175">
        <f>MAX(R$6:R62)-SUM(T$6:T62)</f>
        <v>1363612</v>
      </c>
      <c r="S63" s="309">
        <f>IF(R63=0,0,IF(T62=0,MAX(S$6:S62),S62-1))</f>
        <v>5</v>
      </c>
      <c r="T63" s="309">
        <f t="shared" si="5"/>
        <v>272722</v>
      </c>
      <c r="U63" s="175">
        <f>MAX(U$6:U62)-SUM(W$6:W62)</f>
        <v>568750</v>
      </c>
      <c r="V63" s="309">
        <f>IF(U63=0,0,IF(W62=0,MAX(V$6:V62),V62-1))</f>
        <v>5</v>
      </c>
      <c r="W63" s="309">
        <f t="shared" si="6"/>
        <v>113750</v>
      </c>
      <c r="X63" s="175">
        <f>MAX(X$6:X62)-SUM(Z$6:Z62)</f>
        <v>0</v>
      </c>
      <c r="Y63" s="309">
        <f>IF(X63=0,0,IF(Z62=0,MAX(Y$6:Y62),Y62-1))</f>
        <v>0</v>
      </c>
      <c r="Z63" s="309">
        <f t="shared" si="7"/>
        <v>0</v>
      </c>
      <c r="AA63" s="175">
        <f>MAX(AA$6:AA62)-SUM(AC$6:AC62)</f>
        <v>0</v>
      </c>
      <c r="AB63" s="309">
        <f>IF(AA63=0,0,IF(AC62=0,MAX(AB$6:AB62),AB62-1))</f>
        <v>0</v>
      </c>
      <c r="AC63" s="309">
        <f t="shared" si="8"/>
        <v>0</v>
      </c>
      <c r="AD63" s="175">
        <f>MAX(AD$6:AD62)-SUM(AF$6:AF62)</f>
        <v>0</v>
      </c>
      <c r="AE63" s="309">
        <f>IF(AD63=0,0,IF(AF62=0,MAX(AE$6:AE62),AE62-1))</f>
        <v>0</v>
      </c>
      <c r="AF63" s="309">
        <f t="shared" si="9"/>
        <v>0</v>
      </c>
      <c r="AG63" s="175">
        <f>MAX(AG$6:AG62)-SUM(AI$6:AI62)</f>
        <v>0</v>
      </c>
      <c r="AH63" s="309">
        <f>IF(AG63=0,0,IF(AI62=0,MAX(AH$6:AH62),AH62-1))</f>
        <v>0</v>
      </c>
      <c r="AI63" s="309">
        <f t="shared" si="10"/>
        <v>0</v>
      </c>
      <c r="AJ63" s="175">
        <f>MAX(AJ$6:AJ62)-SUM(AL$6:AL62)</f>
        <v>18127669</v>
      </c>
      <c r="AK63" s="309">
        <f>IF(AJ63=0,0,IF(AL62=0,MAX(AK$6:AK62),AK62-1))</f>
        <v>17</v>
      </c>
      <c r="AL63" s="309">
        <f t="shared" si="11"/>
        <v>1066333</v>
      </c>
      <c r="AM63" s="175">
        <f>MAX(AM$6:AM62)-SUM(AO$6:AO62)</f>
        <v>8304473</v>
      </c>
      <c r="AN63" s="309">
        <f>IF(AM63=0,0,IF(AO62=0,MAX(AN$6:AN62),AN62-1))</f>
        <v>29</v>
      </c>
      <c r="AO63" s="309">
        <f t="shared" si="12"/>
        <v>286361</v>
      </c>
      <c r="AP63" s="175">
        <f>MAX(AP$6:AP62)-SUM(AR$6:AR62)</f>
        <v>3463890</v>
      </c>
      <c r="AQ63" s="309">
        <f>IF(AP63=0,0,IF(AR62=0,MAX(AQ$6:AQ62),AQ62-1))</f>
        <v>29</v>
      </c>
      <c r="AR63" s="309">
        <f t="shared" si="13"/>
        <v>119444</v>
      </c>
      <c r="AS63" s="175">
        <f>MAX(AS$6:AS62)-SUM(AU$6:AU62)</f>
        <v>1830000</v>
      </c>
      <c r="AT63" s="309">
        <f>IF(AS63=0,0,IF(AU62=0,MAX(AT$6:AT62),AT62-1))</f>
        <v>5</v>
      </c>
      <c r="AU63" s="309">
        <f t="shared" si="14"/>
        <v>366000</v>
      </c>
      <c r="AV63" s="175">
        <f>MAX(AV$6:AV62)-SUM(AX$6:AX62)</f>
        <v>8052917</v>
      </c>
      <c r="AW63" s="309">
        <f>IF(AV63=0,0,IF(AX62=0,MAX(AW$6:AW62),AW62-1))</f>
        <v>11</v>
      </c>
      <c r="AX63" s="309">
        <f t="shared" si="15"/>
        <v>732083</v>
      </c>
      <c r="AY63" s="175">
        <v>0</v>
      </c>
      <c r="AZ63" s="309">
        <f>IF(AY63=0,0,IF(BA62=0,MAX(AZ$6:AZ62),AZ62-1))</f>
        <v>0</v>
      </c>
      <c r="BA63" s="309">
        <f t="shared" si="16"/>
        <v>0</v>
      </c>
      <c r="BB63" s="309">
        <f t="shared" si="19"/>
        <v>2956693</v>
      </c>
      <c r="BC63" s="309">
        <f t="shared" si="20"/>
        <v>41711311</v>
      </c>
      <c r="BD63" s="309">
        <f t="shared" si="21"/>
        <v>2956693</v>
      </c>
      <c r="BE63" s="309">
        <f t="shared" si="22"/>
        <v>38754618</v>
      </c>
      <c r="BF63" s="309">
        <f>MAX(C$6:C63)+MAX(F$6:F63)+MAX(I$6:I63)+MAX(L$6:L63)+MAX(O$6:O63)+MAX(R$6:R63)+MAX(U$6:U63)+MAX(X$6:X63)+MAX(AA$6:AA63)+MAX(AD$6:AD63)+MAX(AG$6:AG63)+MAX(AJ$6:AJ63)+MAX(AM$6:AM63)+MAX(AP$6:AP63)+MAX(AS$6:AS63)+MAX(AV$6:AV63)+MAX(AY$6:AY63)</f>
        <v>135325000</v>
      </c>
      <c r="BG63" s="309">
        <f>SUM(E$6:E63)+SUM(H$6:H63)+SUM(K$6:K63)+SUM(N$6:N63)+SUM(Q$6:Q63)+SUM(T$6:T63)+SUM(W$6:W63)+SUM(Z$6:Z63)+SUM(AC$6:AC63)+SUM(AF$6:AF63)+SUM(AI$6:AI63)+SUM(AL$6:AL63)+SUM(AO$6:AO63)+SUM(AR$6:AR63)+SUM(AU$6:AU63)+SUM(AX$6:AX63)+SUM(BA$6:BA63)</f>
        <v>96570382</v>
      </c>
      <c r="BH63" s="309">
        <f t="shared" si="23"/>
        <v>38754618</v>
      </c>
      <c r="BI63" s="309">
        <f t="shared" si="24"/>
        <v>0</v>
      </c>
      <c r="BJ63" s="309">
        <f>MAX(I$6:I63)+MAX(O$6:O63)+MAX(R$6:R63)+MAX(U$6:U63)+MAX(AJ$6:AJ63)+MAX(AM$6:AM63)</f>
        <v>73079000</v>
      </c>
      <c r="BK63" s="309">
        <f>SUM(K$6:K63)+SUM(Q$6:Q63)+SUM(T$6:T63)+SUM(W$6:W63)+SUM(AL$6:AL63)+SUM(AO$6:AO63)</f>
        <v>46453662</v>
      </c>
      <c r="BL63" s="309">
        <f t="shared" si="25"/>
        <v>26625338</v>
      </c>
      <c r="BM63" s="309">
        <f>MAX(C$6:C63)+MAX(F$6:F63)+MAX(L$6:L63)+MAX(X$6:X63)+MAX(AA$6:AA63)+MAX(AD$6:AD63)+MAX(AG$6:AG63)+MAX(AP$6:AP63)+MAX(AS$6:AS63)+MAX(AV$6:AV63)+MAX(AY$6:AY63)</f>
        <v>62246000</v>
      </c>
      <c r="BN63" s="309">
        <f>SUM(E$6:E63)+SUM(H$6:H63)+SUM(N$6:N63)+SUM(Z$6:Z63)+SUM(AC$6:AC63)+SUM(AF$6:AF63)+SUM(AI$6:AI63)+SUM(AR$6:AR63)+SUM(AU$6:AU63)+SUM(AX$6:AX63)+SUM(BA$6:BA63)</f>
        <v>50116720</v>
      </c>
      <c r="BO63" s="309">
        <f t="shared" si="26"/>
        <v>12129280</v>
      </c>
      <c r="BP63" s="309">
        <f t="shared" si="27"/>
        <v>135325000</v>
      </c>
      <c r="BQ63" s="309">
        <f t="shared" si="27"/>
        <v>96570382</v>
      </c>
      <c r="BR63" s="309">
        <f t="shared" si="28"/>
        <v>38754618</v>
      </c>
      <c r="BS63" s="309">
        <f t="shared" si="29"/>
        <v>0</v>
      </c>
      <c r="BT63" s="309">
        <f t="shared" si="29"/>
        <v>0</v>
      </c>
      <c r="BU63" s="309">
        <f t="shared" si="30"/>
        <v>0</v>
      </c>
    </row>
    <row r="64" spans="1:73" x14ac:dyDescent="0.35">
      <c r="A64" s="18">
        <v>57</v>
      </c>
      <c r="B64" s="184">
        <v>43738</v>
      </c>
      <c r="C64" s="175">
        <f>MAX(C$6:C63)-SUM(E$6:E63)</f>
        <v>0</v>
      </c>
      <c r="D64" s="309">
        <f>IF(C64=0,0,IF(E63=0,MAX(D$6:D63),D63-1))</f>
        <v>0</v>
      </c>
      <c r="E64" s="309">
        <f t="shared" si="0"/>
        <v>0</v>
      </c>
      <c r="F64" s="175">
        <f>MAX(F$6:F63)-SUM(H$6:H63)</f>
        <v>0</v>
      </c>
      <c r="G64" s="309">
        <f>IF(F64=0,0,IF(H63=0,MAX(G$6:G63),G63-1))</f>
        <v>0</v>
      </c>
      <c r="H64" s="309">
        <f t="shared" si="1"/>
        <v>0</v>
      </c>
      <c r="I64" s="175">
        <f>MAX(I$6:I63)-SUM(K$6:K63)</f>
        <v>0</v>
      </c>
      <c r="J64" s="309">
        <f>IF(I64=0,0,IF(K63=0,MAX(J$6:J63),J63-1))</f>
        <v>0</v>
      </c>
      <c r="K64" s="309">
        <f t="shared" si="2"/>
        <v>0</v>
      </c>
      <c r="L64" s="175">
        <f>MAX(L$6:L63)-SUM(N$6:N63)</f>
        <v>0</v>
      </c>
      <c r="M64" s="309">
        <f>IF(L64=0,0,IF(N63=0,MAX(M$6:M63),M63-1))</f>
        <v>0</v>
      </c>
      <c r="N64" s="309">
        <f t="shared" si="3"/>
        <v>0</v>
      </c>
      <c r="O64" s="175">
        <f>MAX(O$6:O63)-SUM(Q$6:Q63)</f>
        <v>0</v>
      </c>
      <c r="P64" s="309">
        <f>IF(O64=0,0,IF(Q63=0,MAX(P$6:P63),P63-1))</f>
        <v>0</v>
      </c>
      <c r="Q64" s="309">
        <f t="shared" si="4"/>
        <v>0</v>
      </c>
      <c r="R64" s="175">
        <f>MAX(R$6:R63)-SUM(T$6:T63)</f>
        <v>1090890</v>
      </c>
      <c r="S64" s="309">
        <f>IF(R64=0,0,IF(T63=0,MAX(S$6:S63),S63-1))</f>
        <v>4</v>
      </c>
      <c r="T64" s="309">
        <f t="shared" si="5"/>
        <v>272723</v>
      </c>
      <c r="U64" s="175">
        <f>MAX(U$6:U63)-SUM(W$6:W63)</f>
        <v>455000</v>
      </c>
      <c r="V64" s="309">
        <f>IF(U64=0,0,IF(W63=0,MAX(V$6:V63),V63-1))</f>
        <v>4</v>
      </c>
      <c r="W64" s="309">
        <f t="shared" si="6"/>
        <v>113750</v>
      </c>
      <c r="X64" s="175">
        <f>MAX(X$6:X63)-SUM(Z$6:Z63)</f>
        <v>0</v>
      </c>
      <c r="Y64" s="309">
        <f>IF(X64=0,0,IF(Z63=0,MAX(Y$6:Y63),Y63-1))</f>
        <v>0</v>
      </c>
      <c r="Z64" s="309">
        <f t="shared" si="7"/>
        <v>0</v>
      </c>
      <c r="AA64" s="175">
        <f>MAX(AA$6:AA63)-SUM(AC$6:AC63)</f>
        <v>0</v>
      </c>
      <c r="AB64" s="309">
        <f>IF(AA64=0,0,IF(AC63=0,MAX(AB$6:AB63),AB63-1))</f>
        <v>0</v>
      </c>
      <c r="AC64" s="309">
        <f t="shared" si="8"/>
        <v>0</v>
      </c>
      <c r="AD64" s="175">
        <f>MAX(AD$6:AD63)-SUM(AF$6:AF63)</f>
        <v>0</v>
      </c>
      <c r="AE64" s="309">
        <f>IF(AD64=0,0,IF(AF63=0,MAX(AE$6:AE63),AE63-1))</f>
        <v>0</v>
      </c>
      <c r="AF64" s="309">
        <f t="shared" si="9"/>
        <v>0</v>
      </c>
      <c r="AG64" s="175">
        <f>MAX(AG$6:AG63)-SUM(AI$6:AI63)</f>
        <v>0</v>
      </c>
      <c r="AH64" s="309">
        <f>IF(AG64=0,0,IF(AI63=0,MAX(AH$6:AH63),AH63-1))</f>
        <v>0</v>
      </c>
      <c r="AI64" s="309">
        <f t="shared" si="10"/>
        <v>0</v>
      </c>
      <c r="AJ64" s="175">
        <f>MAX(AJ$6:AJ63)-SUM(AL$6:AL63)</f>
        <v>17061336</v>
      </c>
      <c r="AK64" s="309">
        <f>IF(AJ64=0,0,IF(AL63=0,MAX(AK$6:AK63),AK63-1))</f>
        <v>16</v>
      </c>
      <c r="AL64" s="309">
        <f t="shared" si="11"/>
        <v>1066334</v>
      </c>
      <c r="AM64" s="175">
        <f>MAX(AM$6:AM63)-SUM(AO$6:AO63)</f>
        <v>8018112</v>
      </c>
      <c r="AN64" s="309">
        <f>IF(AM64=0,0,IF(AO63=0,MAX(AN$6:AN63),AN63-1))</f>
        <v>28</v>
      </c>
      <c r="AO64" s="309">
        <f t="shared" si="12"/>
        <v>286361</v>
      </c>
      <c r="AP64" s="175">
        <f>MAX(AP$6:AP63)-SUM(AR$6:AR63)</f>
        <v>3344446</v>
      </c>
      <c r="AQ64" s="309">
        <f>IF(AP64=0,0,IF(AR63=0,MAX(AQ$6:AQ63),AQ63-1))</f>
        <v>28</v>
      </c>
      <c r="AR64" s="309">
        <f t="shared" si="13"/>
        <v>119445</v>
      </c>
      <c r="AS64" s="175">
        <f>MAX(AS$6:AS63)-SUM(AU$6:AU63)</f>
        <v>1464000</v>
      </c>
      <c r="AT64" s="309">
        <f>IF(AS64=0,0,IF(AU63=0,MAX(AT$6:AT63),AT63-1))</f>
        <v>4</v>
      </c>
      <c r="AU64" s="309">
        <f t="shared" si="14"/>
        <v>366000</v>
      </c>
      <c r="AV64" s="175">
        <f>MAX(AV$6:AV63)-SUM(AX$6:AX63)</f>
        <v>7320834</v>
      </c>
      <c r="AW64" s="309">
        <f>IF(AV64=0,0,IF(AX63=0,MAX(AW$6:AW63),AW63-1))</f>
        <v>10</v>
      </c>
      <c r="AX64" s="309">
        <f t="shared" si="15"/>
        <v>732083</v>
      </c>
      <c r="AY64" s="175">
        <v>0</v>
      </c>
      <c r="AZ64" s="309">
        <f>IF(AY64=0,0,IF(BA63=0,MAX(AZ$6:AZ63),AZ63-1))</f>
        <v>0</v>
      </c>
      <c r="BA64" s="309">
        <f t="shared" si="16"/>
        <v>0</v>
      </c>
      <c r="BB64" s="309">
        <f t="shared" si="19"/>
        <v>2956696</v>
      </c>
      <c r="BC64" s="309">
        <f t="shared" si="20"/>
        <v>38754618</v>
      </c>
      <c r="BD64" s="309">
        <f t="shared" si="21"/>
        <v>2956696</v>
      </c>
      <c r="BE64" s="309">
        <f t="shared" si="22"/>
        <v>35797922</v>
      </c>
      <c r="BF64" s="309">
        <f>MAX(C$6:C64)+MAX(F$6:F64)+MAX(I$6:I64)+MAX(L$6:L64)+MAX(O$6:O64)+MAX(R$6:R64)+MAX(U$6:U64)+MAX(X$6:X64)+MAX(AA$6:AA64)+MAX(AD$6:AD64)+MAX(AG$6:AG64)+MAX(AJ$6:AJ64)+MAX(AM$6:AM64)+MAX(AP$6:AP64)+MAX(AS$6:AS64)+MAX(AV$6:AV64)+MAX(AY$6:AY64)</f>
        <v>135325000</v>
      </c>
      <c r="BG64" s="309">
        <f>SUM(E$6:E64)+SUM(H$6:H64)+SUM(K$6:K64)+SUM(N$6:N64)+SUM(Q$6:Q64)+SUM(T$6:T64)+SUM(W$6:W64)+SUM(Z$6:Z64)+SUM(AC$6:AC64)+SUM(AF$6:AF64)+SUM(AI$6:AI64)+SUM(AL$6:AL64)+SUM(AO$6:AO64)+SUM(AR$6:AR64)+SUM(AU$6:AU64)+SUM(AX$6:AX64)+SUM(BA$6:BA64)</f>
        <v>99527078</v>
      </c>
      <c r="BH64" s="309">
        <f t="shared" si="23"/>
        <v>35797922</v>
      </c>
      <c r="BI64" s="309">
        <f t="shared" si="24"/>
        <v>0</v>
      </c>
      <c r="BJ64" s="309">
        <f>MAX(I$6:I64)+MAX(O$6:O64)+MAX(R$6:R64)+MAX(U$6:U64)+MAX(AJ$6:AJ64)+MAX(AM$6:AM64)</f>
        <v>73079000</v>
      </c>
      <c r="BK64" s="309">
        <f>SUM(K$6:K64)+SUM(Q$6:Q64)+SUM(T$6:T64)+SUM(W$6:W64)+SUM(AL$6:AL64)+SUM(AO$6:AO64)</f>
        <v>48192830</v>
      </c>
      <c r="BL64" s="309">
        <f t="shared" si="25"/>
        <v>24886170</v>
      </c>
      <c r="BM64" s="309">
        <f>MAX(C$6:C64)+MAX(F$6:F64)+MAX(L$6:L64)+MAX(X$6:X64)+MAX(AA$6:AA64)+MAX(AD$6:AD64)+MAX(AG$6:AG64)+MAX(AP$6:AP64)+MAX(AS$6:AS64)+MAX(AV$6:AV64)+MAX(AY$6:AY64)</f>
        <v>62246000</v>
      </c>
      <c r="BN64" s="309">
        <f>SUM(E$6:E64)+SUM(H$6:H64)+SUM(N$6:N64)+SUM(Z$6:Z64)+SUM(AC$6:AC64)+SUM(AF$6:AF64)+SUM(AI$6:AI64)+SUM(AR$6:AR64)+SUM(AU$6:AU64)+SUM(AX$6:AX64)+SUM(BA$6:BA64)</f>
        <v>51334248</v>
      </c>
      <c r="BO64" s="309">
        <f t="shared" si="26"/>
        <v>10911752</v>
      </c>
      <c r="BP64" s="309">
        <f t="shared" si="27"/>
        <v>135325000</v>
      </c>
      <c r="BQ64" s="309">
        <f t="shared" si="27"/>
        <v>99527078</v>
      </c>
      <c r="BR64" s="309">
        <f t="shared" si="28"/>
        <v>35797922</v>
      </c>
      <c r="BS64" s="309">
        <f t="shared" si="29"/>
        <v>0</v>
      </c>
      <c r="BT64" s="309">
        <f t="shared" si="29"/>
        <v>0</v>
      </c>
      <c r="BU64" s="309">
        <f t="shared" si="30"/>
        <v>0</v>
      </c>
    </row>
    <row r="65" spans="1:73" x14ac:dyDescent="0.35">
      <c r="A65" s="18">
        <v>58</v>
      </c>
      <c r="B65" s="184">
        <v>43769</v>
      </c>
      <c r="C65" s="175">
        <f>MAX(C$6:C64)-SUM(E$6:E64)</f>
        <v>0</v>
      </c>
      <c r="D65" s="309">
        <f>IF(C65=0,0,IF(E64=0,MAX(D$6:D64),D64-1))</f>
        <v>0</v>
      </c>
      <c r="E65" s="309">
        <f t="shared" si="0"/>
        <v>0</v>
      </c>
      <c r="F65" s="175">
        <f>MAX(F$6:F64)-SUM(H$6:H64)</f>
        <v>0</v>
      </c>
      <c r="G65" s="309">
        <f>IF(F65=0,0,IF(H64=0,MAX(G$6:G64),G64-1))</f>
        <v>0</v>
      </c>
      <c r="H65" s="309">
        <f t="shared" si="1"/>
        <v>0</v>
      </c>
      <c r="I65" s="175">
        <f>MAX(I$6:I64)-SUM(K$6:K64)</f>
        <v>0</v>
      </c>
      <c r="J65" s="309">
        <f>IF(I65=0,0,IF(K64=0,MAX(J$6:J64),J64-1))</f>
        <v>0</v>
      </c>
      <c r="K65" s="309">
        <f t="shared" si="2"/>
        <v>0</v>
      </c>
      <c r="L65" s="175">
        <f>MAX(L$6:L64)-SUM(N$6:N64)</f>
        <v>0</v>
      </c>
      <c r="M65" s="309">
        <f>IF(L65=0,0,IF(N64=0,MAX(M$6:M64),M64-1))</f>
        <v>0</v>
      </c>
      <c r="N65" s="309">
        <f t="shared" si="3"/>
        <v>0</v>
      </c>
      <c r="O65" s="175">
        <f>MAX(O$6:O64)-SUM(Q$6:Q64)</f>
        <v>0</v>
      </c>
      <c r="P65" s="309">
        <f>IF(O65=0,0,IF(Q64=0,MAX(P$6:P64),P64-1))</f>
        <v>0</v>
      </c>
      <c r="Q65" s="309">
        <f t="shared" si="4"/>
        <v>0</v>
      </c>
      <c r="R65" s="175">
        <f>MAX(R$6:R64)-SUM(T$6:T64)</f>
        <v>818167</v>
      </c>
      <c r="S65" s="309">
        <f>IF(R65=0,0,IF(T64=0,MAX(S$6:S64),S64-1))</f>
        <v>3</v>
      </c>
      <c r="T65" s="309">
        <f t="shared" si="5"/>
        <v>272722</v>
      </c>
      <c r="U65" s="175">
        <f>MAX(U$6:U64)-SUM(W$6:W64)</f>
        <v>341250</v>
      </c>
      <c r="V65" s="309">
        <f>IF(U65=0,0,IF(W64=0,MAX(V$6:V64),V64-1))</f>
        <v>3</v>
      </c>
      <c r="W65" s="309">
        <f t="shared" si="6"/>
        <v>113750</v>
      </c>
      <c r="X65" s="175">
        <f>MAX(X$6:X64)-SUM(Z$6:Z64)</f>
        <v>0</v>
      </c>
      <c r="Y65" s="309">
        <f>IF(X65=0,0,IF(Z64=0,MAX(Y$6:Y64),Y64-1))</f>
        <v>0</v>
      </c>
      <c r="Z65" s="309">
        <f t="shared" si="7"/>
        <v>0</v>
      </c>
      <c r="AA65" s="175">
        <f>MAX(AA$6:AA64)-SUM(AC$6:AC64)</f>
        <v>0</v>
      </c>
      <c r="AB65" s="309">
        <f>IF(AA65=0,0,IF(AC64=0,MAX(AB$6:AB64),AB64-1))</f>
        <v>0</v>
      </c>
      <c r="AC65" s="309">
        <f t="shared" si="8"/>
        <v>0</v>
      </c>
      <c r="AD65" s="175">
        <f>MAX(AD$6:AD64)-SUM(AF$6:AF64)</f>
        <v>0</v>
      </c>
      <c r="AE65" s="309">
        <f>IF(AD65=0,0,IF(AF64=0,MAX(AE$6:AE64),AE64-1))</f>
        <v>0</v>
      </c>
      <c r="AF65" s="309">
        <f t="shared" si="9"/>
        <v>0</v>
      </c>
      <c r="AG65" s="175">
        <f>MAX(AG$6:AG64)-SUM(AI$6:AI64)</f>
        <v>0</v>
      </c>
      <c r="AH65" s="309">
        <f>IF(AG65=0,0,IF(AI64=0,MAX(AH$6:AH64),AH64-1))</f>
        <v>0</v>
      </c>
      <c r="AI65" s="309">
        <f t="shared" si="10"/>
        <v>0</v>
      </c>
      <c r="AJ65" s="175">
        <f>MAX(AJ$6:AJ64)-SUM(AL$6:AL64)</f>
        <v>15995002</v>
      </c>
      <c r="AK65" s="309">
        <f>IF(AJ65=0,0,IF(AL64=0,MAX(AK$6:AK64),AK64-1))</f>
        <v>15</v>
      </c>
      <c r="AL65" s="309">
        <f t="shared" si="11"/>
        <v>1066333</v>
      </c>
      <c r="AM65" s="175">
        <f>MAX(AM$6:AM64)-SUM(AO$6:AO64)</f>
        <v>7731751</v>
      </c>
      <c r="AN65" s="309">
        <f>IF(AM65=0,0,IF(AO64=0,MAX(AN$6:AN64),AN64-1))</f>
        <v>27</v>
      </c>
      <c r="AO65" s="309">
        <f t="shared" si="12"/>
        <v>286361</v>
      </c>
      <c r="AP65" s="175">
        <f>MAX(AP$6:AP64)-SUM(AR$6:AR64)</f>
        <v>3225001</v>
      </c>
      <c r="AQ65" s="309">
        <f>IF(AP65=0,0,IF(AR64=0,MAX(AQ$6:AQ64),AQ64-1))</f>
        <v>27</v>
      </c>
      <c r="AR65" s="309">
        <f t="shared" si="13"/>
        <v>119444</v>
      </c>
      <c r="AS65" s="175">
        <f>MAX(AS$6:AS64)-SUM(AU$6:AU64)</f>
        <v>1098000</v>
      </c>
      <c r="AT65" s="309">
        <f>IF(AS65=0,0,IF(AU64=0,MAX(AT$6:AT64),AT64-1))</f>
        <v>3</v>
      </c>
      <c r="AU65" s="309">
        <f t="shared" si="14"/>
        <v>366000</v>
      </c>
      <c r="AV65" s="175">
        <f>MAX(AV$6:AV64)-SUM(AX$6:AX64)</f>
        <v>6588751</v>
      </c>
      <c r="AW65" s="309">
        <f>IF(AV65=0,0,IF(AX64=0,MAX(AW$6:AW64),AW64-1))</f>
        <v>9</v>
      </c>
      <c r="AX65" s="309">
        <f t="shared" si="15"/>
        <v>732083</v>
      </c>
      <c r="AY65" s="175">
        <v>0</v>
      </c>
      <c r="AZ65" s="309">
        <f>IF(AY65=0,0,IF(BA64=0,MAX(AZ$6:AZ64),AZ64-1))</f>
        <v>0</v>
      </c>
      <c r="BA65" s="309">
        <f t="shared" si="16"/>
        <v>0</v>
      </c>
      <c r="BB65" s="309">
        <f t="shared" si="19"/>
        <v>2956693</v>
      </c>
      <c r="BC65" s="309">
        <f t="shared" si="20"/>
        <v>35797922</v>
      </c>
      <c r="BD65" s="309">
        <f t="shared" si="21"/>
        <v>2956693</v>
      </c>
      <c r="BE65" s="309">
        <f t="shared" si="22"/>
        <v>32841229</v>
      </c>
      <c r="BF65" s="309">
        <f>MAX(C$6:C65)+MAX(F$6:F65)+MAX(I$6:I65)+MAX(L$6:L65)+MAX(O$6:O65)+MAX(R$6:R65)+MAX(U$6:U65)+MAX(X$6:X65)+MAX(AA$6:AA65)+MAX(AD$6:AD65)+MAX(AG$6:AG65)+MAX(AJ$6:AJ65)+MAX(AM$6:AM65)+MAX(AP$6:AP65)+MAX(AS$6:AS65)+MAX(AV$6:AV65)+MAX(AY$6:AY65)</f>
        <v>135325000</v>
      </c>
      <c r="BG65" s="309">
        <f>SUM(E$6:E65)+SUM(H$6:H65)+SUM(K$6:K65)+SUM(N$6:N65)+SUM(Q$6:Q65)+SUM(T$6:T65)+SUM(W$6:W65)+SUM(Z$6:Z65)+SUM(AC$6:AC65)+SUM(AF$6:AF65)+SUM(AI$6:AI65)+SUM(AL$6:AL65)+SUM(AO$6:AO65)+SUM(AR$6:AR65)+SUM(AU$6:AU65)+SUM(AX$6:AX65)+SUM(BA$6:BA65)</f>
        <v>102483771</v>
      </c>
      <c r="BH65" s="309">
        <f t="shared" si="23"/>
        <v>32841229</v>
      </c>
      <c r="BI65" s="309">
        <f t="shared" si="24"/>
        <v>0</v>
      </c>
      <c r="BJ65" s="309">
        <f>MAX(I$6:I65)+MAX(O$6:O65)+MAX(R$6:R65)+MAX(U$6:U65)+MAX(AJ$6:AJ65)+MAX(AM$6:AM65)</f>
        <v>73079000</v>
      </c>
      <c r="BK65" s="309">
        <f>SUM(K$6:K65)+SUM(Q$6:Q65)+SUM(T$6:T65)+SUM(W$6:W65)+SUM(AL$6:AL65)+SUM(AO$6:AO65)</f>
        <v>49931996</v>
      </c>
      <c r="BL65" s="309">
        <f t="shared" si="25"/>
        <v>23147004</v>
      </c>
      <c r="BM65" s="309">
        <f>MAX(C$6:C65)+MAX(F$6:F65)+MAX(L$6:L65)+MAX(X$6:X65)+MAX(AA$6:AA65)+MAX(AD$6:AD65)+MAX(AG$6:AG65)+MAX(AP$6:AP65)+MAX(AS$6:AS65)+MAX(AV$6:AV65)+MAX(AY$6:AY65)</f>
        <v>62246000</v>
      </c>
      <c r="BN65" s="309">
        <f>SUM(E$6:E65)+SUM(H$6:H65)+SUM(N$6:N65)+SUM(Z$6:Z65)+SUM(AC$6:AC65)+SUM(AF$6:AF65)+SUM(AI$6:AI65)+SUM(AR$6:AR65)+SUM(AU$6:AU65)+SUM(AX$6:AX65)+SUM(BA$6:BA65)</f>
        <v>52551775</v>
      </c>
      <c r="BO65" s="309">
        <f t="shared" si="26"/>
        <v>9694225</v>
      </c>
      <c r="BP65" s="309">
        <f t="shared" si="27"/>
        <v>135325000</v>
      </c>
      <c r="BQ65" s="309">
        <f t="shared" si="27"/>
        <v>102483771</v>
      </c>
      <c r="BR65" s="309">
        <f t="shared" si="28"/>
        <v>32841229</v>
      </c>
      <c r="BS65" s="309">
        <f t="shared" si="29"/>
        <v>0</v>
      </c>
      <c r="BT65" s="309">
        <f t="shared" si="29"/>
        <v>0</v>
      </c>
      <c r="BU65" s="309">
        <f t="shared" si="30"/>
        <v>0</v>
      </c>
    </row>
    <row r="66" spans="1:73" x14ac:dyDescent="0.35">
      <c r="A66" s="18">
        <v>59</v>
      </c>
      <c r="B66" s="184">
        <v>43799</v>
      </c>
      <c r="C66" s="175">
        <f>MAX(C$6:C65)-SUM(E$6:E65)</f>
        <v>0</v>
      </c>
      <c r="D66" s="309">
        <f>IF(C66=0,0,IF(E65=0,MAX(D$6:D65),D65-1))</f>
        <v>0</v>
      </c>
      <c r="E66" s="309">
        <f t="shared" si="0"/>
        <v>0</v>
      </c>
      <c r="F66" s="175">
        <f>MAX(F$6:F65)-SUM(H$6:H65)</f>
        <v>0</v>
      </c>
      <c r="G66" s="309">
        <f>IF(F66=0,0,IF(H65=0,MAX(G$6:G65),G65-1))</f>
        <v>0</v>
      </c>
      <c r="H66" s="309">
        <f t="shared" si="1"/>
        <v>0</v>
      </c>
      <c r="I66" s="175">
        <f>MAX(I$6:I65)-SUM(K$6:K65)</f>
        <v>0</v>
      </c>
      <c r="J66" s="309">
        <f>IF(I66=0,0,IF(K65=0,MAX(J$6:J65),J65-1))</f>
        <v>0</v>
      </c>
      <c r="K66" s="309">
        <f t="shared" si="2"/>
        <v>0</v>
      </c>
      <c r="L66" s="175">
        <f>MAX(L$6:L65)-SUM(N$6:N65)</f>
        <v>0</v>
      </c>
      <c r="M66" s="309">
        <f>IF(L66=0,0,IF(N65=0,MAX(M$6:M65),M65-1))</f>
        <v>0</v>
      </c>
      <c r="N66" s="309">
        <f t="shared" si="3"/>
        <v>0</v>
      </c>
      <c r="O66" s="175">
        <f>MAX(O$6:O65)-SUM(Q$6:Q65)</f>
        <v>0</v>
      </c>
      <c r="P66" s="309">
        <f>IF(O66=0,0,IF(Q65=0,MAX(P$6:P65),P65-1))</f>
        <v>0</v>
      </c>
      <c r="Q66" s="309">
        <f t="shared" si="4"/>
        <v>0</v>
      </c>
      <c r="R66" s="175">
        <f>MAX(R$6:R65)-SUM(T$6:T65)</f>
        <v>545445</v>
      </c>
      <c r="S66" s="309">
        <f>IF(R66=0,0,IF(T65=0,MAX(S$6:S65),S65-1))</f>
        <v>2</v>
      </c>
      <c r="T66" s="309">
        <f t="shared" si="5"/>
        <v>272723</v>
      </c>
      <c r="U66" s="175">
        <f>MAX(U$6:U65)-SUM(W$6:W65)</f>
        <v>227500</v>
      </c>
      <c r="V66" s="309">
        <f>IF(U66=0,0,IF(W65=0,MAX(V$6:V65),V65-1))</f>
        <v>2</v>
      </c>
      <c r="W66" s="309">
        <f t="shared" si="6"/>
        <v>113750</v>
      </c>
      <c r="X66" s="175">
        <f>MAX(X$6:X65)-SUM(Z$6:Z65)</f>
        <v>0</v>
      </c>
      <c r="Y66" s="309">
        <f>IF(X66=0,0,IF(Z65=0,MAX(Y$6:Y65),Y65-1))</f>
        <v>0</v>
      </c>
      <c r="Z66" s="309">
        <f t="shared" si="7"/>
        <v>0</v>
      </c>
      <c r="AA66" s="175">
        <f>MAX(AA$6:AA65)-SUM(AC$6:AC65)</f>
        <v>0</v>
      </c>
      <c r="AB66" s="309">
        <f>IF(AA66=0,0,IF(AC65=0,MAX(AB$6:AB65),AB65-1))</f>
        <v>0</v>
      </c>
      <c r="AC66" s="309">
        <f t="shared" si="8"/>
        <v>0</v>
      </c>
      <c r="AD66" s="175">
        <f>MAX(AD$6:AD65)-SUM(AF$6:AF65)</f>
        <v>0</v>
      </c>
      <c r="AE66" s="309">
        <f>IF(AD66=0,0,IF(AF65=0,MAX(AE$6:AE65),AE65-1))</f>
        <v>0</v>
      </c>
      <c r="AF66" s="309">
        <f t="shared" si="9"/>
        <v>0</v>
      </c>
      <c r="AG66" s="175">
        <f>MAX(AG$6:AG65)-SUM(AI$6:AI65)</f>
        <v>0</v>
      </c>
      <c r="AH66" s="309">
        <f>IF(AG66=0,0,IF(AI65=0,MAX(AH$6:AH65),AH65-1))</f>
        <v>0</v>
      </c>
      <c r="AI66" s="309">
        <f t="shared" si="10"/>
        <v>0</v>
      </c>
      <c r="AJ66" s="175">
        <f>MAX(AJ$6:AJ65)-SUM(AL$6:AL65)</f>
        <v>14928669</v>
      </c>
      <c r="AK66" s="309">
        <f>IF(AJ66=0,0,IF(AL65=0,MAX(AK$6:AK65),AK65-1))</f>
        <v>14</v>
      </c>
      <c r="AL66" s="309">
        <f t="shared" si="11"/>
        <v>1066334</v>
      </c>
      <c r="AM66" s="175">
        <f>MAX(AM$6:AM65)-SUM(AO$6:AO65)</f>
        <v>7445390</v>
      </c>
      <c r="AN66" s="309">
        <f>IF(AM66=0,0,IF(AO65=0,MAX(AN$6:AN65),AN65-1))</f>
        <v>26</v>
      </c>
      <c r="AO66" s="309">
        <f t="shared" si="12"/>
        <v>286361</v>
      </c>
      <c r="AP66" s="175">
        <f>MAX(AP$6:AP65)-SUM(AR$6:AR65)</f>
        <v>3105557</v>
      </c>
      <c r="AQ66" s="309">
        <f>IF(AP66=0,0,IF(AR65=0,MAX(AQ$6:AQ65),AQ65-1))</f>
        <v>26</v>
      </c>
      <c r="AR66" s="309">
        <f t="shared" si="13"/>
        <v>119445</v>
      </c>
      <c r="AS66" s="175">
        <f>MAX(AS$6:AS65)-SUM(AU$6:AU65)</f>
        <v>732000</v>
      </c>
      <c r="AT66" s="309">
        <f>IF(AS66=0,0,IF(AU65=0,MAX(AT$6:AT65),AT65-1))</f>
        <v>2</v>
      </c>
      <c r="AU66" s="309">
        <f t="shared" si="14"/>
        <v>366000</v>
      </c>
      <c r="AV66" s="175">
        <f>MAX(AV$6:AV65)-SUM(AX$6:AX65)</f>
        <v>5856668</v>
      </c>
      <c r="AW66" s="309">
        <f>IF(AV66=0,0,IF(AX65=0,MAX(AW$6:AW65),AW65-1))</f>
        <v>8</v>
      </c>
      <c r="AX66" s="309">
        <f t="shared" si="15"/>
        <v>732084</v>
      </c>
      <c r="AY66" s="175">
        <v>0</v>
      </c>
      <c r="AZ66" s="309">
        <f>IF(AY66=0,0,IF(BA65=0,MAX(AZ$6:AZ65),AZ65-1))</f>
        <v>0</v>
      </c>
      <c r="BA66" s="309">
        <f t="shared" si="16"/>
        <v>0</v>
      </c>
      <c r="BB66" s="309">
        <f t="shared" si="19"/>
        <v>2956697</v>
      </c>
      <c r="BC66" s="309">
        <f t="shared" si="20"/>
        <v>32841229</v>
      </c>
      <c r="BD66" s="309">
        <f t="shared" si="21"/>
        <v>2956697</v>
      </c>
      <c r="BE66" s="309">
        <f t="shared" si="22"/>
        <v>29884532</v>
      </c>
      <c r="BF66" s="309">
        <f>MAX(C$6:C66)+MAX(F$6:F66)+MAX(I$6:I66)+MAX(L$6:L66)+MAX(O$6:O66)+MAX(R$6:R66)+MAX(U$6:U66)+MAX(X$6:X66)+MAX(AA$6:AA66)+MAX(AD$6:AD66)+MAX(AG$6:AG66)+MAX(AJ$6:AJ66)+MAX(AM$6:AM66)+MAX(AP$6:AP66)+MAX(AS$6:AS66)+MAX(AV$6:AV66)+MAX(AY$6:AY66)</f>
        <v>135325000</v>
      </c>
      <c r="BG66" s="309">
        <f>SUM(E$6:E66)+SUM(H$6:H66)+SUM(K$6:K66)+SUM(N$6:N66)+SUM(Q$6:Q66)+SUM(T$6:T66)+SUM(W$6:W66)+SUM(Z$6:Z66)+SUM(AC$6:AC66)+SUM(AF$6:AF66)+SUM(AI$6:AI66)+SUM(AL$6:AL66)+SUM(AO$6:AO66)+SUM(AR$6:AR66)+SUM(AU$6:AU66)+SUM(AX$6:AX66)+SUM(BA$6:BA66)</f>
        <v>105440468</v>
      </c>
      <c r="BH66" s="309">
        <f t="shared" si="23"/>
        <v>29884532</v>
      </c>
      <c r="BI66" s="309">
        <f t="shared" si="24"/>
        <v>0</v>
      </c>
      <c r="BJ66" s="309">
        <f>MAX(I$6:I66)+MAX(O$6:O66)+MAX(R$6:R66)+MAX(U$6:U66)+MAX(AJ$6:AJ66)+MAX(AM$6:AM66)</f>
        <v>73079000</v>
      </c>
      <c r="BK66" s="309">
        <f>SUM(K$6:K66)+SUM(Q$6:Q66)+SUM(T$6:T66)+SUM(W$6:W66)+SUM(AL$6:AL66)+SUM(AO$6:AO66)</f>
        <v>51671164</v>
      </c>
      <c r="BL66" s="309">
        <f t="shared" si="25"/>
        <v>21407836</v>
      </c>
      <c r="BM66" s="309">
        <f>MAX(C$6:C66)+MAX(F$6:F66)+MAX(L$6:L66)+MAX(X$6:X66)+MAX(AA$6:AA66)+MAX(AD$6:AD66)+MAX(AG$6:AG66)+MAX(AP$6:AP66)+MAX(AS$6:AS66)+MAX(AV$6:AV66)+MAX(AY$6:AY66)</f>
        <v>62246000</v>
      </c>
      <c r="BN66" s="309">
        <f>SUM(E$6:E66)+SUM(H$6:H66)+SUM(N$6:N66)+SUM(Z$6:Z66)+SUM(AC$6:AC66)+SUM(AF$6:AF66)+SUM(AI$6:AI66)+SUM(AR$6:AR66)+SUM(AU$6:AU66)+SUM(AX$6:AX66)+SUM(BA$6:BA66)</f>
        <v>53769304</v>
      </c>
      <c r="BO66" s="309">
        <f t="shared" si="26"/>
        <v>8476696</v>
      </c>
      <c r="BP66" s="309">
        <f t="shared" si="27"/>
        <v>135325000</v>
      </c>
      <c r="BQ66" s="309">
        <f t="shared" si="27"/>
        <v>105440468</v>
      </c>
      <c r="BR66" s="309">
        <f t="shared" si="28"/>
        <v>29884532</v>
      </c>
      <c r="BS66" s="309">
        <f t="shared" si="29"/>
        <v>0</v>
      </c>
      <c r="BT66" s="309">
        <f t="shared" si="29"/>
        <v>0</v>
      </c>
      <c r="BU66" s="309">
        <f t="shared" si="30"/>
        <v>0</v>
      </c>
    </row>
    <row r="67" spans="1:73" x14ac:dyDescent="0.35">
      <c r="A67" s="18">
        <v>60</v>
      </c>
      <c r="B67" s="184">
        <v>43830</v>
      </c>
      <c r="C67" s="175">
        <f>MAX(C$6:C66)-SUM(E$6:E66)</f>
        <v>0</v>
      </c>
      <c r="D67" s="309">
        <f>IF(C67=0,0,IF(E66=0,MAX(D$6:D66),D66-1))</f>
        <v>0</v>
      </c>
      <c r="E67" s="309">
        <f t="shared" si="0"/>
        <v>0</v>
      </c>
      <c r="F67" s="175">
        <f>MAX(F$6:F66)-SUM(H$6:H66)</f>
        <v>0</v>
      </c>
      <c r="G67" s="309">
        <f>IF(F67=0,0,IF(H66=0,MAX(G$6:G66),G66-1))</f>
        <v>0</v>
      </c>
      <c r="H67" s="309">
        <f t="shared" si="1"/>
        <v>0</v>
      </c>
      <c r="I67" s="175">
        <f>MAX(I$6:I66)-SUM(K$6:K66)</f>
        <v>0</v>
      </c>
      <c r="J67" s="309">
        <f>IF(I67=0,0,IF(K66=0,MAX(J$6:J66),J66-1))</f>
        <v>0</v>
      </c>
      <c r="K67" s="309">
        <f t="shared" si="2"/>
        <v>0</v>
      </c>
      <c r="L67" s="175">
        <f>MAX(L$6:L66)-SUM(N$6:N66)</f>
        <v>0</v>
      </c>
      <c r="M67" s="309">
        <f>IF(L67=0,0,IF(N66=0,MAX(M$6:M66),M66-1))</f>
        <v>0</v>
      </c>
      <c r="N67" s="309">
        <f t="shared" si="3"/>
        <v>0</v>
      </c>
      <c r="O67" s="175">
        <f>MAX(O$6:O66)-SUM(Q$6:Q66)</f>
        <v>0</v>
      </c>
      <c r="P67" s="309">
        <f>IF(O67=0,0,IF(Q66=0,MAX(P$6:P66),P66-1))</f>
        <v>0</v>
      </c>
      <c r="Q67" s="309">
        <f t="shared" si="4"/>
        <v>0</v>
      </c>
      <c r="R67" s="175">
        <f>MAX(R$6:R66)-SUM(T$6:T66)</f>
        <v>272722</v>
      </c>
      <c r="S67" s="309">
        <f>IF(R67=0,0,IF(T66=0,MAX(S$6:S66),S66-1))</f>
        <v>1</v>
      </c>
      <c r="T67" s="309">
        <f t="shared" si="5"/>
        <v>272722</v>
      </c>
      <c r="U67" s="175">
        <f>MAX(U$6:U66)-SUM(W$6:W66)</f>
        <v>113750</v>
      </c>
      <c r="V67" s="309">
        <f>IF(U67=0,0,IF(W66=0,MAX(V$6:V66),V66-1))</f>
        <v>1</v>
      </c>
      <c r="W67" s="309">
        <f t="shared" si="6"/>
        <v>113750</v>
      </c>
      <c r="X67" s="175">
        <f>MAX(X$6:X66)-SUM(Z$6:Z66)</f>
        <v>0</v>
      </c>
      <c r="Y67" s="309">
        <f>IF(X67=0,0,IF(Z66=0,MAX(Y$6:Y66),Y66-1))</f>
        <v>0</v>
      </c>
      <c r="Z67" s="309">
        <f t="shared" si="7"/>
        <v>0</v>
      </c>
      <c r="AA67" s="175">
        <f>MAX(AA$6:AA66)-SUM(AC$6:AC66)</f>
        <v>0</v>
      </c>
      <c r="AB67" s="309">
        <f>IF(AA67=0,0,IF(AC66=0,MAX(AB$6:AB66),AB66-1))</f>
        <v>0</v>
      </c>
      <c r="AC67" s="309">
        <f t="shared" si="8"/>
        <v>0</v>
      </c>
      <c r="AD67" s="175">
        <f>MAX(AD$6:AD66)-SUM(AF$6:AF66)</f>
        <v>0</v>
      </c>
      <c r="AE67" s="309">
        <f>IF(AD67=0,0,IF(AF66=0,MAX(AE$6:AE66),AE66-1))</f>
        <v>0</v>
      </c>
      <c r="AF67" s="309">
        <f t="shared" si="9"/>
        <v>0</v>
      </c>
      <c r="AG67" s="175">
        <f>MAX(AG$6:AG66)-SUM(AI$6:AI66)</f>
        <v>0</v>
      </c>
      <c r="AH67" s="309">
        <f>IF(AG67=0,0,IF(AI66=0,MAX(AH$6:AH66),AH66-1))</f>
        <v>0</v>
      </c>
      <c r="AI67" s="309">
        <f t="shared" si="10"/>
        <v>0</v>
      </c>
      <c r="AJ67" s="175">
        <f>MAX(AJ$6:AJ66)-SUM(AL$6:AL66)</f>
        <v>13862335</v>
      </c>
      <c r="AK67" s="309">
        <f>IF(AJ67=0,0,IF(AL66=0,MAX(AK$6:AK66),AK66-1))</f>
        <v>13</v>
      </c>
      <c r="AL67" s="309">
        <f t="shared" si="11"/>
        <v>1066333</v>
      </c>
      <c r="AM67" s="175">
        <f>MAX(AM$6:AM66)-SUM(AO$6:AO66)</f>
        <v>7159029</v>
      </c>
      <c r="AN67" s="309">
        <f>IF(AM67=0,0,IF(AO66=0,MAX(AN$6:AN66),AN66-1))</f>
        <v>25</v>
      </c>
      <c r="AO67" s="309">
        <f t="shared" si="12"/>
        <v>286361</v>
      </c>
      <c r="AP67" s="175">
        <f>MAX(AP$6:AP66)-SUM(AR$6:AR66)</f>
        <v>2986112</v>
      </c>
      <c r="AQ67" s="309">
        <f>IF(AP67=0,0,IF(AR66=0,MAX(AQ$6:AQ66),AQ66-1))</f>
        <v>25</v>
      </c>
      <c r="AR67" s="309">
        <f t="shared" si="13"/>
        <v>119444</v>
      </c>
      <c r="AS67" s="175">
        <f>MAX(AS$6:AS66)-SUM(AU$6:AU66)</f>
        <v>366000</v>
      </c>
      <c r="AT67" s="309">
        <f>IF(AS67=0,0,IF(AU66=0,MAX(AT$6:AT66),AT66-1))</f>
        <v>1</v>
      </c>
      <c r="AU67" s="309">
        <f t="shared" si="14"/>
        <v>366000</v>
      </c>
      <c r="AV67" s="175">
        <f>MAX(AV$6:AV66)-SUM(AX$6:AX66)</f>
        <v>5124584</v>
      </c>
      <c r="AW67" s="309">
        <f>IF(AV67=0,0,IF(AX66=0,MAX(AW$6:AW66),AW66-1))</f>
        <v>7</v>
      </c>
      <c r="AX67" s="309">
        <f t="shared" si="15"/>
        <v>732083</v>
      </c>
      <c r="AY67" s="175">
        <f>'Inv Adic'!M13</f>
        <v>0</v>
      </c>
      <c r="AZ67" s="309">
        <f>IF(AY67=0,0,IF(BA66=0,MAX(AZ$6:AZ66),AZ66-1))</f>
        <v>0</v>
      </c>
      <c r="BA67" s="309">
        <f t="shared" si="16"/>
        <v>0</v>
      </c>
      <c r="BB67" s="309">
        <f t="shared" si="19"/>
        <v>2956693</v>
      </c>
      <c r="BC67" s="309">
        <f t="shared" si="20"/>
        <v>29884532</v>
      </c>
      <c r="BD67" s="309">
        <f t="shared" si="21"/>
        <v>2956693</v>
      </c>
      <c r="BE67" s="309">
        <f t="shared" si="22"/>
        <v>26927839</v>
      </c>
      <c r="BF67" s="309">
        <f>MAX(C$6:C67)+MAX(F$6:F67)+MAX(I$6:I67)+MAX(L$6:L67)+MAX(O$6:O67)+MAX(R$6:R67)+MAX(U$6:U67)+MAX(X$6:X67)+MAX(AA$6:AA67)+MAX(AD$6:AD67)+MAX(AG$6:AG67)+MAX(AJ$6:AJ67)+MAX(AM$6:AM67)+MAX(AP$6:AP67)+MAX(AS$6:AS67)+MAX(AV$6:AV67)+MAX(AY$6:AY67)</f>
        <v>135325000</v>
      </c>
      <c r="BG67" s="309">
        <f>SUM(E$6:E67)+SUM(H$6:H67)+SUM(K$6:K67)+SUM(N$6:N67)+SUM(Q$6:Q67)+SUM(T$6:T67)+SUM(W$6:W67)+SUM(Z$6:Z67)+SUM(AC$6:AC67)+SUM(AF$6:AF67)+SUM(AI$6:AI67)+SUM(AL$6:AL67)+SUM(AO$6:AO67)+SUM(AR$6:AR67)+SUM(AU$6:AU67)+SUM(AX$6:AX67)+SUM(BA$6:BA67)</f>
        <v>108397161</v>
      </c>
      <c r="BH67" s="309">
        <f t="shared" si="23"/>
        <v>26927839</v>
      </c>
      <c r="BI67" s="309">
        <f t="shared" si="24"/>
        <v>0</v>
      </c>
      <c r="BJ67" s="309">
        <f>MAX(I$6:I67)+MAX(O$6:O67)+MAX(R$6:R67)+MAX(U$6:U67)+MAX(AJ$6:AJ67)+MAX(AM$6:AM67)</f>
        <v>73079000</v>
      </c>
      <c r="BK67" s="309">
        <f>SUM(K$6:K67)+SUM(Q$6:Q67)+SUM(T$6:T67)+SUM(W$6:W67)+SUM(AL$6:AL67)+SUM(AO$6:AO67)</f>
        <v>53410330</v>
      </c>
      <c r="BL67" s="309">
        <f t="shared" si="25"/>
        <v>19668670</v>
      </c>
      <c r="BM67" s="309">
        <f>MAX(C$6:C67)+MAX(F$6:F67)+MAX(L$6:L67)+MAX(X$6:X67)+MAX(AA$6:AA67)+MAX(AD$6:AD67)+MAX(AG$6:AG67)+MAX(AP$6:AP67)+MAX(AS$6:AS67)+MAX(AV$6:AV67)+MAX(AY$6:AY67)</f>
        <v>62246000</v>
      </c>
      <c r="BN67" s="309">
        <f>SUM(E$6:E67)+SUM(H$6:H67)+SUM(N$6:N67)+SUM(Z$6:Z67)+SUM(AC$6:AC67)+SUM(AF$6:AF67)+SUM(AI$6:AI67)+SUM(AR$6:AR67)+SUM(AU$6:AU67)+SUM(AX$6:AX67)+SUM(BA$6:BA67)</f>
        <v>54986831</v>
      </c>
      <c r="BO67" s="309">
        <f t="shared" si="26"/>
        <v>7259169</v>
      </c>
      <c r="BP67" s="309">
        <f t="shared" si="27"/>
        <v>135325000</v>
      </c>
      <c r="BQ67" s="309">
        <f t="shared" si="27"/>
        <v>108397161</v>
      </c>
      <c r="BR67" s="309">
        <f t="shared" si="28"/>
        <v>26927839</v>
      </c>
      <c r="BS67" s="309">
        <f t="shared" si="29"/>
        <v>0</v>
      </c>
      <c r="BT67" s="309">
        <f t="shared" si="29"/>
        <v>0</v>
      </c>
      <c r="BU67" s="309">
        <f t="shared" si="30"/>
        <v>0</v>
      </c>
    </row>
    <row r="68" spans="1:73" x14ac:dyDescent="0.35"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</row>
    <row r="69" spans="1:73" x14ac:dyDescent="0.35">
      <c r="B69" s="172"/>
      <c r="E69" s="245">
        <f t="shared" ref="E69" si="31">SUM(E7:E67)</f>
        <v>12000000</v>
      </c>
      <c r="H69" s="245">
        <f t="shared" ref="H69" si="32">SUM(H7:H67)</f>
        <v>3300000</v>
      </c>
      <c r="I69" s="172"/>
      <c r="J69" s="172"/>
      <c r="K69" s="245">
        <f t="shared" ref="K69" si="33">SUM(K7:K67)</f>
        <v>0</v>
      </c>
      <c r="N69" s="245">
        <f t="shared" ref="N69" si="34">SUM(N7:N67)</f>
        <v>6600000</v>
      </c>
      <c r="Q69" s="245">
        <f t="shared" ref="Q69:BB69" si="35">SUM(Q7:Q67)</f>
        <v>23265000</v>
      </c>
      <c r="T69" s="245">
        <f t="shared" si="35"/>
        <v>9818000</v>
      </c>
      <c r="W69" s="245">
        <f t="shared" si="35"/>
        <v>4095000</v>
      </c>
      <c r="Z69" s="245">
        <f t="shared" si="35"/>
        <v>3630000</v>
      </c>
      <c r="AC69" s="245">
        <f t="shared" si="35"/>
        <v>7260000</v>
      </c>
      <c r="AF69" s="245">
        <f t="shared" ref="AF69" si="36">SUM(AF7:AF67)</f>
        <v>3993000</v>
      </c>
      <c r="AI69" s="245">
        <f t="shared" ref="AI69" si="37">SUM(AI7:AI67)</f>
        <v>7986000</v>
      </c>
      <c r="AL69" s="245">
        <f t="shared" ref="AL69" si="38">SUM(AL7:AL67)</f>
        <v>12795998</v>
      </c>
      <c r="AO69" s="245">
        <f t="shared" ref="AO69" si="39">SUM(AO7:AO67)</f>
        <v>3436332</v>
      </c>
      <c r="AR69" s="245">
        <f t="shared" ref="AR69" si="40">SUM(AR7:AR67)</f>
        <v>1433332</v>
      </c>
      <c r="AU69" s="245">
        <f t="shared" ref="AU69" si="41">SUM(AU7:AU67)</f>
        <v>4392000</v>
      </c>
      <c r="AX69" s="245">
        <f t="shared" ref="AX69" si="42">SUM(AX7:AX67)</f>
        <v>4392499</v>
      </c>
      <c r="BA69" s="245">
        <f t="shared" ref="BA69" si="43">SUM(BA7:BA67)</f>
        <v>0</v>
      </c>
      <c r="BB69" s="245">
        <f t="shared" si="35"/>
        <v>108397161</v>
      </c>
      <c r="BC69" s="245">
        <f>BC67</f>
        <v>29884532</v>
      </c>
      <c r="BD69" s="245">
        <f>BD67</f>
        <v>2956693</v>
      </c>
      <c r="BE69" s="329">
        <f t="shared" si="22"/>
        <v>26927839</v>
      </c>
      <c r="BF69" s="245">
        <f>BF67</f>
        <v>135325000</v>
      </c>
      <c r="BG69" s="245">
        <f>BG67</f>
        <v>108397161</v>
      </c>
      <c r="BH69" s="329">
        <f t="shared" ref="BH69" si="44">BF69-BG69</f>
        <v>26927839</v>
      </c>
      <c r="BI69" s="329">
        <f t="shared" si="24"/>
        <v>0</v>
      </c>
      <c r="BJ69" s="245">
        <f>BJ67</f>
        <v>73079000</v>
      </c>
      <c r="BK69" s="245">
        <f>BK67</f>
        <v>53410330</v>
      </c>
      <c r="BL69" s="329">
        <f t="shared" ref="BL69" si="45">BJ69-BK69</f>
        <v>19668670</v>
      </c>
      <c r="BM69" s="245">
        <f>BM67</f>
        <v>62246000</v>
      </c>
      <c r="BN69" s="245">
        <f>BN67</f>
        <v>54986831</v>
      </c>
      <c r="BO69" s="329">
        <f t="shared" ref="BO69" si="46">BM69-BN69</f>
        <v>7259169</v>
      </c>
      <c r="BP69" s="245">
        <f>BP67</f>
        <v>135325000</v>
      </c>
      <c r="BQ69" s="245">
        <f>BQ67</f>
        <v>108397161</v>
      </c>
      <c r="BR69" s="329">
        <f t="shared" ref="BR69" si="47">BP69-BQ69</f>
        <v>26927839</v>
      </c>
      <c r="BS69" s="245">
        <f>BS67</f>
        <v>0</v>
      </c>
      <c r="BT69" s="245">
        <f>BT67</f>
        <v>0</v>
      </c>
      <c r="BU69" s="329">
        <f t="shared" ref="BU69" si="48">BS69-BT69</f>
        <v>0</v>
      </c>
    </row>
    <row r="70" spans="1:73" x14ac:dyDescent="0.35"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</row>
    <row r="71" spans="1:73" x14ac:dyDescent="0.35"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</row>
    <row r="72" spans="1:73" x14ac:dyDescent="0.35"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</row>
    <row r="73" spans="1:73" x14ac:dyDescent="0.35"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</row>
    <row r="74" spans="1:73" x14ac:dyDescent="0.35"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2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</row>
    <row r="75" spans="1:73" x14ac:dyDescent="0.35">
      <c r="B75" s="172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172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</row>
    <row r="76" spans="1:73" x14ac:dyDescent="0.35"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</row>
    <row r="77" spans="1:73" x14ac:dyDescent="0.35"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</row>
    <row r="78" spans="1:73" x14ac:dyDescent="0.35"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</row>
    <row r="79" spans="1:73" x14ac:dyDescent="0.35"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</row>
    <row r="80" spans="1:73" x14ac:dyDescent="0.35"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</row>
    <row r="81" spans="2:53" x14ac:dyDescent="0.35"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</row>
  </sheetData>
  <mergeCells count="41">
    <mergeCell ref="BU4:BU5"/>
    <mergeCell ref="BS3:BU3"/>
    <mergeCell ref="BS4:BS5"/>
    <mergeCell ref="BT4:BT5"/>
    <mergeCell ref="BO4:BO5"/>
    <mergeCell ref="BJ3:BL3"/>
    <mergeCell ref="BM3:BO3"/>
    <mergeCell ref="BP3:BR3"/>
    <mergeCell ref="BP4:BP5"/>
    <mergeCell ref="BQ4:BQ5"/>
    <mergeCell ref="BR4:BR5"/>
    <mergeCell ref="BJ4:BJ5"/>
    <mergeCell ref="BK4:BK5"/>
    <mergeCell ref="BL4:BL5"/>
    <mergeCell ref="BM4:BM5"/>
    <mergeCell ref="BN4:BN5"/>
    <mergeCell ref="AP4:AR4"/>
    <mergeCell ref="AS4:AU4"/>
    <mergeCell ref="BI4:BI5"/>
    <mergeCell ref="BC4:BC5"/>
    <mergeCell ref="BD4:BD5"/>
    <mergeCell ref="BE4:BE5"/>
    <mergeCell ref="BF4:BF5"/>
    <mergeCell ref="BG4:BG5"/>
    <mergeCell ref="BH4:BH5"/>
    <mergeCell ref="AV4:AX4"/>
    <mergeCell ref="AY4:BA4"/>
    <mergeCell ref="BB4:BB5"/>
    <mergeCell ref="AG4:AI4"/>
    <mergeCell ref="AJ4:AL4"/>
    <mergeCell ref="AM4:AO4"/>
    <mergeCell ref="C4:E4"/>
    <mergeCell ref="F4:H4"/>
    <mergeCell ref="I4:K4"/>
    <mergeCell ref="L4:N4"/>
    <mergeCell ref="AD4:AF4"/>
    <mergeCell ref="O4:Q4"/>
    <mergeCell ref="R4:T4"/>
    <mergeCell ref="U4:W4"/>
    <mergeCell ref="X4:Z4"/>
    <mergeCell ref="AA4:AC4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L81"/>
  <sheetViews>
    <sheetView workbookViewId="0">
      <pane xSplit="2" ySplit="6" topLeftCell="C7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3" max="3" width="11.1796875" bestFit="1" customWidth="1"/>
    <col min="4" max="5" width="11.1796875" customWidth="1"/>
    <col min="6" max="6" width="12.36328125" bestFit="1" customWidth="1"/>
    <col min="7" max="9" width="11.1796875" customWidth="1"/>
    <col min="10" max="10" width="4.6328125" customWidth="1"/>
  </cols>
  <sheetData>
    <row r="2" spans="1:12" x14ac:dyDescent="0.35">
      <c r="C2" s="366">
        <v>31</v>
      </c>
      <c r="E2" s="413">
        <v>28</v>
      </c>
    </row>
    <row r="4" spans="1:12" ht="14.5" customHeight="1" x14ac:dyDescent="0.35">
      <c r="A4" s="179" t="s">
        <v>179</v>
      </c>
      <c r="B4" s="180" t="s">
        <v>180</v>
      </c>
      <c r="C4" s="929" t="s">
        <v>585</v>
      </c>
      <c r="D4" s="930"/>
      <c r="E4" s="930"/>
      <c r="F4" s="930"/>
      <c r="G4" s="930"/>
      <c r="H4" s="930"/>
      <c r="I4" s="931"/>
      <c r="K4" s="959" t="s">
        <v>810</v>
      </c>
      <c r="L4" s="960"/>
    </row>
    <row r="5" spans="1:12" ht="29" customHeight="1" x14ac:dyDescent="0.35">
      <c r="A5" s="181"/>
      <c r="B5" s="181"/>
      <c r="C5" s="362" t="s">
        <v>555</v>
      </c>
      <c r="D5" s="362" t="s">
        <v>381</v>
      </c>
      <c r="E5" s="365" t="s">
        <v>551</v>
      </c>
      <c r="F5" s="365" t="s">
        <v>550</v>
      </c>
      <c r="G5" s="362" t="s">
        <v>215</v>
      </c>
      <c r="H5" s="373" t="s">
        <v>586</v>
      </c>
      <c r="I5" s="365" t="s">
        <v>552</v>
      </c>
      <c r="K5" s="959"/>
      <c r="L5" s="960"/>
    </row>
    <row r="6" spans="1:12" x14ac:dyDescent="0.35">
      <c r="A6" s="181"/>
      <c r="B6" s="312"/>
      <c r="C6" s="313"/>
      <c r="D6" s="361"/>
      <c r="E6" s="364"/>
      <c r="F6" s="364"/>
      <c r="G6" s="313"/>
      <c r="H6" s="313"/>
      <c r="I6" s="313"/>
      <c r="J6" s="510"/>
    </row>
    <row r="7" spans="1:12" x14ac:dyDescent="0.35">
      <c r="A7" s="182">
        <v>0</v>
      </c>
      <c r="B7" s="183">
        <v>42004</v>
      </c>
      <c r="C7" s="178">
        <f>IFERROR(VLOOKUP($B6,'Ppto-Mes'!$B$8:$AW$68,C$2,0),0)</f>
        <v>0</v>
      </c>
      <c r="D7" s="309">
        <f>IF(Variables!$B$78=1,IF(C7&gt;Variables!$B$79,ROUNDDOWN(C7,-6)-Variables!$B$79,0),0)</f>
        <v>0</v>
      </c>
      <c r="E7" s="309">
        <v>0</v>
      </c>
      <c r="F7" s="309">
        <f>F6+D7-E7</f>
        <v>0</v>
      </c>
      <c r="G7" s="236">
        <f>VLOOKUP($B7,DTF!$B$9:$D$69,IF(Variables!$B$73=1,3,2),0)</f>
        <v>4.4999999999999998E-2</v>
      </c>
      <c r="H7" s="383">
        <f>((1+G7)^(1/12))-1</f>
        <v>3.6748094004368514E-3</v>
      </c>
      <c r="I7" s="309">
        <f>ROUND(F7*H7,0)</f>
        <v>0</v>
      </c>
      <c r="J7" s="511"/>
      <c r="K7" s="175">
        <f>'Financ 3'!P15</f>
        <v>0</v>
      </c>
      <c r="L7" s="175" t="str">
        <f>IF(K7&gt;0,IF(F7&gt;0,"Malo",""),"")</f>
        <v/>
      </c>
    </row>
    <row r="8" spans="1:12" x14ac:dyDescent="0.35">
      <c r="A8" s="18">
        <v>1</v>
      </c>
      <c r="B8" s="184">
        <v>42035</v>
      </c>
      <c r="C8" s="178">
        <f>IFERROR(VLOOKUP($B7,'Ppto-Mes'!$B$8:$AW$68,C$2,0),0)</f>
        <v>97000000</v>
      </c>
      <c r="D8" s="309">
        <f>IF(Variables!$B$78=1,IF(C8&gt;Variables!$B$79,ROUNDDOWN(C8,-6)-Variables!$B$79,0),0)</f>
        <v>92000000</v>
      </c>
      <c r="E8" s="309">
        <f>IF(IFERROR(VLOOKUP($B8,'Ppto-Mes'!$B$8:$AW$68,E$2,0),0)&gt;=0,0,IF(-ROUNDDOWN(IFERROR(VLOOKUP($B8,'Ppto-Mes'!$B$8:$AW$68,E$2,0),0),-6)&gt;=D8+F7,D8+F7,-ROUNDUP(IFERROR(VLOOKUP($B8,'Ppto-Mes'!$B$8:$AW$68,E$2,0),0),-6)))</f>
        <v>92000000</v>
      </c>
      <c r="F8" s="309">
        <f t="shared" ref="F8:F67" si="0">F7+D8-E8</f>
        <v>0</v>
      </c>
      <c r="G8" s="236">
        <f>VLOOKUP($B8,DTF!$B$9:$D$69,IF(Variables!$B$73=1,3,2),0)</f>
        <v>4.7500000000000001E-2</v>
      </c>
      <c r="H8" s="383">
        <f t="shared" ref="H8:H67" si="1">((1+G8)^(1/12))-1</f>
        <v>3.8746849921291737E-3</v>
      </c>
      <c r="I8" s="309">
        <f>ROUND((F7+D8)*H8,0)</f>
        <v>356471</v>
      </c>
      <c r="J8" s="511"/>
      <c r="K8" s="175">
        <f>'Financ 3'!P16</f>
        <v>2000000</v>
      </c>
      <c r="L8" s="175" t="str">
        <f t="shared" ref="L8:L67" si="2">IF(K8&gt;0,IF(F8&gt;0,"Malo",""),"")</f>
        <v/>
      </c>
    </row>
    <row r="9" spans="1:12" x14ac:dyDescent="0.35">
      <c r="A9" s="18">
        <v>2</v>
      </c>
      <c r="B9" s="184">
        <v>42063</v>
      </c>
      <c r="C9" s="178">
        <f>IFERROR(VLOOKUP($B8,'Ppto-Mes'!$B$8:$AW$68,C$2,0),0)</f>
        <v>788795.96004998684</v>
      </c>
      <c r="D9" s="309">
        <f>IF(Variables!$B$78=1,IF(C9&gt;Variables!$B$79,ROUNDDOWN(C9,-6)-Variables!$B$79,0),0)</f>
        <v>0</v>
      </c>
      <c r="E9" s="309">
        <f>IF(IFERROR(VLOOKUP($B9,'Ppto-Mes'!$B$8:$AW$68,E$2,0),0)&gt;=0,0,IF(-ROUNDDOWN(IFERROR(VLOOKUP($B9,'Ppto-Mes'!$B$8:$AW$68,E$2,0),0),-6)&gt;=D9+F8,D9+F8,-ROUNDUP(IFERROR(VLOOKUP($B9,'Ppto-Mes'!$B$8:$AW$68,E$2,0),0),-6)))</f>
        <v>0</v>
      </c>
      <c r="F9" s="309">
        <f t="shared" si="0"/>
        <v>0</v>
      </c>
      <c r="G9" s="236">
        <f>VLOOKUP($B9,DTF!$B$9:$D$69,IF(Variables!$B$73=1,3,2),0)</f>
        <v>4.7500000000000001E-2</v>
      </c>
      <c r="H9" s="383">
        <f t="shared" si="1"/>
        <v>3.8746849921291737E-3</v>
      </c>
      <c r="I9" s="309">
        <f t="shared" ref="I9:I67" si="3">ROUND((F8+D9)*H9,0)</f>
        <v>0</v>
      </c>
      <c r="J9" s="511"/>
      <c r="K9" s="175">
        <f>'Financ 3'!P17</f>
        <v>0</v>
      </c>
      <c r="L9" s="175" t="str">
        <f t="shared" si="2"/>
        <v/>
      </c>
    </row>
    <row r="10" spans="1:12" x14ac:dyDescent="0.35">
      <c r="A10" s="18">
        <v>3</v>
      </c>
      <c r="B10" s="184">
        <v>42094</v>
      </c>
      <c r="C10" s="178">
        <f>IFERROR(VLOOKUP($B9,'Ppto-Mes'!$B$8:$AW$68,C$2,0),0)</f>
        <v>4682209.9200999737</v>
      </c>
      <c r="D10" s="309">
        <f>IF(Variables!$B$78=1,IF(C10&gt;Variables!$B$79,ROUNDDOWN(C10,-6)-Variables!$B$79,0),0)</f>
        <v>0</v>
      </c>
      <c r="E10" s="309">
        <f>IF(IFERROR(VLOOKUP($B10,'Ppto-Mes'!$B$8:$AW$68,E$2,0),0)&gt;=0,0,IF(-ROUNDDOWN(IFERROR(VLOOKUP($B10,'Ppto-Mes'!$B$8:$AW$68,E$2,0),0),-6)&gt;=D10+F9,D10+F9,-ROUNDUP(IFERROR(VLOOKUP($B10,'Ppto-Mes'!$B$8:$AW$68,E$2,0),0),-6)))</f>
        <v>0</v>
      </c>
      <c r="F10" s="309">
        <f t="shared" si="0"/>
        <v>0</v>
      </c>
      <c r="G10" s="236">
        <f>VLOOKUP($B10,DTF!$B$9:$D$69,IF(Variables!$B$73=1,3,2),0)</f>
        <v>4.7500000000000001E-2</v>
      </c>
      <c r="H10" s="383">
        <f t="shared" si="1"/>
        <v>3.8746849921291737E-3</v>
      </c>
      <c r="I10" s="309">
        <f t="shared" si="3"/>
        <v>0</v>
      </c>
      <c r="J10" s="511"/>
      <c r="K10" s="175">
        <f>'Financ 3'!P18</f>
        <v>0</v>
      </c>
      <c r="L10" s="175" t="str">
        <f t="shared" si="2"/>
        <v/>
      </c>
    </row>
    <row r="11" spans="1:12" x14ac:dyDescent="0.35">
      <c r="A11" s="18">
        <v>4</v>
      </c>
      <c r="B11" s="184">
        <v>42124</v>
      </c>
      <c r="C11" s="178">
        <f>IFERROR(VLOOKUP($B10,'Ppto-Mes'!$B$8:$AW$68,C$2,0),0)</f>
        <v>10597534.880149961</v>
      </c>
      <c r="D11" s="309">
        <f>IF(Variables!$B$78=1,IF(C11&gt;Variables!$B$79,ROUNDDOWN(C11,-6)-Variables!$B$79,0),0)</f>
        <v>5000000</v>
      </c>
      <c r="E11" s="309">
        <f>IF(IFERROR(VLOOKUP($B11,'Ppto-Mes'!$B$8:$AW$68,E$2,0),0)&gt;=0,0,IF(-ROUNDDOWN(IFERROR(VLOOKUP($B11,'Ppto-Mes'!$B$8:$AW$68,E$2,0),0),-6)&gt;=D11+F10,D11+F10,-ROUNDUP(IFERROR(VLOOKUP($B11,'Ppto-Mes'!$B$8:$AW$68,E$2,0),0),-6)))</f>
        <v>0</v>
      </c>
      <c r="F11" s="309">
        <f t="shared" si="0"/>
        <v>5000000</v>
      </c>
      <c r="G11" s="236">
        <f>VLOOKUP($B11,DTF!$B$9:$D$69,IF(Variables!$B$73=1,3,2),0)</f>
        <v>0.05</v>
      </c>
      <c r="H11" s="383">
        <f t="shared" si="1"/>
        <v>4.0741237836483535E-3</v>
      </c>
      <c r="I11" s="309">
        <f t="shared" si="3"/>
        <v>20371</v>
      </c>
      <c r="J11" s="511"/>
      <c r="K11" s="175">
        <f>'Financ 3'!P19</f>
        <v>0</v>
      </c>
      <c r="L11" s="175" t="str">
        <f t="shared" si="2"/>
        <v/>
      </c>
    </row>
    <row r="12" spans="1:12" x14ac:dyDescent="0.35">
      <c r="A12" s="18">
        <v>5</v>
      </c>
      <c r="B12" s="184">
        <v>42155</v>
      </c>
      <c r="C12" s="178">
        <f>IFERROR(VLOOKUP($B11,'Ppto-Mes'!$B$8:$AW$68,C$2,0),0)</f>
        <v>11489687.840199947</v>
      </c>
      <c r="D12" s="309">
        <f>IF(Variables!$B$78=1,IF(C12&gt;Variables!$B$79,ROUNDDOWN(C12,-6)-Variables!$B$79,0),0)</f>
        <v>6000000</v>
      </c>
      <c r="E12" s="309">
        <f>IF(IFERROR(VLOOKUP($B12,'Ppto-Mes'!$B$8:$AW$68,E$2,0),0)&gt;=0,0,IF(-ROUNDDOWN(IFERROR(VLOOKUP($B12,'Ppto-Mes'!$B$8:$AW$68,E$2,0),0),-6)&gt;=D12+F11,D12+F11,-ROUNDUP(IFERROR(VLOOKUP($B12,'Ppto-Mes'!$B$8:$AW$68,E$2,0),0),-6)))</f>
        <v>0</v>
      </c>
      <c r="F12" s="309">
        <f t="shared" si="0"/>
        <v>11000000</v>
      </c>
      <c r="G12" s="236">
        <f>VLOOKUP($B12,DTF!$B$9:$D$69,IF(Variables!$B$73=1,3,2),0)</f>
        <v>0.05</v>
      </c>
      <c r="H12" s="383">
        <f t="shared" si="1"/>
        <v>4.0741237836483535E-3</v>
      </c>
      <c r="I12" s="309">
        <f t="shared" si="3"/>
        <v>44815</v>
      </c>
      <c r="J12" s="511"/>
      <c r="K12" s="175">
        <f>'Financ 3'!P20</f>
        <v>0</v>
      </c>
      <c r="L12" s="175" t="str">
        <f t="shared" si="2"/>
        <v/>
      </c>
    </row>
    <row r="13" spans="1:12" x14ac:dyDescent="0.35">
      <c r="A13" s="18">
        <v>6</v>
      </c>
      <c r="B13" s="184">
        <v>42185</v>
      </c>
      <c r="C13" s="178">
        <f>IFERROR(VLOOKUP($B12,'Ppto-Mes'!$B$8:$AW$68,C$2,0),0)</f>
        <v>8406284.8002499342</v>
      </c>
      <c r="D13" s="309">
        <f>IF(Variables!$B$78=1,IF(C13&gt;Variables!$B$79,ROUNDDOWN(C13,-6)-Variables!$B$79,0),0)</f>
        <v>3000000</v>
      </c>
      <c r="E13" s="309">
        <f>IF(IFERROR(VLOOKUP($B13,'Ppto-Mes'!$B$8:$AW$68,E$2,0),0)&gt;=0,0,IF(-ROUNDDOWN(IFERROR(VLOOKUP($B13,'Ppto-Mes'!$B$8:$AW$68,E$2,0),0),-6)&gt;=D13+F12,D13+F12,-ROUNDUP(IFERROR(VLOOKUP($B13,'Ppto-Mes'!$B$8:$AW$68,E$2,0),0),-6)))</f>
        <v>1000000</v>
      </c>
      <c r="F13" s="309">
        <f t="shared" si="0"/>
        <v>13000000</v>
      </c>
      <c r="G13" s="236">
        <f>VLOOKUP($B13,DTF!$B$9:$D$69,IF(Variables!$B$73=1,3,2),0)</f>
        <v>0.05</v>
      </c>
      <c r="H13" s="383">
        <f t="shared" si="1"/>
        <v>4.0741237836483535E-3</v>
      </c>
      <c r="I13" s="309">
        <f t="shared" si="3"/>
        <v>57038</v>
      </c>
      <c r="J13" s="511"/>
      <c r="K13" s="175">
        <f>'Financ 3'!P21</f>
        <v>0</v>
      </c>
      <c r="L13" s="175" t="str">
        <f t="shared" si="2"/>
        <v/>
      </c>
    </row>
    <row r="14" spans="1:12" x14ac:dyDescent="0.35">
      <c r="A14" s="18">
        <v>7</v>
      </c>
      <c r="B14" s="184">
        <v>42216</v>
      </c>
      <c r="C14" s="178">
        <f>IFERROR(VLOOKUP($B13,'Ppto-Mes'!$B$8:$AW$68,C$2,0),0)</f>
        <v>509760.76029992104</v>
      </c>
      <c r="D14" s="309">
        <f>IF(Variables!$B$78=1,IF(C14&gt;Variables!$B$79,ROUNDDOWN(C14,-6)-Variables!$B$79,0),0)</f>
        <v>0</v>
      </c>
      <c r="E14" s="309">
        <f>IF(IFERROR(VLOOKUP($B14,'Ppto-Mes'!$B$8:$AW$68,E$2,0),0)&gt;=0,0,IF(-ROUNDDOWN(IFERROR(VLOOKUP($B14,'Ppto-Mes'!$B$8:$AW$68,E$2,0),0),-6)&gt;=D14+F13,D14+F13,-ROUNDUP(IFERROR(VLOOKUP($B14,'Ppto-Mes'!$B$8:$AW$68,E$2,0),0),-6)))</f>
        <v>0</v>
      </c>
      <c r="F14" s="309">
        <f t="shared" si="0"/>
        <v>13000000</v>
      </c>
      <c r="G14" s="236">
        <f>VLOOKUP($B14,DTF!$B$9:$D$69,IF(Variables!$B$73=1,3,2),0)</f>
        <v>5.2500000000000005E-2</v>
      </c>
      <c r="H14" s="383">
        <f t="shared" si="1"/>
        <v>4.2731277661580691E-3</v>
      </c>
      <c r="I14" s="309">
        <f t="shared" si="3"/>
        <v>55551</v>
      </c>
      <c r="J14" s="511"/>
      <c r="K14" s="175">
        <f>'Financ 3'!P22</f>
        <v>0</v>
      </c>
      <c r="L14" s="175" t="str">
        <f t="shared" si="2"/>
        <v/>
      </c>
    </row>
    <row r="15" spans="1:12" x14ac:dyDescent="0.35">
      <c r="A15" s="18">
        <v>8</v>
      </c>
      <c r="B15" s="184">
        <v>42247</v>
      </c>
      <c r="C15" s="178">
        <f>IFERROR(VLOOKUP($B14,'Ppto-Mes'!$B$8:$AW$68,C$2,0),0)</f>
        <v>6393645.7203499079</v>
      </c>
      <c r="D15" s="309">
        <f>IF(Variables!$B$78=1,IF(C15&gt;Variables!$B$79,ROUNDDOWN(C15,-6)-Variables!$B$79,0),0)</f>
        <v>1000000</v>
      </c>
      <c r="E15" s="309">
        <f>IF(IFERROR(VLOOKUP($B15,'Ppto-Mes'!$B$8:$AW$68,E$2,0),0)&gt;=0,0,IF(-ROUNDDOWN(IFERROR(VLOOKUP($B15,'Ppto-Mes'!$B$8:$AW$68,E$2,0),0),-6)&gt;=D15+F14,D15+F14,-ROUNDUP(IFERROR(VLOOKUP($B15,'Ppto-Mes'!$B$8:$AW$68,E$2,0),0),-6)))</f>
        <v>0</v>
      </c>
      <c r="F15" s="309">
        <f t="shared" si="0"/>
        <v>14000000</v>
      </c>
      <c r="G15" s="236">
        <f>VLOOKUP($B15,DTF!$B$9:$D$69,IF(Variables!$B$73=1,3,2),0)</f>
        <v>5.2500000000000005E-2</v>
      </c>
      <c r="H15" s="383">
        <f t="shared" si="1"/>
        <v>4.2731277661580691E-3</v>
      </c>
      <c r="I15" s="309">
        <f t="shared" si="3"/>
        <v>59824</v>
      </c>
      <c r="J15" s="511"/>
      <c r="K15" s="175">
        <f>'Financ 3'!P23</f>
        <v>0</v>
      </c>
      <c r="L15" s="175" t="str">
        <f t="shared" si="2"/>
        <v/>
      </c>
    </row>
    <row r="16" spans="1:12" x14ac:dyDescent="0.35">
      <c r="A16" s="18">
        <v>9</v>
      </c>
      <c r="B16" s="184">
        <v>42277</v>
      </c>
      <c r="C16" s="178">
        <f>IFERROR(VLOOKUP($B15,'Ppto-Mes'!$B$8:$AW$68,C$2,0),0)</f>
        <v>11281803.680399895</v>
      </c>
      <c r="D16" s="309">
        <f>IF(Variables!$B$78=1,IF(C16&gt;Variables!$B$79,ROUNDDOWN(C16,-6)-Variables!$B$79,0),0)</f>
        <v>6000000</v>
      </c>
      <c r="E16" s="309">
        <f>IF(IFERROR(VLOOKUP($B16,'Ppto-Mes'!$B$8:$AW$68,E$2,0),0)&gt;=0,0,IF(-ROUNDDOWN(IFERROR(VLOOKUP($B16,'Ppto-Mes'!$B$8:$AW$68,E$2,0),0),-6)&gt;=D16+F15,D16+F15,-ROUNDUP(IFERROR(VLOOKUP($B16,'Ppto-Mes'!$B$8:$AW$68,E$2,0),0),-6)))</f>
        <v>0</v>
      </c>
      <c r="F16" s="309">
        <f t="shared" si="0"/>
        <v>20000000</v>
      </c>
      <c r="G16" s="236">
        <f>VLOOKUP($B16,DTF!$B$9:$D$69,IF(Variables!$B$73=1,3,2),0)</f>
        <v>5.2500000000000005E-2</v>
      </c>
      <c r="H16" s="383">
        <f t="shared" si="1"/>
        <v>4.2731277661580691E-3</v>
      </c>
      <c r="I16" s="309">
        <f t="shared" si="3"/>
        <v>85463</v>
      </c>
      <c r="J16" s="511"/>
      <c r="K16" s="175">
        <f>'Financ 3'!P24</f>
        <v>0</v>
      </c>
      <c r="L16" s="175" t="str">
        <f t="shared" si="2"/>
        <v/>
      </c>
    </row>
    <row r="17" spans="1:12" x14ac:dyDescent="0.35">
      <c r="A17" s="18">
        <v>10</v>
      </c>
      <c r="B17" s="184">
        <v>42308</v>
      </c>
      <c r="C17" s="178">
        <f>IFERROR(VLOOKUP($B16,'Ppto-Mes'!$B$8:$AW$68,C$2,0),0)</f>
        <v>11195600.640449882</v>
      </c>
      <c r="D17" s="309">
        <f>IF(Variables!$B$78=1,IF(C17&gt;Variables!$B$79,ROUNDDOWN(C17,-6)-Variables!$B$79,0),0)</f>
        <v>6000000</v>
      </c>
      <c r="E17" s="309">
        <f>IF(IFERROR(VLOOKUP($B17,'Ppto-Mes'!$B$8:$AW$68,E$2,0),0)&gt;=0,0,IF(-ROUNDDOWN(IFERROR(VLOOKUP($B17,'Ppto-Mes'!$B$8:$AW$68,E$2,0),0),-6)&gt;=D17+F16,D17+F16,-ROUNDUP(IFERROR(VLOOKUP($B17,'Ppto-Mes'!$B$8:$AW$68,E$2,0),0),-6)))</f>
        <v>0</v>
      </c>
      <c r="F17" s="309">
        <f t="shared" si="0"/>
        <v>26000000</v>
      </c>
      <c r="G17" s="236">
        <f>VLOOKUP($B17,DTF!$B$9:$D$69,IF(Variables!$B$73=1,3,2),0)</f>
        <v>5.5000000000000007E-2</v>
      </c>
      <c r="H17" s="383">
        <f t="shared" si="1"/>
        <v>4.471698917043021E-3</v>
      </c>
      <c r="I17" s="309">
        <f t="shared" si="3"/>
        <v>116264</v>
      </c>
      <c r="J17" s="511"/>
      <c r="K17" s="175">
        <f>'Financ 3'!P25</f>
        <v>0</v>
      </c>
      <c r="L17" s="175" t="str">
        <f t="shared" si="2"/>
        <v/>
      </c>
    </row>
    <row r="18" spans="1:12" x14ac:dyDescent="0.35">
      <c r="A18" s="18">
        <v>11</v>
      </c>
      <c r="B18" s="184">
        <v>42338</v>
      </c>
      <c r="C18" s="178">
        <f>IFERROR(VLOOKUP($B17,'Ppto-Mes'!$B$8:$AW$68,C$2,0),0)</f>
        <v>11096845.600499868</v>
      </c>
      <c r="D18" s="309">
        <f>IF(Variables!$B$78=1,IF(C18&gt;Variables!$B$79,ROUNDDOWN(C18,-6)-Variables!$B$79,0),0)</f>
        <v>6000000</v>
      </c>
      <c r="E18" s="309">
        <f>IF(IFERROR(VLOOKUP($B18,'Ppto-Mes'!$B$8:$AW$68,E$2,0),0)&gt;=0,0,IF(-ROUNDDOWN(IFERROR(VLOOKUP($B18,'Ppto-Mes'!$B$8:$AW$68,E$2,0),0),-6)&gt;=D18+F17,D18+F17,-ROUNDUP(IFERROR(VLOOKUP($B18,'Ppto-Mes'!$B$8:$AW$68,E$2,0),0),-6)))</f>
        <v>0</v>
      </c>
      <c r="F18" s="309">
        <f t="shared" si="0"/>
        <v>32000000</v>
      </c>
      <c r="G18" s="236">
        <f>VLOOKUP($B18,DTF!$B$9:$D$69,IF(Variables!$B$73=1,3,2),0)</f>
        <v>5.5000000000000007E-2</v>
      </c>
      <c r="H18" s="383">
        <f t="shared" si="1"/>
        <v>4.471698917043021E-3</v>
      </c>
      <c r="I18" s="309">
        <f t="shared" si="3"/>
        <v>143094</v>
      </c>
      <c r="J18" s="511"/>
      <c r="K18" s="175">
        <f>'Financ 3'!P26</f>
        <v>0</v>
      </c>
      <c r="L18" s="175" t="str">
        <f t="shared" si="2"/>
        <v/>
      </c>
    </row>
    <row r="19" spans="1:12" x14ac:dyDescent="0.35">
      <c r="A19" s="18">
        <v>12</v>
      </c>
      <c r="B19" s="184">
        <v>42369</v>
      </c>
      <c r="C19" s="178">
        <f>IFERROR(VLOOKUP($B18,'Ppto-Mes'!$B$8:$AW$68,C$2,0),0)</f>
        <v>8024920.5605498552</v>
      </c>
      <c r="D19" s="309">
        <f>IF(Variables!$B$78=1,IF(C19&gt;Variables!$B$79,ROUNDDOWN(C19,-6)-Variables!$B$79,0),0)</f>
        <v>3000000</v>
      </c>
      <c r="E19" s="309">
        <f>IF(IFERROR(VLOOKUP($B19,'Ppto-Mes'!$B$8:$AW$68,E$2,0),0)&gt;=0,0,IF(-ROUNDDOWN(IFERROR(VLOOKUP($B19,'Ppto-Mes'!$B$8:$AW$68,E$2,0),0),-6)&gt;=D19+F18,D19+F18,-ROUNDUP(IFERROR(VLOOKUP($B19,'Ppto-Mes'!$B$8:$AW$68,E$2,0),0),-6)))</f>
        <v>13000000</v>
      </c>
      <c r="F19" s="309">
        <f t="shared" si="0"/>
        <v>22000000</v>
      </c>
      <c r="G19" s="236">
        <f>VLOOKUP($B19,DTF!$B$9:$D$69,IF(Variables!$B$73=1,3,2),0)</f>
        <v>5.5000000000000007E-2</v>
      </c>
      <c r="H19" s="383">
        <f t="shared" si="1"/>
        <v>4.471698917043021E-3</v>
      </c>
      <c r="I19" s="309">
        <f t="shared" si="3"/>
        <v>156509</v>
      </c>
      <c r="J19" s="511"/>
      <c r="K19" s="175">
        <f>'Financ 3'!P27</f>
        <v>0</v>
      </c>
      <c r="L19" s="175" t="str">
        <f t="shared" si="2"/>
        <v/>
      </c>
    </row>
    <row r="20" spans="1:12" x14ac:dyDescent="0.35">
      <c r="A20" s="18">
        <v>13</v>
      </c>
      <c r="B20" s="184">
        <v>42400</v>
      </c>
      <c r="C20" s="178">
        <f>IFERROR(VLOOKUP($B19,'Ppto-Mes'!$B$8:$AW$68,C$2,0),0)</f>
        <v>841066.52059984207</v>
      </c>
      <c r="D20" s="309">
        <f>IF(Variables!$B$78=1,IF(C20&gt;Variables!$B$79,ROUNDDOWN(C20,-6)-Variables!$B$79,0),0)</f>
        <v>0</v>
      </c>
      <c r="E20" s="309">
        <f>IF(IFERROR(VLOOKUP($B20,'Ppto-Mes'!$B$8:$AW$68,E$2,0),0)&gt;=0,0,IF(-ROUNDDOWN(IFERROR(VLOOKUP($B20,'Ppto-Mes'!$B$8:$AW$68,E$2,0),0),-6)&gt;=D20+F19,D20+F19,-ROUNDUP(IFERROR(VLOOKUP($B20,'Ppto-Mes'!$B$8:$AW$68,E$2,0),0),-6)))</f>
        <v>17000000</v>
      </c>
      <c r="F20" s="309">
        <f t="shared" si="0"/>
        <v>5000000</v>
      </c>
      <c r="G20" s="236">
        <f>VLOOKUP($B20,DTF!$B$9:$D$69,IF(Variables!$B$73=1,3,2),0)</f>
        <v>5.7500000000000009E-2</v>
      </c>
      <c r="H20" s="383">
        <f t="shared" si="1"/>
        <v>4.6698392000357192E-3</v>
      </c>
      <c r="I20" s="309">
        <f t="shared" si="3"/>
        <v>102736</v>
      </c>
      <c r="J20" s="511"/>
      <c r="K20" s="175">
        <f>'Financ 3'!P28</f>
        <v>0</v>
      </c>
      <c r="L20" s="175" t="str">
        <f t="shared" si="2"/>
        <v/>
      </c>
    </row>
    <row r="21" spans="1:12" x14ac:dyDescent="0.35">
      <c r="A21" s="18">
        <v>14</v>
      </c>
      <c r="B21" s="184">
        <v>42429</v>
      </c>
      <c r="C21" s="178">
        <f>IFERROR(VLOOKUP($B20,'Ppto-Mes'!$B$8:$AW$68,C$2,0),0)</f>
        <v>979232.65679982305</v>
      </c>
      <c r="D21" s="309">
        <f>IF(Variables!$B$78=1,IF(C21&gt;Variables!$B$79,ROUNDDOWN(C21,-6)-Variables!$B$79,0),0)</f>
        <v>0</v>
      </c>
      <c r="E21" s="309">
        <f>IF(IFERROR(VLOOKUP($B21,'Ppto-Mes'!$B$8:$AW$68,E$2,0),0)&gt;=0,0,IF(-ROUNDDOWN(IFERROR(VLOOKUP($B21,'Ppto-Mes'!$B$8:$AW$68,E$2,0),0),-6)&gt;=D21+F20,D21+F20,-ROUNDUP(IFERROR(VLOOKUP($B21,'Ppto-Mes'!$B$8:$AW$68,E$2,0),0),-6)))</f>
        <v>1000000</v>
      </c>
      <c r="F21" s="309">
        <f t="shared" si="0"/>
        <v>4000000</v>
      </c>
      <c r="G21" s="236">
        <f>VLOOKUP($B21,DTF!$B$9:$D$69,IF(Variables!$B$73=1,3,2),0)</f>
        <v>5.7500000000000009E-2</v>
      </c>
      <c r="H21" s="383">
        <f t="shared" si="1"/>
        <v>4.6698392000357192E-3</v>
      </c>
      <c r="I21" s="309">
        <f t="shared" si="3"/>
        <v>23349</v>
      </c>
      <c r="J21" s="511"/>
      <c r="K21" s="175">
        <f>'Financ 3'!P29</f>
        <v>0</v>
      </c>
      <c r="L21" s="175" t="str">
        <f t="shared" si="2"/>
        <v/>
      </c>
    </row>
    <row r="22" spans="1:12" x14ac:dyDescent="0.35">
      <c r="A22" s="18">
        <v>15</v>
      </c>
      <c r="B22" s="184">
        <v>42460</v>
      </c>
      <c r="C22" s="178">
        <f>IFERROR(VLOOKUP($B21,'Ppto-Mes'!$B$8:$AW$68,C$2,0),0)</f>
        <v>356838.79299980402</v>
      </c>
      <c r="D22" s="309">
        <f>IF(Variables!$B$78=1,IF(C22&gt;Variables!$B$79,ROUNDDOWN(C22,-6)-Variables!$B$79,0),0)</f>
        <v>0</v>
      </c>
      <c r="E22" s="309">
        <f>IF(IFERROR(VLOOKUP($B22,'Ppto-Mes'!$B$8:$AW$68,E$2,0),0)&gt;=0,0,IF(-ROUNDDOWN(IFERROR(VLOOKUP($B22,'Ppto-Mes'!$B$8:$AW$68,E$2,0),0),-6)&gt;=D22+F21,D22+F21,-ROUNDUP(IFERROR(VLOOKUP($B22,'Ppto-Mes'!$B$8:$AW$68,E$2,0),0),-6)))</f>
        <v>2000000</v>
      </c>
      <c r="F22" s="309">
        <f t="shared" si="0"/>
        <v>2000000</v>
      </c>
      <c r="G22" s="236">
        <f>VLOOKUP($B22,DTF!$B$9:$D$69,IF(Variables!$B$73=1,3,2),0)</f>
        <v>5.7500000000000009E-2</v>
      </c>
      <c r="H22" s="383">
        <f t="shared" si="1"/>
        <v>4.6698392000357192E-3</v>
      </c>
      <c r="I22" s="309">
        <f t="shared" si="3"/>
        <v>18679</v>
      </c>
      <c r="J22" s="511"/>
      <c r="K22" s="175">
        <f>'Financ 3'!P30</f>
        <v>0</v>
      </c>
      <c r="L22" s="175" t="str">
        <f t="shared" si="2"/>
        <v/>
      </c>
    </row>
    <row r="23" spans="1:12" x14ac:dyDescent="0.35">
      <c r="A23" s="18">
        <v>16</v>
      </c>
      <c r="B23" s="184">
        <v>42490</v>
      </c>
      <c r="C23" s="178">
        <f>IFERROR(VLOOKUP($B22,'Ppto-Mes'!$B$8:$AW$68,C$2,0),0)</f>
        <v>809830.92919978499</v>
      </c>
      <c r="D23" s="309">
        <f>IF(Variables!$B$78=1,IF(C23&gt;Variables!$B$79,ROUNDDOWN(C23,-6)-Variables!$B$79,0),0)</f>
        <v>0</v>
      </c>
      <c r="E23" s="309">
        <f>IF(IFERROR(VLOOKUP($B23,'Ppto-Mes'!$B$8:$AW$68,E$2,0),0)&gt;=0,0,IF(-ROUNDDOWN(IFERROR(VLOOKUP($B23,'Ppto-Mes'!$B$8:$AW$68,E$2,0),0),-6)&gt;=D23+F22,D23+F22,-ROUNDUP(IFERROR(VLOOKUP($B23,'Ppto-Mes'!$B$8:$AW$68,E$2,0),0),-6)))</f>
        <v>2000000</v>
      </c>
      <c r="F23" s="309">
        <f t="shared" si="0"/>
        <v>0</v>
      </c>
      <c r="G23" s="236">
        <f>VLOOKUP($B23,DTF!$B$9:$D$69,IF(Variables!$B$73=1,3,2),0)</f>
        <v>5.5000000000000007E-2</v>
      </c>
      <c r="H23" s="383">
        <f t="shared" si="1"/>
        <v>4.471698917043021E-3</v>
      </c>
      <c r="I23" s="309">
        <f t="shared" si="3"/>
        <v>8943</v>
      </c>
      <c r="J23" s="511"/>
      <c r="K23" s="175">
        <f>'Financ 3'!P31</f>
        <v>0</v>
      </c>
      <c r="L23" s="175" t="str">
        <f t="shared" si="2"/>
        <v/>
      </c>
    </row>
    <row r="24" spans="1:12" x14ac:dyDescent="0.35">
      <c r="A24" s="18">
        <v>17</v>
      </c>
      <c r="B24" s="184">
        <v>42521</v>
      </c>
      <c r="C24" s="178">
        <f>IFERROR(VLOOKUP($B23,'Ppto-Mes'!$B$8:$AW$68,C$2,0),0)</f>
        <v>513497.06539976597</v>
      </c>
      <c r="D24" s="309">
        <f>IF(Variables!$B$78=1,IF(C24&gt;Variables!$B$79,ROUNDDOWN(C24,-6)-Variables!$B$79,0),0)</f>
        <v>0</v>
      </c>
      <c r="E24" s="309">
        <f>IF(IFERROR(VLOOKUP($B24,'Ppto-Mes'!$B$8:$AW$68,E$2,0),0)&gt;=0,0,IF(-ROUNDDOWN(IFERROR(VLOOKUP($B24,'Ppto-Mes'!$B$8:$AW$68,E$2,0),0),-6)&gt;=D24+F23,D24+F23,-ROUNDUP(IFERROR(VLOOKUP($B24,'Ppto-Mes'!$B$8:$AW$68,E$2,0),0),-6)))</f>
        <v>0</v>
      </c>
      <c r="F24" s="309">
        <f t="shared" si="0"/>
        <v>0</v>
      </c>
      <c r="G24" s="236">
        <f>VLOOKUP($B24,DTF!$B$9:$D$69,IF(Variables!$B$73=1,3,2),0)</f>
        <v>5.5000000000000007E-2</v>
      </c>
      <c r="H24" s="383">
        <f t="shared" si="1"/>
        <v>4.471698917043021E-3</v>
      </c>
      <c r="I24" s="309">
        <f t="shared" si="3"/>
        <v>0</v>
      </c>
      <c r="J24" s="511"/>
      <c r="K24" s="175">
        <f>'Financ 3'!P32</f>
        <v>4000000</v>
      </c>
      <c r="L24" s="175" t="str">
        <f t="shared" si="2"/>
        <v/>
      </c>
    </row>
    <row r="25" spans="1:12" x14ac:dyDescent="0.35">
      <c r="A25" s="18">
        <v>18</v>
      </c>
      <c r="B25" s="184">
        <v>42551</v>
      </c>
      <c r="C25" s="178">
        <f>IFERROR(VLOOKUP($B24,'Ppto-Mes'!$B$8:$AW$68,C$2,0),0)</f>
        <v>143974.20159974694</v>
      </c>
      <c r="D25" s="309">
        <f>IF(Variables!$B$78=1,IF(C25&gt;Variables!$B$79,ROUNDDOWN(C25,-6)-Variables!$B$79,0),0)</f>
        <v>0</v>
      </c>
      <c r="E25" s="309">
        <f>IF(IFERROR(VLOOKUP($B25,'Ppto-Mes'!$B$8:$AW$68,E$2,0),0)&gt;=0,0,IF(-ROUNDDOWN(IFERROR(VLOOKUP($B25,'Ppto-Mes'!$B$8:$AW$68,E$2,0),0),-6)&gt;=D25+F24,D25+F24,-ROUNDUP(IFERROR(VLOOKUP($B25,'Ppto-Mes'!$B$8:$AW$68,E$2,0),0),-6)))</f>
        <v>0</v>
      </c>
      <c r="F25" s="309">
        <f t="shared" si="0"/>
        <v>0</v>
      </c>
      <c r="G25" s="236">
        <f>VLOOKUP($B25,DTF!$B$9:$D$69,IF(Variables!$B$73=1,3,2),0)</f>
        <v>5.5000000000000007E-2</v>
      </c>
      <c r="H25" s="383">
        <f t="shared" si="1"/>
        <v>4.471698917043021E-3</v>
      </c>
      <c r="I25" s="309">
        <f t="shared" si="3"/>
        <v>0</v>
      </c>
      <c r="J25" s="511"/>
      <c r="K25" s="175">
        <f>'Financ 3'!P33</f>
        <v>9000000</v>
      </c>
      <c r="L25" s="175" t="str">
        <f t="shared" si="2"/>
        <v/>
      </c>
    </row>
    <row r="26" spans="1:12" x14ac:dyDescent="0.35">
      <c r="A26" s="18">
        <v>19</v>
      </c>
      <c r="B26" s="184">
        <v>42582</v>
      </c>
      <c r="C26" s="178">
        <f>IFERROR(VLOOKUP($B25,'Ppto-Mes'!$B$8:$AW$68,C$2,0),0)</f>
        <v>0</v>
      </c>
      <c r="D26" s="309">
        <f>IF(Variables!$B$78=1,IF(C26&gt;Variables!$B$79,ROUNDDOWN(C26,-6)-Variables!$B$79,0),0)</f>
        <v>0</v>
      </c>
      <c r="E26" s="309">
        <f>IF(IFERROR(VLOOKUP($B26,'Ppto-Mes'!$B$8:$AW$68,E$2,0),0)&gt;=0,0,IF(-ROUNDDOWN(IFERROR(VLOOKUP($B26,'Ppto-Mes'!$B$8:$AW$68,E$2,0),0),-6)&gt;=D26+F25,D26+F25,-ROUNDUP(IFERROR(VLOOKUP($B26,'Ppto-Mes'!$B$8:$AW$68,E$2,0),0),-6)))</f>
        <v>0</v>
      </c>
      <c r="F26" s="309">
        <f t="shared" si="0"/>
        <v>0</v>
      </c>
      <c r="G26" s="236">
        <f>VLOOKUP($B26,DTF!$B$9:$D$69,IF(Variables!$B$73=1,3,2),0)</f>
        <v>5.2500000000000005E-2</v>
      </c>
      <c r="H26" s="383">
        <f t="shared" si="1"/>
        <v>4.2731277661580691E-3</v>
      </c>
      <c r="I26" s="309">
        <f t="shared" si="3"/>
        <v>0</v>
      </c>
      <c r="J26" s="511"/>
      <c r="K26" s="175">
        <f>'Financ 3'!P34</f>
        <v>5000000</v>
      </c>
      <c r="L26" s="175" t="str">
        <f t="shared" si="2"/>
        <v/>
      </c>
    </row>
    <row r="27" spans="1:12" x14ac:dyDescent="0.35">
      <c r="A27" s="18">
        <v>20</v>
      </c>
      <c r="B27" s="184">
        <v>42613</v>
      </c>
      <c r="C27" s="178">
        <f>IFERROR(VLOOKUP($B26,'Ppto-Mes'!$B$8:$AW$68,C$2,0),0)</f>
        <v>0</v>
      </c>
      <c r="D27" s="309">
        <f>IF(Variables!$B$78=1,IF(C27&gt;Variables!$B$79,ROUNDDOWN(C27,-6)-Variables!$B$79,0),0)</f>
        <v>0</v>
      </c>
      <c r="E27" s="309">
        <f>IF(IFERROR(VLOOKUP($B27,'Ppto-Mes'!$B$8:$AW$68,E$2,0),0)&gt;=0,0,IF(-ROUNDDOWN(IFERROR(VLOOKUP($B27,'Ppto-Mes'!$B$8:$AW$68,E$2,0),0),-6)&gt;=D27+F26,D27+F26,-ROUNDUP(IFERROR(VLOOKUP($B27,'Ppto-Mes'!$B$8:$AW$68,E$2,0),0),-6)))</f>
        <v>0</v>
      </c>
      <c r="F27" s="309">
        <f t="shared" si="0"/>
        <v>0</v>
      </c>
      <c r="G27" s="236">
        <f>VLOOKUP($B27,DTF!$B$9:$D$69,IF(Variables!$B$73=1,3,2),0)</f>
        <v>5.2500000000000005E-2</v>
      </c>
      <c r="H27" s="383">
        <f t="shared" si="1"/>
        <v>4.2731277661580691E-3</v>
      </c>
      <c r="I27" s="309">
        <f t="shared" si="3"/>
        <v>0</v>
      </c>
      <c r="J27" s="511"/>
      <c r="K27" s="175">
        <f>'Financ 3'!P35</f>
        <v>11000000</v>
      </c>
      <c r="L27" s="175" t="str">
        <f t="shared" si="2"/>
        <v/>
      </c>
    </row>
    <row r="28" spans="1:12" x14ac:dyDescent="0.35">
      <c r="A28" s="18">
        <v>21</v>
      </c>
      <c r="B28" s="184">
        <v>42643</v>
      </c>
      <c r="C28" s="178">
        <f>IFERROR(VLOOKUP($B27,'Ppto-Mes'!$B$8:$AW$68,C$2,0),0)</f>
        <v>0</v>
      </c>
      <c r="D28" s="309">
        <f>IF(Variables!$B$78=1,IF(C28&gt;Variables!$B$79,ROUNDDOWN(C28,-6)-Variables!$B$79,0),0)</f>
        <v>0</v>
      </c>
      <c r="E28" s="309">
        <f>IF(IFERROR(VLOOKUP($B28,'Ppto-Mes'!$B$8:$AW$68,E$2,0),0)&gt;=0,0,IF(-ROUNDDOWN(IFERROR(VLOOKUP($B28,'Ppto-Mes'!$B$8:$AW$68,E$2,0),0),-6)&gt;=D28+F27,D28+F27,-ROUNDUP(IFERROR(VLOOKUP($B28,'Ppto-Mes'!$B$8:$AW$68,E$2,0),0),-6)))</f>
        <v>0</v>
      </c>
      <c r="F28" s="309">
        <f t="shared" si="0"/>
        <v>0</v>
      </c>
      <c r="G28" s="236">
        <f>VLOOKUP($B28,DTF!$B$9:$D$69,IF(Variables!$B$73=1,3,2),0)</f>
        <v>5.2500000000000005E-2</v>
      </c>
      <c r="H28" s="383">
        <f t="shared" si="1"/>
        <v>4.2731277661580691E-3</v>
      </c>
      <c r="I28" s="309">
        <f t="shared" si="3"/>
        <v>0</v>
      </c>
      <c r="J28" s="511"/>
      <c r="K28" s="175">
        <f>'Financ 3'!P36</f>
        <v>6000000</v>
      </c>
      <c r="L28" s="175" t="str">
        <f t="shared" si="2"/>
        <v/>
      </c>
    </row>
    <row r="29" spans="1:12" x14ac:dyDescent="0.35">
      <c r="A29" s="18">
        <v>22</v>
      </c>
      <c r="B29" s="184">
        <v>42674</v>
      </c>
      <c r="C29" s="178">
        <f>IFERROR(VLOOKUP($B28,'Ppto-Mes'!$B$8:$AW$68,C$2,0),0)</f>
        <v>0</v>
      </c>
      <c r="D29" s="309">
        <f>IF(Variables!$B$78=1,IF(C29&gt;Variables!$B$79,ROUNDDOWN(C29,-6)-Variables!$B$79,0),0)</f>
        <v>0</v>
      </c>
      <c r="E29" s="309">
        <f>IF(IFERROR(VLOOKUP($B29,'Ppto-Mes'!$B$8:$AW$68,E$2,0),0)&gt;=0,0,IF(-ROUNDDOWN(IFERROR(VLOOKUP($B29,'Ppto-Mes'!$B$8:$AW$68,E$2,0),0),-6)&gt;=D29+F28,D29+F28,-ROUNDUP(IFERROR(VLOOKUP($B29,'Ppto-Mes'!$B$8:$AW$68,E$2,0),0),-6)))</f>
        <v>0</v>
      </c>
      <c r="F29" s="309">
        <f t="shared" si="0"/>
        <v>0</v>
      </c>
      <c r="G29" s="236">
        <f>VLOOKUP($B29,DTF!$B$9:$D$69,IF(Variables!$B$73=1,3,2),0)</f>
        <v>0.05</v>
      </c>
      <c r="H29" s="383">
        <f t="shared" si="1"/>
        <v>4.0741237836483535E-3</v>
      </c>
      <c r="I29" s="309">
        <f t="shared" si="3"/>
        <v>0</v>
      </c>
      <c r="J29" s="511"/>
      <c r="K29" s="175">
        <f>'Financ 3'!P37</f>
        <v>12000000</v>
      </c>
      <c r="L29" s="175" t="str">
        <f t="shared" si="2"/>
        <v/>
      </c>
    </row>
    <row r="30" spans="1:12" x14ac:dyDescent="0.35">
      <c r="A30" s="18">
        <v>23</v>
      </c>
      <c r="B30" s="184">
        <v>42704</v>
      </c>
      <c r="C30" s="178">
        <f>IFERROR(VLOOKUP($B29,'Ppto-Mes'!$B$8:$AW$68,C$2,0),0)</f>
        <v>0</v>
      </c>
      <c r="D30" s="309">
        <f>IF(Variables!$B$78=1,IF(C30&gt;Variables!$B$79,ROUNDDOWN(C30,-6)-Variables!$B$79,0),0)</f>
        <v>0</v>
      </c>
      <c r="E30" s="309">
        <f>IF(IFERROR(VLOOKUP($B30,'Ppto-Mes'!$B$8:$AW$68,E$2,0),0)&gt;=0,0,IF(-ROUNDDOWN(IFERROR(VLOOKUP($B30,'Ppto-Mes'!$B$8:$AW$68,E$2,0),0),-6)&gt;=D30+F29,D30+F29,-ROUNDUP(IFERROR(VLOOKUP($B30,'Ppto-Mes'!$B$8:$AW$68,E$2,0),0),-6)))</f>
        <v>0</v>
      </c>
      <c r="F30" s="309">
        <f t="shared" si="0"/>
        <v>0</v>
      </c>
      <c r="G30" s="236">
        <f>VLOOKUP($B30,DTF!$B$9:$D$69,IF(Variables!$B$73=1,3,2),0)</f>
        <v>0.05</v>
      </c>
      <c r="H30" s="383">
        <f t="shared" si="1"/>
        <v>4.0741237836483535E-3</v>
      </c>
      <c r="I30" s="309">
        <f t="shared" si="3"/>
        <v>0</v>
      </c>
      <c r="J30" s="511"/>
      <c r="K30" s="175">
        <f>'Financ 3'!P38</f>
        <v>10000000</v>
      </c>
      <c r="L30" s="175" t="str">
        <f t="shared" si="2"/>
        <v/>
      </c>
    </row>
    <row r="31" spans="1:12" x14ac:dyDescent="0.35">
      <c r="A31" s="18">
        <v>24</v>
      </c>
      <c r="B31" s="184">
        <v>42735</v>
      </c>
      <c r="C31" s="178">
        <f>IFERROR(VLOOKUP($B30,'Ppto-Mes'!$B$8:$AW$68,C$2,0),0)</f>
        <v>0</v>
      </c>
      <c r="D31" s="309">
        <f>IF(Variables!$B$78=1,IF(C31&gt;Variables!$B$79,ROUNDDOWN(C31,-6)-Variables!$B$79,0),0)</f>
        <v>0</v>
      </c>
      <c r="E31" s="309">
        <f>IF(IFERROR(VLOOKUP($B31,'Ppto-Mes'!$B$8:$AW$68,E$2,0),0)&gt;=0,0,IF(-ROUNDDOWN(IFERROR(VLOOKUP($B31,'Ppto-Mes'!$B$8:$AW$68,E$2,0),0),-6)&gt;=D31+F30,D31+F30,-ROUNDUP(IFERROR(VLOOKUP($B31,'Ppto-Mes'!$B$8:$AW$68,E$2,0),0),-6)))</f>
        <v>0</v>
      </c>
      <c r="F31" s="309">
        <f t="shared" si="0"/>
        <v>0</v>
      </c>
      <c r="G31" s="236">
        <f>VLOOKUP($B31,DTF!$B$9:$D$69,IF(Variables!$B$73=1,3,2),0)</f>
        <v>0.05</v>
      </c>
      <c r="H31" s="383">
        <f t="shared" si="1"/>
        <v>4.0741237836483535E-3</v>
      </c>
      <c r="I31" s="309">
        <f t="shared" si="3"/>
        <v>0</v>
      </c>
      <c r="J31" s="511"/>
      <c r="K31" s="175">
        <f>'Financ 3'!P39</f>
        <v>76000000</v>
      </c>
      <c r="L31" s="175" t="str">
        <f t="shared" si="2"/>
        <v/>
      </c>
    </row>
    <row r="32" spans="1:12" x14ac:dyDescent="0.35">
      <c r="A32" s="18">
        <v>25</v>
      </c>
      <c r="B32" s="184">
        <v>42766</v>
      </c>
      <c r="C32" s="178">
        <f>IFERROR(VLOOKUP($B31,'Ppto-Mes'!$B$8:$AW$68,C$2,0),0)</f>
        <v>0</v>
      </c>
      <c r="D32" s="309">
        <f>IF(Variables!$B$78=1,IF(C32&gt;Variables!$B$79,ROUNDDOWN(C32,-6)-Variables!$B$79,0),0)</f>
        <v>0</v>
      </c>
      <c r="E32" s="309">
        <f>IF(IFERROR(VLOOKUP($B32,'Ppto-Mes'!$B$8:$AW$68,E$2,0),0)&gt;=0,0,IF(-ROUNDDOWN(IFERROR(VLOOKUP($B32,'Ppto-Mes'!$B$8:$AW$68,E$2,0),0),-6)&gt;=D32+F31,D32+F31,-ROUNDUP(IFERROR(VLOOKUP($B32,'Ppto-Mes'!$B$8:$AW$68,E$2,0),0),-6)))</f>
        <v>0</v>
      </c>
      <c r="F32" s="309">
        <f t="shared" si="0"/>
        <v>0</v>
      </c>
      <c r="G32" s="236">
        <f>VLOOKUP($B32,DTF!$B$9:$D$69,IF(Variables!$B$73=1,3,2),0)</f>
        <v>5.2500000000000005E-2</v>
      </c>
      <c r="H32" s="383">
        <f t="shared" si="1"/>
        <v>4.2731277661580691E-3</v>
      </c>
      <c r="I32" s="309">
        <f t="shared" si="3"/>
        <v>0</v>
      </c>
      <c r="J32" s="511"/>
      <c r="K32" s="175">
        <f>'Financ 3'!P40</f>
        <v>28000000</v>
      </c>
      <c r="L32" s="175" t="str">
        <f t="shared" si="2"/>
        <v/>
      </c>
    </row>
    <row r="33" spans="1:12" x14ac:dyDescent="0.35">
      <c r="A33" s="18">
        <v>26</v>
      </c>
      <c r="B33" s="184">
        <v>42794</v>
      </c>
      <c r="C33" s="178">
        <f>IFERROR(VLOOKUP($B32,'Ppto-Mes'!$B$8:$AW$68,C$2,0),0)</f>
        <v>0</v>
      </c>
      <c r="D33" s="309">
        <f>IF(Variables!$B$78=1,IF(C33&gt;Variables!$B$79,ROUNDDOWN(C33,-6)-Variables!$B$79,0),0)</f>
        <v>0</v>
      </c>
      <c r="E33" s="309">
        <f>IF(IFERROR(VLOOKUP($B33,'Ppto-Mes'!$B$8:$AW$68,E$2,0),0)&gt;=0,0,IF(-ROUNDDOWN(IFERROR(VLOOKUP($B33,'Ppto-Mes'!$B$8:$AW$68,E$2,0),0),-6)&gt;=D33+F32,D33+F32,-ROUNDUP(IFERROR(VLOOKUP($B33,'Ppto-Mes'!$B$8:$AW$68,E$2,0),0),-6)))</f>
        <v>0</v>
      </c>
      <c r="F33" s="309">
        <f t="shared" si="0"/>
        <v>0</v>
      </c>
      <c r="G33" s="236">
        <f>VLOOKUP($B33,DTF!$B$9:$D$69,IF(Variables!$B$73=1,3,2),0)</f>
        <v>5.2500000000000005E-2</v>
      </c>
      <c r="H33" s="383">
        <f t="shared" si="1"/>
        <v>4.2731277661580691E-3</v>
      </c>
      <c r="I33" s="309">
        <f t="shared" si="3"/>
        <v>0</v>
      </c>
      <c r="J33" s="511"/>
      <c r="K33" s="175">
        <f>'Financ 3'!P41</f>
        <v>76000000</v>
      </c>
      <c r="L33" s="175" t="str">
        <f t="shared" si="2"/>
        <v/>
      </c>
    </row>
    <row r="34" spans="1:12" x14ac:dyDescent="0.35">
      <c r="A34" s="18">
        <v>27</v>
      </c>
      <c r="B34" s="184">
        <v>42825</v>
      </c>
      <c r="C34" s="178">
        <f>IFERROR(VLOOKUP($B33,'Ppto-Mes'!$B$8:$AW$68,C$2,0),0)</f>
        <v>0</v>
      </c>
      <c r="D34" s="309">
        <f>IF(Variables!$B$78=1,IF(C34&gt;Variables!$B$79,ROUNDDOWN(C34,-6)-Variables!$B$79,0),0)</f>
        <v>0</v>
      </c>
      <c r="E34" s="309">
        <f>IF(IFERROR(VLOOKUP($B34,'Ppto-Mes'!$B$8:$AW$68,E$2,0),0)&gt;=0,0,IF(-ROUNDDOWN(IFERROR(VLOOKUP($B34,'Ppto-Mes'!$B$8:$AW$68,E$2,0),0),-6)&gt;=D34+F33,D34+F33,-ROUNDUP(IFERROR(VLOOKUP($B34,'Ppto-Mes'!$B$8:$AW$68,E$2,0),0),-6)))</f>
        <v>0</v>
      </c>
      <c r="F34" s="309">
        <f t="shared" si="0"/>
        <v>0</v>
      </c>
      <c r="G34" s="236">
        <f>VLOOKUP($B34,DTF!$B$9:$D$69,IF(Variables!$B$73=1,3,2),0)</f>
        <v>5.2500000000000005E-2</v>
      </c>
      <c r="H34" s="383">
        <f t="shared" si="1"/>
        <v>4.2731277661580691E-3</v>
      </c>
      <c r="I34" s="309">
        <f t="shared" si="3"/>
        <v>0</v>
      </c>
      <c r="J34" s="511"/>
      <c r="K34" s="175">
        <f>'Financ 3'!P42</f>
        <v>28000000</v>
      </c>
      <c r="L34" s="175" t="str">
        <f t="shared" si="2"/>
        <v/>
      </c>
    </row>
    <row r="35" spans="1:12" x14ac:dyDescent="0.35">
      <c r="A35" s="18">
        <v>28</v>
      </c>
      <c r="B35" s="184">
        <v>42855</v>
      </c>
      <c r="C35" s="178">
        <f>IFERROR(VLOOKUP($B34,'Ppto-Mes'!$B$8:$AW$68,C$2,0),0)</f>
        <v>0</v>
      </c>
      <c r="D35" s="309">
        <f>IF(Variables!$B$78=1,IF(C35&gt;Variables!$B$79,ROUNDDOWN(C35,-6)-Variables!$B$79,0),0)</f>
        <v>0</v>
      </c>
      <c r="E35" s="309">
        <f>IF(IFERROR(VLOOKUP($B35,'Ppto-Mes'!$B$8:$AW$68,E$2,0),0)&gt;=0,0,IF(-ROUNDDOWN(IFERROR(VLOOKUP($B35,'Ppto-Mes'!$B$8:$AW$68,E$2,0),0),-6)&gt;=D35+F34,D35+F34,-ROUNDUP(IFERROR(VLOOKUP($B35,'Ppto-Mes'!$B$8:$AW$68,E$2,0),0),-6)))</f>
        <v>0</v>
      </c>
      <c r="F35" s="309">
        <f t="shared" si="0"/>
        <v>0</v>
      </c>
      <c r="G35" s="236">
        <f>VLOOKUP($B35,DTF!$B$9:$D$69,IF(Variables!$B$73=1,3,2),0)</f>
        <v>0.05</v>
      </c>
      <c r="H35" s="383">
        <f t="shared" si="1"/>
        <v>4.0741237836483535E-3</v>
      </c>
      <c r="I35" s="309">
        <f t="shared" si="3"/>
        <v>0</v>
      </c>
      <c r="J35" s="511"/>
      <c r="K35" s="175">
        <f>'Financ 3'!P43</f>
        <v>79000000</v>
      </c>
      <c r="L35" s="175" t="str">
        <f t="shared" si="2"/>
        <v/>
      </c>
    </row>
    <row r="36" spans="1:12" x14ac:dyDescent="0.35">
      <c r="A36" s="18">
        <v>29</v>
      </c>
      <c r="B36" s="184">
        <v>42886</v>
      </c>
      <c r="C36" s="178">
        <f>IFERROR(VLOOKUP($B35,'Ppto-Mes'!$B$8:$AW$68,C$2,0),0)</f>
        <v>0</v>
      </c>
      <c r="D36" s="309">
        <f>IF(Variables!$B$78=1,IF(C36&gt;Variables!$B$79,ROUNDDOWN(C36,-6)-Variables!$B$79,0),0)</f>
        <v>0</v>
      </c>
      <c r="E36" s="309">
        <f>IF(IFERROR(VLOOKUP($B36,'Ppto-Mes'!$B$8:$AW$68,E$2,0),0)&gt;=0,0,IF(-ROUNDDOWN(IFERROR(VLOOKUP($B36,'Ppto-Mes'!$B$8:$AW$68,E$2,0),0),-6)&gt;=D36+F35,D36+F35,-ROUNDUP(IFERROR(VLOOKUP($B36,'Ppto-Mes'!$B$8:$AW$68,E$2,0),0),-6)))</f>
        <v>0</v>
      </c>
      <c r="F36" s="309">
        <f t="shared" si="0"/>
        <v>0</v>
      </c>
      <c r="G36" s="236">
        <f>VLOOKUP($B36,DTF!$B$9:$D$69,IF(Variables!$B$73=1,3,2),0)</f>
        <v>0.05</v>
      </c>
      <c r="H36" s="383">
        <f t="shared" si="1"/>
        <v>4.0741237836483535E-3</v>
      </c>
      <c r="I36" s="309">
        <f t="shared" si="3"/>
        <v>0</v>
      </c>
      <c r="J36" s="511"/>
      <c r="K36" s="175">
        <f>'Financ 3'!P44</f>
        <v>30000000</v>
      </c>
      <c r="L36" s="175" t="str">
        <f t="shared" si="2"/>
        <v/>
      </c>
    </row>
    <row r="37" spans="1:12" x14ac:dyDescent="0.35">
      <c r="A37" s="18">
        <v>30</v>
      </c>
      <c r="B37" s="184">
        <v>42916</v>
      </c>
      <c r="C37" s="178">
        <f>IFERROR(VLOOKUP($B36,'Ppto-Mes'!$B$8:$AW$68,C$2,0),0)</f>
        <v>0</v>
      </c>
      <c r="D37" s="309">
        <f>IF(Variables!$B$78=1,IF(C37&gt;Variables!$B$79,ROUNDDOWN(C37,-6)-Variables!$B$79,0),0)</f>
        <v>0</v>
      </c>
      <c r="E37" s="309">
        <f>IF(IFERROR(VLOOKUP($B37,'Ppto-Mes'!$B$8:$AW$68,E$2,0),0)&gt;=0,0,IF(-ROUNDDOWN(IFERROR(VLOOKUP($B37,'Ppto-Mes'!$B$8:$AW$68,E$2,0),0),-6)&gt;=D37+F36,D37+F36,-ROUNDUP(IFERROR(VLOOKUP($B37,'Ppto-Mes'!$B$8:$AW$68,E$2,0),0),-6)))</f>
        <v>0</v>
      </c>
      <c r="F37" s="309">
        <f t="shared" si="0"/>
        <v>0</v>
      </c>
      <c r="G37" s="236">
        <f>VLOOKUP($B37,DTF!$B$9:$D$69,IF(Variables!$B$73=1,3,2),0)</f>
        <v>0.05</v>
      </c>
      <c r="H37" s="383">
        <f t="shared" si="1"/>
        <v>4.0741237836483535E-3</v>
      </c>
      <c r="I37" s="309">
        <f t="shared" si="3"/>
        <v>0</v>
      </c>
      <c r="J37" s="511"/>
      <c r="K37" s="175">
        <f>'Financ 3'!P45</f>
        <v>89000000</v>
      </c>
      <c r="L37" s="175" t="str">
        <f t="shared" si="2"/>
        <v/>
      </c>
    </row>
    <row r="38" spans="1:12" x14ac:dyDescent="0.35">
      <c r="A38" s="18">
        <v>31</v>
      </c>
      <c r="B38" s="184">
        <v>42947</v>
      </c>
      <c r="C38" s="178">
        <f>IFERROR(VLOOKUP($B37,'Ppto-Mes'!$B$8:$AW$68,C$2,0),0)</f>
        <v>0</v>
      </c>
      <c r="D38" s="309">
        <f>IF(Variables!$B$78=1,IF(C38&gt;Variables!$B$79,ROUNDDOWN(C38,-6)-Variables!$B$79,0),0)</f>
        <v>0</v>
      </c>
      <c r="E38" s="309">
        <f>IF(IFERROR(VLOOKUP($B38,'Ppto-Mes'!$B$8:$AW$68,E$2,0),0)&gt;=0,0,IF(-ROUNDDOWN(IFERROR(VLOOKUP($B38,'Ppto-Mes'!$B$8:$AW$68,E$2,0),0),-6)&gt;=D38+F37,D38+F37,-ROUNDUP(IFERROR(VLOOKUP($B38,'Ppto-Mes'!$B$8:$AW$68,E$2,0),0),-6)))</f>
        <v>0</v>
      </c>
      <c r="F38" s="309">
        <f t="shared" si="0"/>
        <v>0</v>
      </c>
      <c r="G38" s="236">
        <f>VLOOKUP($B38,DTF!$B$9:$D$69,IF(Variables!$B$73=1,3,2),0)</f>
        <v>4.7500000000000001E-2</v>
      </c>
      <c r="H38" s="383">
        <f t="shared" si="1"/>
        <v>3.8746849921291737E-3</v>
      </c>
      <c r="I38" s="309">
        <f t="shared" si="3"/>
        <v>0</v>
      </c>
      <c r="J38" s="511"/>
      <c r="K38" s="175">
        <f>'Financ 3'!P46</f>
        <v>30000000</v>
      </c>
      <c r="L38" s="175" t="str">
        <f t="shared" si="2"/>
        <v/>
      </c>
    </row>
    <row r="39" spans="1:12" x14ac:dyDescent="0.35">
      <c r="A39" s="18">
        <v>32</v>
      </c>
      <c r="B39" s="184">
        <v>42978</v>
      </c>
      <c r="C39" s="178">
        <f>IFERROR(VLOOKUP($B38,'Ppto-Mes'!$B$8:$AW$68,C$2,0),0)</f>
        <v>0</v>
      </c>
      <c r="D39" s="309">
        <f>IF(Variables!$B$78=1,IF(C39&gt;Variables!$B$79,ROUNDDOWN(C39,-6)-Variables!$B$79,0),0)</f>
        <v>0</v>
      </c>
      <c r="E39" s="309">
        <f>IF(IFERROR(VLOOKUP($B39,'Ppto-Mes'!$B$8:$AW$68,E$2,0),0)&gt;=0,0,IF(-ROUNDDOWN(IFERROR(VLOOKUP($B39,'Ppto-Mes'!$B$8:$AW$68,E$2,0),0),-6)&gt;=D39+F38,D39+F38,-ROUNDUP(IFERROR(VLOOKUP($B39,'Ppto-Mes'!$B$8:$AW$68,E$2,0),0),-6)))</f>
        <v>0</v>
      </c>
      <c r="F39" s="309">
        <f t="shared" si="0"/>
        <v>0</v>
      </c>
      <c r="G39" s="236">
        <f>VLOOKUP($B39,DTF!$B$9:$D$69,IF(Variables!$B$73=1,3,2),0)</f>
        <v>4.7500000000000001E-2</v>
      </c>
      <c r="H39" s="383">
        <f t="shared" si="1"/>
        <v>3.8746849921291737E-3</v>
      </c>
      <c r="I39" s="309">
        <f t="shared" si="3"/>
        <v>0</v>
      </c>
      <c r="J39" s="511"/>
      <c r="K39" s="175">
        <f>'Financ 3'!P47</f>
        <v>89000000</v>
      </c>
      <c r="L39" s="175" t="str">
        <f t="shared" si="2"/>
        <v/>
      </c>
    </row>
    <row r="40" spans="1:12" x14ac:dyDescent="0.35">
      <c r="A40" s="18">
        <v>33</v>
      </c>
      <c r="B40" s="184">
        <v>43008</v>
      </c>
      <c r="C40" s="178">
        <f>IFERROR(VLOOKUP($B39,'Ppto-Mes'!$B$8:$AW$68,C$2,0),0)</f>
        <v>0</v>
      </c>
      <c r="D40" s="309">
        <f>IF(Variables!$B$78=1,IF(C40&gt;Variables!$B$79,ROUNDDOWN(C40,-6)-Variables!$B$79,0),0)</f>
        <v>0</v>
      </c>
      <c r="E40" s="309">
        <f>IF(IFERROR(VLOOKUP($B40,'Ppto-Mes'!$B$8:$AW$68,E$2,0),0)&gt;=0,0,IF(-ROUNDDOWN(IFERROR(VLOOKUP($B40,'Ppto-Mes'!$B$8:$AW$68,E$2,0),0),-6)&gt;=D40+F39,D40+F39,-ROUNDUP(IFERROR(VLOOKUP($B40,'Ppto-Mes'!$B$8:$AW$68,E$2,0),0),-6)))</f>
        <v>0</v>
      </c>
      <c r="F40" s="309">
        <f t="shared" si="0"/>
        <v>0</v>
      </c>
      <c r="G40" s="236">
        <f>VLOOKUP($B40,DTF!$B$9:$D$69,IF(Variables!$B$73=1,3,2),0)</f>
        <v>4.7500000000000001E-2</v>
      </c>
      <c r="H40" s="383">
        <f t="shared" si="1"/>
        <v>3.8746849921291737E-3</v>
      </c>
      <c r="I40" s="309">
        <f t="shared" si="3"/>
        <v>0</v>
      </c>
      <c r="J40" s="511"/>
      <c r="K40" s="175">
        <f>'Financ 3'!P48</f>
        <v>30000000</v>
      </c>
      <c r="L40" s="175" t="str">
        <f t="shared" si="2"/>
        <v/>
      </c>
    </row>
    <row r="41" spans="1:12" x14ac:dyDescent="0.35">
      <c r="A41" s="18">
        <v>34</v>
      </c>
      <c r="B41" s="184">
        <v>43039</v>
      </c>
      <c r="C41" s="178">
        <f>IFERROR(VLOOKUP($B40,'Ppto-Mes'!$B$8:$AW$68,C$2,0),0)</f>
        <v>0</v>
      </c>
      <c r="D41" s="309">
        <f>IF(Variables!$B$78=1,IF(C41&gt;Variables!$B$79,ROUNDDOWN(C41,-6)-Variables!$B$79,0),0)</f>
        <v>0</v>
      </c>
      <c r="E41" s="309">
        <f>IF(IFERROR(VLOOKUP($B41,'Ppto-Mes'!$B$8:$AW$68,E$2,0),0)&gt;=0,0,IF(-ROUNDDOWN(IFERROR(VLOOKUP($B41,'Ppto-Mes'!$B$8:$AW$68,E$2,0),0),-6)&gt;=D41+F40,D41+F40,-ROUNDUP(IFERROR(VLOOKUP($B41,'Ppto-Mes'!$B$8:$AW$68,E$2,0),0),-6)))</f>
        <v>0</v>
      </c>
      <c r="F41" s="309">
        <f t="shared" si="0"/>
        <v>0</v>
      </c>
      <c r="G41" s="236">
        <f>VLOOKUP($B41,DTF!$B$9:$D$69,IF(Variables!$B$73=1,3,2),0)</f>
        <v>4.4999999999999998E-2</v>
      </c>
      <c r="H41" s="383">
        <f t="shared" si="1"/>
        <v>3.6748094004368514E-3</v>
      </c>
      <c r="I41" s="309">
        <f t="shared" si="3"/>
        <v>0</v>
      </c>
      <c r="J41" s="511"/>
      <c r="K41" s="175">
        <f>'Financ 3'!P49</f>
        <v>89000000</v>
      </c>
      <c r="L41" s="175" t="str">
        <f t="shared" si="2"/>
        <v/>
      </c>
    </row>
    <row r="42" spans="1:12" x14ac:dyDescent="0.35">
      <c r="A42" s="18">
        <v>35</v>
      </c>
      <c r="B42" s="184">
        <v>43069</v>
      </c>
      <c r="C42" s="178">
        <f>IFERROR(VLOOKUP($B41,'Ppto-Mes'!$B$8:$AW$68,C$2,0),0)</f>
        <v>0</v>
      </c>
      <c r="D42" s="309">
        <f>IF(Variables!$B$78=1,IF(C42&gt;Variables!$B$79,ROUNDDOWN(C42,-6)-Variables!$B$79,0),0)</f>
        <v>0</v>
      </c>
      <c r="E42" s="309">
        <f>IF(IFERROR(VLOOKUP($B42,'Ppto-Mes'!$B$8:$AW$68,E$2,0),0)&gt;=0,0,IF(-ROUNDDOWN(IFERROR(VLOOKUP($B42,'Ppto-Mes'!$B$8:$AW$68,E$2,0),0),-6)&gt;=D42+F41,D42+F41,-ROUNDUP(IFERROR(VLOOKUP($B42,'Ppto-Mes'!$B$8:$AW$68,E$2,0),0),-6)))</f>
        <v>0</v>
      </c>
      <c r="F42" s="309">
        <f t="shared" si="0"/>
        <v>0</v>
      </c>
      <c r="G42" s="236">
        <f>VLOOKUP($B42,DTF!$B$9:$D$69,IF(Variables!$B$73=1,3,2),0)</f>
        <v>4.4999999999999998E-2</v>
      </c>
      <c r="H42" s="383">
        <f t="shared" si="1"/>
        <v>3.6748094004368514E-3</v>
      </c>
      <c r="I42" s="309">
        <f t="shared" si="3"/>
        <v>0</v>
      </c>
      <c r="J42" s="511"/>
      <c r="K42" s="175">
        <f>'Financ 3'!P50</f>
        <v>32000000</v>
      </c>
      <c r="L42" s="175" t="str">
        <f t="shared" si="2"/>
        <v/>
      </c>
    </row>
    <row r="43" spans="1:12" x14ac:dyDescent="0.35">
      <c r="A43" s="18">
        <v>36</v>
      </c>
      <c r="B43" s="184">
        <v>43100</v>
      </c>
      <c r="C43" s="178">
        <f>IFERROR(VLOOKUP($B42,'Ppto-Mes'!$B$8:$AW$68,C$2,0),0)</f>
        <v>0</v>
      </c>
      <c r="D43" s="309">
        <f>IF(Variables!$B$78=1,IF(C43&gt;Variables!$B$79,ROUNDDOWN(C43,-6)-Variables!$B$79,0),0)</f>
        <v>0</v>
      </c>
      <c r="E43" s="309">
        <f>IF(IFERROR(VLOOKUP($B43,'Ppto-Mes'!$B$8:$AW$68,E$2,0),0)&gt;=0,0,IF(-ROUNDDOWN(IFERROR(VLOOKUP($B43,'Ppto-Mes'!$B$8:$AW$68,E$2,0),0),-6)&gt;=D43+F42,D43+F42,-ROUNDUP(IFERROR(VLOOKUP($B43,'Ppto-Mes'!$B$8:$AW$68,E$2,0),0),-6)))</f>
        <v>0</v>
      </c>
      <c r="F43" s="309">
        <f t="shared" si="0"/>
        <v>0</v>
      </c>
      <c r="G43" s="236">
        <f>VLOOKUP($B43,DTF!$B$9:$D$69,IF(Variables!$B$73=1,3,2),0)</f>
        <v>4.4999999999999998E-2</v>
      </c>
      <c r="H43" s="383">
        <f t="shared" si="1"/>
        <v>3.6748094004368514E-3</v>
      </c>
      <c r="I43" s="309">
        <f t="shared" si="3"/>
        <v>0</v>
      </c>
      <c r="J43" s="511"/>
      <c r="K43" s="175">
        <f>'Financ 3'!P51</f>
        <v>119000000</v>
      </c>
      <c r="L43" s="175" t="str">
        <f t="shared" si="2"/>
        <v/>
      </c>
    </row>
    <row r="44" spans="1:12" x14ac:dyDescent="0.35">
      <c r="A44" s="18">
        <v>37</v>
      </c>
      <c r="B44" s="184">
        <v>43131</v>
      </c>
      <c r="C44" s="178">
        <f>IFERROR(VLOOKUP($B43,'Ppto-Mes'!$B$8:$AW$68,C$2,0),0)</f>
        <v>0</v>
      </c>
      <c r="D44" s="309">
        <f>IF(Variables!$B$78=1,IF(C44&gt;Variables!$B$79,ROUNDDOWN(C44,-6)-Variables!$B$79,0),0)</f>
        <v>0</v>
      </c>
      <c r="E44" s="309">
        <f>IF(IFERROR(VLOOKUP($B44,'Ppto-Mes'!$B$8:$AW$68,E$2,0),0)&gt;=0,0,IF(-ROUNDDOWN(IFERROR(VLOOKUP($B44,'Ppto-Mes'!$B$8:$AW$68,E$2,0),0),-6)&gt;=D44+F43,D44+F43,-ROUNDUP(IFERROR(VLOOKUP($B44,'Ppto-Mes'!$B$8:$AW$68,E$2,0),0),-6)))</f>
        <v>0</v>
      </c>
      <c r="F44" s="309">
        <f t="shared" si="0"/>
        <v>0</v>
      </c>
      <c r="G44" s="236">
        <f>VLOOKUP($B44,DTF!$B$9:$D$69,IF(Variables!$B$73=1,3,2),0)</f>
        <v>4.7500000000000001E-2</v>
      </c>
      <c r="H44" s="383">
        <f t="shared" si="1"/>
        <v>3.8746849921291737E-3</v>
      </c>
      <c r="I44" s="309">
        <f t="shared" si="3"/>
        <v>0</v>
      </c>
      <c r="J44" s="511"/>
      <c r="K44" s="175">
        <f>'Financ 3'!P52</f>
        <v>41000000</v>
      </c>
      <c r="L44" s="175" t="str">
        <f t="shared" si="2"/>
        <v/>
      </c>
    </row>
    <row r="45" spans="1:12" x14ac:dyDescent="0.35">
      <c r="A45" s="18">
        <v>38</v>
      </c>
      <c r="B45" s="184">
        <v>43159</v>
      </c>
      <c r="C45" s="178">
        <f>IFERROR(VLOOKUP($B44,'Ppto-Mes'!$B$8:$AW$68,C$2,0),0)</f>
        <v>0</v>
      </c>
      <c r="D45" s="309">
        <f>IF(Variables!$B$78=1,IF(C45&gt;Variables!$B$79,ROUNDDOWN(C45,-6)-Variables!$B$79,0),0)</f>
        <v>0</v>
      </c>
      <c r="E45" s="309">
        <f>IF(IFERROR(VLOOKUP($B45,'Ppto-Mes'!$B$8:$AW$68,E$2,0),0)&gt;=0,0,IF(-ROUNDDOWN(IFERROR(VLOOKUP($B45,'Ppto-Mes'!$B$8:$AW$68,E$2,0),0),-6)&gt;=D45+F44,D45+F44,-ROUNDUP(IFERROR(VLOOKUP($B45,'Ppto-Mes'!$B$8:$AW$68,E$2,0),0),-6)))</f>
        <v>0</v>
      </c>
      <c r="F45" s="309">
        <f t="shared" si="0"/>
        <v>0</v>
      </c>
      <c r="G45" s="236">
        <f>VLOOKUP($B45,DTF!$B$9:$D$69,IF(Variables!$B$73=1,3,2),0)</f>
        <v>4.7500000000000001E-2</v>
      </c>
      <c r="H45" s="383">
        <f t="shared" si="1"/>
        <v>3.8746849921291737E-3</v>
      </c>
      <c r="I45" s="309">
        <f t="shared" si="3"/>
        <v>0</v>
      </c>
      <c r="J45" s="511"/>
      <c r="K45" s="175">
        <f>'Financ 3'!P53</f>
        <v>109000000</v>
      </c>
      <c r="L45" s="175" t="str">
        <f t="shared" si="2"/>
        <v/>
      </c>
    </row>
    <row r="46" spans="1:12" x14ac:dyDescent="0.35">
      <c r="A46" s="18">
        <v>39</v>
      </c>
      <c r="B46" s="184">
        <v>43190</v>
      </c>
      <c r="C46" s="178">
        <f>IFERROR(VLOOKUP($B45,'Ppto-Mes'!$B$8:$AW$68,C$2,0),0)</f>
        <v>0</v>
      </c>
      <c r="D46" s="309">
        <f>IF(Variables!$B$78=1,IF(C46&gt;Variables!$B$79,ROUNDDOWN(C46,-6)-Variables!$B$79,0),0)</f>
        <v>0</v>
      </c>
      <c r="E46" s="309">
        <f>IF(IFERROR(VLOOKUP($B46,'Ppto-Mes'!$B$8:$AW$68,E$2,0),0)&gt;=0,0,IF(-ROUNDDOWN(IFERROR(VLOOKUP($B46,'Ppto-Mes'!$B$8:$AW$68,E$2,0),0),-6)&gt;=D46+F45,D46+F45,-ROUNDUP(IFERROR(VLOOKUP($B46,'Ppto-Mes'!$B$8:$AW$68,E$2,0),0),-6)))</f>
        <v>0</v>
      </c>
      <c r="F46" s="309">
        <f t="shared" si="0"/>
        <v>0</v>
      </c>
      <c r="G46" s="236">
        <f>VLOOKUP($B46,DTF!$B$9:$D$69,IF(Variables!$B$73=1,3,2),0)</f>
        <v>4.7500000000000001E-2</v>
      </c>
      <c r="H46" s="383">
        <f t="shared" si="1"/>
        <v>3.8746849921291737E-3</v>
      </c>
      <c r="I46" s="309">
        <f t="shared" si="3"/>
        <v>0</v>
      </c>
      <c r="J46" s="511"/>
      <c r="K46" s="175">
        <f>'Financ 3'!P54</f>
        <v>30000000</v>
      </c>
      <c r="L46" s="175" t="str">
        <f t="shared" si="2"/>
        <v/>
      </c>
    </row>
    <row r="47" spans="1:12" x14ac:dyDescent="0.35">
      <c r="A47" s="18">
        <v>40</v>
      </c>
      <c r="B47" s="184">
        <v>43220</v>
      </c>
      <c r="C47" s="178">
        <f>IFERROR(VLOOKUP($B46,'Ppto-Mes'!$B$8:$AW$68,C$2,0),0)</f>
        <v>0</v>
      </c>
      <c r="D47" s="309">
        <f>IF(Variables!$B$78=1,IF(C47&gt;Variables!$B$79,ROUNDDOWN(C47,-6)-Variables!$B$79,0),0)</f>
        <v>0</v>
      </c>
      <c r="E47" s="309">
        <f>IF(IFERROR(VLOOKUP($B47,'Ppto-Mes'!$B$8:$AW$68,E$2,0),0)&gt;=0,0,IF(-ROUNDDOWN(IFERROR(VLOOKUP($B47,'Ppto-Mes'!$B$8:$AW$68,E$2,0),0),-6)&gt;=D47+F46,D47+F46,-ROUNDUP(IFERROR(VLOOKUP($B47,'Ppto-Mes'!$B$8:$AW$68,E$2,0),0),-6)))</f>
        <v>0</v>
      </c>
      <c r="F47" s="309">
        <f t="shared" si="0"/>
        <v>0</v>
      </c>
      <c r="G47" s="236">
        <f>VLOOKUP($B47,DTF!$B$9:$D$69,IF(Variables!$B$73=1,3,2),0)</f>
        <v>4.4999999999999998E-2</v>
      </c>
      <c r="H47" s="383">
        <f t="shared" si="1"/>
        <v>3.6748094004368514E-3</v>
      </c>
      <c r="I47" s="309">
        <f t="shared" si="3"/>
        <v>0</v>
      </c>
      <c r="J47" s="511"/>
      <c r="K47" s="175">
        <f>'Financ 3'!P55</f>
        <v>103000000</v>
      </c>
      <c r="L47" s="175" t="str">
        <f t="shared" si="2"/>
        <v/>
      </c>
    </row>
    <row r="48" spans="1:12" x14ac:dyDescent="0.35">
      <c r="A48" s="18">
        <v>41</v>
      </c>
      <c r="B48" s="184">
        <v>43251</v>
      </c>
      <c r="C48" s="178">
        <f>IFERROR(VLOOKUP($B47,'Ppto-Mes'!$B$8:$AW$68,C$2,0),0)</f>
        <v>0</v>
      </c>
      <c r="D48" s="309">
        <f>IF(Variables!$B$78=1,IF(C48&gt;Variables!$B$79,ROUNDDOWN(C48,-6)-Variables!$B$79,0),0)</f>
        <v>0</v>
      </c>
      <c r="E48" s="309">
        <f>IF(IFERROR(VLOOKUP($B48,'Ppto-Mes'!$B$8:$AW$68,E$2,0),0)&gt;=0,0,IF(-ROUNDDOWN(IFERROR(VLOOKUP($B48,'Ppto-Mes'!$B$8:$AW$68,E$2,0),0),-6)&gt;=D48+F47,D48+F47,-ROUNDUP(IFERROR(VLOOKUP($B48,'Ppto-Mes'!$B$8:$AW$68,E$2,0),0),-6)))</f>
        <v>0</v>
      </c>
      <c r="F48" s="309">
        <f t="shared" si="0"/>
        <v>0</v>
      </c>
      <c r="G48" s="236">
        <f>VLOOKUP($B48,DTF!$B$9:$D$69,IF(Variables!$B$73=1,3,2),0)</f>
        <v>4.4999999999999998E-2</v>
      </c>
      <c r="H48" s="383">
        <f t="shared" si="1"/>
        <v>3.6748094004368514E-3</v>
      </c>
      <c r="I48" s="309">
        <f t="shared" si="3"/>
        <v>0</v>
      </c>
      <c r="J48" s="511"/>
      <c r="K48" s="175">
        <f>'Financ 3'!P56</f>
        <v>21000000</v>
      </c>
      <c r="L48" s="175" t="str">
        <f t="shared" si="2"/>
        <v/>
      </c>
    </row>
    <row r="49" spans="1:12" x14ac:dyDescent="0.35">
      <c r="A49" s="18">
        <v>42</v>
      </c>
      <c r="B49" s="184">
        <v>43281</v>
      </c>
      <c r="C49" s="178">
        <f>IFERROR(VLOOKUP($B48,'Ppto-Mes'!$B$8:$AW$68,C$2,0),0)</f>
        <v>0</v>
      </c>
      <c r="D49" s="309">
        <f>IF(Variables!$B$78=1,IF(C49&gt;Variables!$B$79,ROUNDDOWN(C49,-6)-Variables!$B$79,0),0)</f>
        <v>0</v>
      </c>
      <c r="E49" s="309">
        <f>IF(IFERROR(VLOOKUP($B49,'Ppto-Mes'!$B$8:$AW$68,E$2,0),0)&gt;=0,0,IF(-ROUNDDOWN(IFERROR(VLOOKUP($B49,'Ppto-Mes'!$B$8:$AW$68,E$2,0),0),-6)&gt;=D49+F48,D49+F48,-ROUNDUP(IFERROR(VLOOKUP($B49,'Ppto-Mes'!$B$8:$AW$68,E$2,0),0),-6)))</f>
        <v>0</v>
      </c>
      <c r="F49" s="309">
        <f t="shared" si="0"/>
        <v>0</v>
      </c>
      <c r="G49" s="236">
        <f>VLOOKUP($B49,DTF!$B$9:$D$69,IF(Variables!$B$73=1,3,2),0)</f>
        <v>4.4999999999999998E-2</v>
      </c>
      <c r="H49" s="383">
        <f t="shared" si="1"/>
        <v>3.6748094004368514E-3</v>
      </c>
      <c r="I49" s="309">
        <f t="shared" si="3"/>
        <v>0</v>
      </c>
      <c r="J49" s="511"/>
      <c r="K49" s="175">
        <f>'Financ 3'!P57</f>
        <v>106000000</v>
      </c>
      <c r="L49" s="175" t="str">
        <f t="shared" si="2"/>
        <v/>
      </c>
    </row>
    <row r="50" spans="1:12" x14ac:dyDescent="0.35">
      <c r="A50" s="18">
        <v>43</v>
      </c>
      <c r="B50" s="184">
        <v>43312</v>
      </c>
      <c r="C50" s="178">
        <f>IFERROR(VLOOKUP($B49,'Ppto-Mes'!$B$8:$AW$68,C$2,0),0)</f>
        <v>0</v>
      </c>
      <c r="D50" s="309">
        <f>IF(Variables!$B$78=1,IF(C50&gt;Variables!$B$79,ROUNDDOWN(C50,-6)-Variables!$B$79,0),0)</f>
        <v>0</v>
      </c>
      <c r="E50" s="309">
        <f>IF(IFERROR(VLOOKUP($B50,'Ppto-Mes'!$B$8:$AW$68,E$2,0),0)&gt;=0,0,IF(-ROUNDDOWN(IFERROR(VLOOKUP($B50,'Ppto-Mes'!$B$8:$AW$68,E$2,0),0),-6)&gt;=D50+F49,D50+F49,-ROUNDUP(IFERROR(VLOOKUP($B50,'Ppto-Mes'!$B$8:$AW$68,E$2,0),0),-6)))</f>
        <v>0</v>
      </c>
      <c r="F50" s="309">
        <f t="shared" si="0"/>
        <v>0</v>
      </c>
      <c r="G50" s="236">
        <f>VLOOKUP($B50,DTF!$B$9:$D$69,IF(Variables!$B$73=1,3,2),0)</f>
        <v>4.4999999999999998E-2</v>
      </c>
      <c r="H50" s="383">
        <f t="shared" si="1"/>
        <v>3.6748094004368514E-3</v>
      </c>
      <c r="I50" s="309">
        <f t="shared" si="3"/>
        <v>0</v>
      </c>
      <c r="J50" s="511"/>
      <c r="K50" s="175">
        <f>'Financ 3'!P58</f>
        <v>10000000</v>
      </c>
      <c r="L50" s="175" t="str">
        <f t="shared" si="2"/>
        <v/>
      </c>
    </row>
    <row r="51" spans="1:12" x14ac:dyDescent="0.35">
      <c r="A51" s="18">
        <v>44</v>
      </c>
      <c r="B51" s="184">
        <v>43343</v>
      </c>
      <c r="C51" s="178">
        <f>IFERROR(VLOOKUP($B50,'Ppto-Mes'!$B$8:$AW$68,C$2,0),0)</f>
        <v>0</v>
      </c>
      <c r="D51" s="309">
        <f>IF(Variables!$B$78=1,IF(C51&gt;Variables!$B$79,ROUNDDOWN(C51,-6)-Variables!$B$79,0),0)</f>
        <v>0</v>
      </c>
      <c r="E51" s="309">
        <f>IF(IFERROR(VLOOKUP($B51,'Ppto-Mes'!$B$8:$AW$68,E$2,0),0)&gt;=0,0,IF(-ROUNDDOWN(IFERROR(VLOOKUP($B51,'Ppto-Mes'!$B$8:$AW$68,E$2,0),0),-6)&gt;=D51+F50,D51+F50,-ROUNDUP(IFERROR(VLOOKUP($B51,'Ppto-Mes'!$B$8:$AW$68,E$2,0),0),-6)))</f>
        <v>0</v>
      </c>
      <c r="F51" s="309">
        <f t="shared" si="0"/>
        <v>0</v>
      </c>
      <c r="G51" s="236">
        <f>VLOOKUP($B51,DTF!$B$9:$D$69,IF(Variables!$B$73=1,3,2),0)</f>
        <v>4.4999999999999998E-2</v>
      </c>
      <c r="H51" s="383">
        <f t="shared" si="1"/>
        <v>3.6748094004368514E-3</v>
      </c>
      <c r="I51" s="309">
        <f t="shared" si="3"/>
        <v>0</v>
      </c>
      <c r="J51" s="511"/>
      <c r="K51" s="175">
        <f>'Financ 3'!P59</f>
        <v>95000000</v>
      </c>
      <c r="L51" s="175" t="str">
        <f t="shared" si="2"/>
        <v/>
      </c>
    </row>
    <row r="52" spans="1:12" x14ac:dyDescent="0.35">
      <c r="A52" s="18">
        <v>45</v>
      </c>
      <c r="B52" s="184">
        <v>43373</v>
      </c>
      <c r="C52" s="178">
        <f>IFERROR(VLOOKUP($B51,'Ppto-Mes'!$B$8:$AW$68,C$2,0),0)</f>
        <v>0</v>
      </c>
      <c r="D52" s="309">
        <f>IF(Variables!$B$78=1,IF(C52&gt;Variables!$B$79,ROUNDDOWN(C52,-6)-Variables!$B$79,0),0)</f>
        <v>0</v>
      </c>
      <c r="E52" s="309">
        <f>IF(IFERROR(VLOOKUP($B52,'Ppto-Mes'!$B$8:$AW$68,E$2,0),0)&gt;=0,0,IF(-ROUNDDOWN(IFERROR(VLOOKUP($B52,'Ppto-Mes'!$B$8:$AW$68,E$2,0),0),-6)&gt;=D52+F51,D52+F51,-ROUNDUP(IFERROR(VLOOKUP($B52,'Ppto-Mes'!$B$8:$AW$68,E$2,0),0),-6)))</f>
        <v>0</v>
      </c>
      <c r="F52" s="309">
        <f t="shared" si="0"/>
        <v>0</v>
      </c>
      <c r="G52" s="236">
        <f>VLOOKUP($B52,DTF!$B$9:$D$69,IF(Variables!$B$73=1,3,2),0)</f>
        <v>4.4999999999999998E-2</v>
      </c>
      <c r="H52" s="383">
        <f t="shared" si="1"/>
        <v>3.6748094004368514E-3</v>
      </c>
      <c r="I52" s="309">
        <f t="shared" si="3"/>
        <v>0</v>
      </c>
      <c r="J52" s="511"/>
      <c r="K52" s="175">
        <f>'Financ 3'!P60</f>
        <v>0</v>
      </c>
      <c r="L52" s="175" t="str">
        <f t="shared" si="2"/>
        <v/>
      </c>
    </row>
    <row r="53" spans="1:12" x14ac:dyDescent="0.35">
      <c r="A53" s="18">
        <v>46</v>
      </c>
      <c r="B53" s="184">
        <v>43404</v>
      </c>
      <c r="C53" s="178">
        <f>IFERROR(VLOOKUP($B52,'Ppto-Mes'!$B$8:$AW$68,C$2,0),0)</f>
        <v>0</v>
      </c>
      <c r="D53" s="309">
        <f>IF(Variables!$B$78=1,IF(C53&gt;Variables!$B$79,ROUNDDOWN(C53,-6)-Variables!$B$79,0),0)</f>
        <v>0</v>
      </c>
      <c r="E53" s="309">
        <f>IF(IFERROR(VLOOKUP($B53,'Ppto-Mes'!$B$8:$AW$68,E$2,0),0)&gt;=0,0,IF(-ROUNDDOWN(IFERROR(VLOOKUP($B53,'Ppto-Mes'!$B$8:$AW$68,E$2,0),0),-6)&gt;=D53+F52,D53+F52,-ROUNDUP(IFERROR(VLOOKUP($B53,'Ppto-Mes'!$B$8:$AW$68,E$2,0),0),-6)))</f>
        <v>0</v>
      </c>
      <c r="F53" s="309">
        <f t="shared" si="0"/>
        <v>0</v>
      </c>
      <c r="G53" s="236">
        <f>VLOOKUP($B53,DTF!$B$9:$D$69,IF(Variables!$B$73=1,3,2),0)</f>
        <v>4.4999999999999998E-2</v>
      </c>
      <c r="H53" s="383">
        <f t="shared" si="1"/>
        <v>3.6748094004368514E-3</v>
      </c>
      <c r="I53" s="309">
        <f t="shared" si="3"/>
        <v>0</v>
      </c>
      <c r="J53" s="511"/>
      <c r="K53" s="175">
        <f>'Financ 3'!P61</f>
        <v>83000000</v>
      </c>
      <c r="L53" s="175" t="str">
        <f t="shared" si="2"/>
        <v/>
      </c>
    </row>
    <row r="54" spans="1:12" x14ac:dyDescent="0.35">
      <c r="A54" s="18">
        <v>47</v>
      </c>
      <c r="B54" s="184">
        <v>43434</v>
      </c>
      <c r="C54" s="178">
        <f>IFERROR(VLOOKUP($B53,'Ppto-Mes'!$B$8:$AW$68,C$2,0),0)</f>
        <v>479009.03649944067</v>
      </c>
      <c r="D54" s="309">
        <f>IF(Variables!$B$78=1,IF(C54&gt;Variables!$B$79,ROUNDDOWN(C54,-6)-Variables!$B$79,0),0)</f>
        <v>0</v>
      </c>
      <c r="E54" s="309">
        <f>IF(IFERROR(VLOOKUP($B54,'Ppto-Mes'!$B$8:$AW$68,E$2,0),0)&gt;=0,0,IF(-ROUNDDOWN(IFERROR(VLOOKUP($B54,'Ppto-Mes'!$B$8:$AW$68,E$2,0),0),-6)&gt;=D54+F53,D54+F53,-ROUNDUP(IFERROR(VLOOKUP($B54,'Ppto-Mes'!$B$8:$AW$68,E$2,0),0),-6)))</f>
        <v>0</v>
      </c>
      <c r="F54" s="309">
        <f t="shared" si="0"/>
        <v>0</v>
      </c>
      <c r="G54" s="236">
        <f>VLOOKUP($B54,DTF!$B$9:$D$69,IF(Variables!$B$73=1,3,2),0)</f>
        <v>4.4999999999999998E-2</v>
      </c>
      <c r="H54" s="383">
        <f t="shared" si="1"/>
        <v>3.6748094004368514E-3</v>
      </c>
      <c r="I54" s="309">
        <f t="shared" si="3"/>
        <v>0</v>
      </c>
      <c r="J54" s="511"/>
      <c r="K54" s="175">
        <f>'Financ 3'!P62</f>
        <v>0</v>
      </c>
      <c r="L54" s="175" t="str">
        <f t="shared" si="2"/>
        <v/>
      </c>
    </row>
    <row r="55" spans="1:12" x14ac:dyDescent="0.35">
      <c r="A55" s="18">
        <v>48</v>
      </c>
      <c r="B55" s="184">
        <v>43465</v>
      </c>
      <c r="C55" s="178">
        <f>IFERROR(VLOOKUP($B54,'Ppto-Mes'!$B$8:$AW$68,C$2,0),0)</f>
        <v>0</v>
      </c>
      <c r="D55" s="309">
        <f>IF(Variables!$B$78=1,IF(C55&gt;Variables!$B$79,ROUNDDOWN(C55,-6)-Variables!$B$79,0),0)</f>
        <v>0</v>
      </c>
      <c r="E55" s="309">
        <f>IF(IFERROR(VLOOKUP($B55,'Ppto-Mes'!$B$8:$AW$68,E$2,0),0)&gt;=0,0,IF(-ROUNDDOWN(IFERROR(VLOOKUP($B55,'Ppto-Mes'!$B$8:$AW$68,E$2,0),0),-6)&gt;=D55+F54,D55+F54,-ROUNDUP(IFERROR(VLOOKUP($B55,'Ppto-Mes'!$B$8:$AW$68,E$2,0),0),-6)))</f>
        <v>0</v>
      </c>
      <c r="F55" s="309">
        <f t="shared" si="0"/>
        <v>0</v>
      </c>
      <c r="G55" s="236">
        <f>VLOOKUP($B55,DTF!$B$9:$D$69,IF(Variables!$B$73=1,3,2),0)</f>
        <v>4.4999999999999998E-2</v>
      </c>
      <c r="H55" s="383">
        <f t="shared" si="1"/>
        <v>3.6748094004368514E-3</v>
      </c>
      <c r="I55" s="309">
        <f t="shared" si="3"/>
        <v>0</v>
      </c>
      <c r="J55" s="511"/>
      <c r="K55" s="175">
        <f>'Financ 3'!P63</f>
        <v>130000000</v>
      </c>
      <c r="L55" s="175" t="str">
        <f t="shared" si="2"/>
        <v/>
      </c>
    </row>
    <row r="56" spans="1:12" x14ac:dyDescent="0.35">
      <c r="A56" s="18">
        <v>49</v>
      </c>
      <c r="B56" s="184">
        <v>43496</v>
      </c>
      <c r="C56" s="178">
        <f>IFERROR(VLOOKUP($B55,'Ppto-Mes'!$B$8:$AW$68,C$2,0),0)</f>
        <v>567155.06209939718</v>
      </c>
      <c r="D56" s="309">
        <f>IF(Variables!$B$78=1,IF(C56&gt;Variables!$B$79,ROUNDDOWN(C56,-6)-Variables!$B$79,0),0)</f>
        <v>0</v>
      </c>
      <c r="E56" s="309">
        <f>IF(IFERROR(VLOOKUP($B56,'Ppto-Mes'!$B$8:$AW$68,E$2,0),0)&gt;=0,0,IF(-ROUNDDOWN(IFERROR(VLOOKUP($B56,'Ppto-Mes'!$B$8:$AW$68,E$2,0),0),-6)&gt;=D56+F55,D56+F55,-ROUNDUP(IFERROR(VLOOKUP($B56,'Ppto-Mes'!$B$8:$AW$68,E$2,0),0),-6)))</f>
        <v>0</v>
      </c>
      <c r="F56" s="309">
        <f t="shared" si="0"/>
        <v>0</v>
      </c>
      <c r="G56" s="236">
        <f>VLOOKUP($B56,DTF!$B$9:$D$69,IF(Variables!$B$73=1,3,2),0)</f>
        <v>4.4999999999999998E-2</v>
      </c>
      <c r="H56" s="383">
        <f t="shared" si="1"/>
        <v>3.6748094004368514E-3</v>
      </c>
      <c r="I56" s="309">
        <f t="shared" si="3"/>
        <v>0</v>
      </c>
      <c r="J56" s="511"/>
      <c r="K56" s="175">
        <f>'Financ 3'!P64</f>
        <v>2000000</v>
      </c>
      <c r="L56" s="175" t="str">
        <f t="shared" si="2"/>
        <v/>
      </c>
    </row>
    <row r="57" spans="1:12" x14ac:dyDescent="0.35">
      <c r="A57" s="18">
        <v>50</v>
      </c>
      <c r="B57" s="184">
        <v>43524</v>
      </c>
      <c r="C57" s="178">
        <f>IFERROR(VLOOKUP($B56,'Ppto-Mes'!$B$8:$AW$68,C$2,0),0)</f>
        <v>0</v>
      </c>
      <c r="D57" s="309">
        <f>IF(Variables!$B$78=1,IF(C57&gt;Variables!$B$79,ROUNDDOWN(C57,-6)-Variables!$B$79,0),0)</f>
        <v>0</v>
      </c>
      <c r="E57" s="309">
        <f>IF(IFERROR(VLOOKUP($B57,'Ppto-Mes'!$B$8:$AW$68,E$2,0),0)&gt;=0,0,IF(-ROUNDDOWN(IFERROR(VLOOKUP($B57,'Ppto-Mes'!$B$8:$AW$68,E$2,0),0),-6)&gt;=D57+F56,D57+F56,-ROUNDUP(IFERROR(VLOOKUP($B57,'Ppto-Mes'!$B$8:$AW$68,E$2,0),0),-6)))</f>
        <v>0</v>
      </c>
      <c r="F57" s="309">
        <f t="shared" si="0"/>
        <v>0</v>
      </c>
      <c r="G57" s="236">
        <f>VLOOKUP($B57,DTF!$B$9:$D$69,IF(Variables!$B$73=1,3,2),0)</f>
        <v>4.4999999999999998E-2</v>
      </c>
      <c r="H57" s="383">
        <f t="shared" si="1"/>
        <v>3.6748094004368514E-3</v>
      </c>
      <c r="I57" s="309">
        <f t="shared" si="3"/>
        <v>0</v>
      </c>
      <c r="J57" s="511"/>
      <c r="K57" s="175">
        <f>'Financ 3'!P65</f>
        <v>119000000</v>
      </c>
      <c r="L57" s="175" t="str">
        <f t="shared" si="2"/>
        <v/>
      </c>
    </row>
    <row r="58" spans="1:12" x14ac:dyDescent="0.35">
      <c r="A58" s="18">
        <v>51</v>
      </c>
      <c r="B58" s="184">
        <v>43555</v>
      </c>
      <c r="C58" s="178">
        <f>IFERROR(VLOOKUP($B57,'Ppto-Mes'!$B$8:$AW$68,C$2,0),0)</f>
        <v>0</v>
      </c>
      <c r="D58" s="309">
        <f>IF(Variables!$B$78=1,IF(C58&gt;Variables!$B$79,ROUNDDOWN(C58,-6)-Variables!$B$79,0),0)</f>
        <v>0</v>
      </c>
      <c r="E58" s="309">
        <f>IF(IFERROR(VLOOKUP($B58,'Ppto-Mes'!$B$8:$AW$68,E$2,0),0)&gt;=0,0,IF(-ROUNDDOWN(IFERROR(VLOOKUP($B58,'Ppto-Mes'!$B$8:$AW$68,E$2,0),0),-6)&gt;=D58+F57,D58+F57,-ROUNDUP(IFERROR(VLOOKUP($B58,'Ppto-Mes'!$B$8:$AW$68,E$2,0),0),-6)))</f>
        <v>0</v>
      </c>
      <c r="F58" s="309">
        <f t="shared" si="0"/>
        <v>0</v>
      </c>
      <c r="G58" s="236">
        <f>VLOOKUP($B58,DTF!$B$9:$D$69,IF(Variables!$B$73=1,3,2),0)</f>
        <v>4.4999999999999998E-2</v>
      </c>
      <c r="H58" s="383">
        <f t="shared" si="1"/>
        <v>3.6748094004368514E-3</v>
      </c>
      <c r="I58" s="309">
        <f t="shared" si="3"/>
        <v>0</v>
      </c>
      <c r="J58" s="511"/>
      <c r="K58" s="175">
        <f>'Financ 3'!P66</f>
        <v>0</v>
      </c>
      <c r="L58" s="175" t="str">
        <f t="shared" si="2"/>
        <v/>
      </c>
    </row>
    <row r="59" spans="1:12" x14ac:dyDescent="0.35">
      <c r="A59" s="18">
        <v>52</v>
      </c>
      <c r="B59" s="184">
        <v>43585</v>
      </c>
      <c r="C59" s="178">
        <f>IFERROR(VLOOKUP($B58,'Ppto-Mes'!$B$8:$AW$68,C$2,0),0)</f>
        <v>0</v>
      </c>
      <c r="D59" s="309">
        <f>IF(Variables!$B$78=1,IF(C59&gt;Variables!$B$79,ROUNDDOWN(C59,-6)-Variables!$B$79,0),0)</f>
        <v>0</v>
      </c>
      <c r="E59" s="309">
        <f>IF(IFERROR(VLOOKUP($B59,'Ppto-Mes'!$B$8:$AW$68,E$2,0),0)&gt;=0,0,IF(-ROUNDDOWN(IFERROR(VLOOKUP($B59,'Ppto-Mes'!$B$8:$AW$68,E$2,0),0),-6)&gt;=D59+F58,D59+F58,-ROUNDUP(IFERROR(VLOOKUP($B59,'Ppto-Mes'!$B$8:$AW$68,E$2,0),0),-6)))</f>
        <v>0</v>
      </c>
      <c r="F59" s="309">
        <f t="shared" si="0"/>
        <v>0</v>
      </c>
      <c r="G59" s="236">
        <f>VLOOKUP($B59,DTF!$B$9:$D$69,IF(Variables!$B$73=1,3,2),0)</f>
        <v>4.7500000000000001E-2</v>
      </c>
      <c r="H59" s="383">
        <f t="shared" si="1"/>
        <v>3.8746849921291737E-3</v>
      </c>
      <c r="I59" s="309">
        <f t="shared" si="3"/>
        <v>0</v>
      </c>
      <c r="J59" s="511"/>
      <c r="K59" s="175">
        <f>'Financ 3'!P67</f>
        <v>106000000</v>
      </c>
      <c r="L59" s="175" t="str">
        <f t="shared" si="2"/>
        <v/>
      </c>
    </row>
    <row r="60" spans="1:12" x14ac:dyDescent="0.35">
      <c r="A60" s="18">
        <v>53</v>
      </c>
      <c r="B60" s="184">
        <v>43616</v>
      </c>
      <c r="C60" s="178">
        <f>IFERROR(VLOOKUP($B59,'Ppto-Mes'!$B$8:$AW$68,C$2,0),0)</f>
        <v>311060.08869940042</v>
      </c>
      <c r="D60" s="309">
        <f>IF(Variables!$B$78=1,IF(C60&gt;Variables!$B$79,ROUNDDOWN(C60,-6)-Variables!$B$79,0),0)</f>
        <v>0</v>
      </c>
      <c r="E60" s="309">
        <f>IF(IFERROR(VLOOKUP($B60,'Ppto-Mes'!$B$8:$AW$68,E$2,0),0)&gt;=0,0,IF(-ROUNDDOWN(IFERROR(VLOOKUP($B60,'Ppto-Mes'!$B$8:$AW$68,E$2,0),0),-6)&gt;=D60+F59,D60+F59,-ROUNDUP(IFERROR(VLOOKUP($B60,'Ppto-Mes'!$B$8:$AW$68,E$2,0),0),-6)))</f>
        <v>0</v>
      </c>
      <c r="F60" s="309">
        <f t="shared" si="0"/>
        <v>0</v>
      </c>
      <c r="G60" s="236">
        <f>VLOOKUP($B60,DTF!$B$9:$D$69,IF(Variables!$B$73=1,3,2),0)</f>
        <v>4.7500000000000001E-2</v>
      </c>
      <c r="H60" s="383">
        <f t="shared" si="1"/>
        <v>3.8746849921291737E-3</v>
      </c>
      <c r="I60" s="309">
        <f t="shared" si="3"/>
        <v>0</v>
      </c>
      <c r="J60" s="511"/>
      <c r="K60" s="175">
        <f>'Financ 3'!P68</f>
        <v>0</v>
      </c>
      <c r="L60" s="175" t="str">
        <f t="shared" si="2"/>
        <v/>
      </c>
    </row>
    <row r="61" spans="1:12" x14ac:dyDescent="0.35">
      <c r="A61" s="18">
        <v>54</v>
      </c>
      <c r="B61" s="184">
        <v>43646</v>
      </c>
      <c r="C61" s="178">
        <f>IFERROR(VLOOKUP($B60,'Ppto-Mes'!$B$8:$AW$68,C$2,0),0)</f>
        <v>0</v>
      </c>
      <c r="D61" s="309">
        <f>IF(Variables!$B$78=1,IF(C61&gt;Variables!$B$79,ROUNDDOWN(C61,-6)-Variables!$B$79,0),0)</f>
        <v>0</v>
      </c>
      <c r="E61" s="309">
        <f>IF(IFERROR(VLOOKUP($B61,'Ppto-Mes'!$B$8:$AW$68,E$2,0),0)&gt;=0,0,IF(-ROUNDDOWN(IFERROR(VLOOKUP($B61,'Ppto-Mes'!$B$8:$AW$68,E$2,0),0),-6)&gt;=D61+F60,D61+F60,-ROUNDUP(IFERROR(VLOOKUP($B61,'Ppto-Mes'!$B$8:$AW$68,E$2,0),0),-6)))</f>
        <v>0</v>
      </c>
      <c r="F61" s="309">
        <f t="shared" si="0"/>
        <v>0</v>
      </c>
      <c r="G61" s="236">
        <f>VLOOKUP($B61,DTF!$B$9:$D$69,IF(Variables!$B$73=1,3,2),0)</f>
        <v>4.7500000000000001E-2</v>
      </c>
      <c r="H61" s="383">
        <f t="shared" si="1"/>
        <v>3.8746849921291737E-3</v>
      </c>
      <c r="I61" s="309">
        <f t="shared" si="3"/>
        <v>0</v>
      </c>
      <c r="J61" s="511"/>
      <c r="K61" s="175">
        <f>'Financ 3'!P69</f>
        <v>104000000</v>
      </c>
      <c r="L61" s="175" t="str">
        <f t="shared" si="2"/>
        <v/>
      </c>
    </row>
    <row r="62" spans="1:12" x14ac:dyDescent="0.35">
      <c r="A62" s="18">
        <v>55</v>
      </c>
      <c r="B62" s="184">
        <v>43677</v>
      </c>
      <c r="C62" s="178">
        <f>IFERROR(VLOOKUP($B61,'Ppto-Mes'!$B$8:$AW$68,C$2,0),0)</f>
        <v>530755.60199940205</v>
      </c>
      <c r="D62" s="309">
        <f>IF(Variables!$B$78=1,IF(C62&gt;Variables!$B$79,ROUNDDOWN(C62,-6)-Variables!$B$79,0),0)</f>
        <v>0</v>
      </c>
      <c r="E62" s="309">
        <f>IF(IFERROR(VLOOKUP($B62,'Ppto-Mes'!$B$8:$AW$68,E$2,0),0)&gt;=0,0,IF(-ROUNDDOWN(IFERROR(VLOOKUP($B62,'Ppto-Mes'!$B$8:$AW$68,E$2,0),0),-6)&gt;=D62+F61,D62+F61,-ROUNDUP(IFERROR(VLOOKUP($B62,'Ppto-Mes'!$B$8:$AW$68,E$2,0),0),-6)))</f>
        <v>0</v>
      </c>
      <c r="F62" s="309">
        <f t="shared" si="0"/>
        <v>0</v>
      </c>
      <c r="G62" s="236">
        <f>VLOOKUP($B62,DTF!$B$9:$D$69,IF(Variables!$B$73=1,3,2),0)</f>
        <v>0.05</v>
      </c>
      <c r="H62" s="383">
        <f t="shared" si="1"/>
        <v>4.0741237836483535E-3</v>
      </c>
      <c r="I62" s="309">
        <f t="shared" si="3"/>
        <v>0</v>
      </c>
      <c r="J62" s="511"/>
      <c r="K62" s="175">
        <f>'Financ 3'!P70</f>
        <v>0</v>
      </c>
      <c r="L62" s="175" t="str">
        <f t="shared" si="2"/>
        <v/>
      </c>
    </row>
    <row r="63" spans="1:12" x14ac:dyDescent="0.35">
      <c r="A63" s="18">
        <v>56</v>
      </c>
      <c r="B63" s="184">
        <v>43708</v>
      </c>
      <c r="C63" s="178">
        <f>IFERROR(VLOOKUP($B62,'Ppto-Mes'!$B$8:$AW$68,C$2,0),0)</f>
        <v>0</v>
      </c>
      <c r="D63" s="309">
        <f>IF(Variables!$B$78=1,IF(C63&gt;Variables!$B$79,ROUNDDOWN(C63,-6)-Variables!$B$79,0),0)</f>
        <v>0</v>
      </c>
      <c r="E63" s="309">
        <f>IF(IFERROR(VLOOKUP($B63,'Ppto-Mes'!$B$8:$AW$68,E$2,0),0)&gt;=0,0,IF(-ROUNDDOWN(IFERROR(VLOOKUP($B63,'Ppto-Mes'!$B$8:$AW$68,E$2,0),0),-6)&gt;=D63+F62,D63+F62,-ROUNDUP(IFERROR(VLOOKUP($B63,'Ppto-Mes'!$B$8:$AW$68,E$2,0),0),-6)))</f>
        <v>0</v>
      </c>
      <c r="F63" s="309">
        <f t="shared" si="0"/>
        <v>0</v>
      </c>
      <c r="G63" s="236">
        <f>VLOOKUP($B63,DTF!$B$9:$D$69,IF(Variables!$B$73=1,3,2),0)</f>
        <v>0.05</v>
      </c>
      <c r="H63" s="383">
        <f t="shared" si="1"/>
        <v>4.0741237836483535E-3</v>
      </c>
      <c r="I63" s="309">
        <f t="shared" si="3"/>
        <v>0</v>
      </c>
      <c r="J63" s="511"/>
      <c r="K63" s="175">
        <f>'Financ 3'!P71</f>
        <v>80000000</v>
      </c>
      <c r="L63" s="175" t="str">
        <f t="shared" si="2"/>
        <v/>
      </c>
    </row>
    <row r="64" spans="1:12" x14ac:dyDescent="0.35">
      <c r="A64" s="18">
        <v>57</v>
      </c>
      <c r="B64" s="184">
        <v>43738</v>
      </c>
      <c r="C64" s="178">
        <f>IFERROR(VLOOKUP($B63,'Ppto-Mes'!$B$8:$AW$68,C$2,0),0)</f>
        <v>528409.11529940367</v>
      </c>
      <c r="D64" s="309">
        <f>IF(Variables!$B$78=1,IF(C64&gt;Variables!$B$79,ROUNDDOWN(C64,-6)-Variables!$B$79,0),0)</f>
        <v>0</v>
      </c>
      <c r="E64" s="309">
        <f>IF(IFERROR(VLOOKUP($B64,'Ppto-Mes'!$B$8:$AW$68,E$2,0),0)&gt;=0,0,IF(-ROUNDDOWN(IFERROR(VLOOKUP($B64,'Ppto-Mes'!$B$8:$AW$68,E$2,0),0),-6)&gt;=D64+F63,D64+F63,-ROUNDUP(IFERROR(VLOOKUP($B64,'Ppto-Mes'!$B$8:$AW$68,E$2,0),0),-6)))</f>
        <v>0</v>
      </c>
      <c r="F64" s="309">
        <f t="shared" si="0"/>
        <v>0</v>
      </c>
      <c r="G64" s="236">
        <f>VLOOKUP($B64,DTF!$B$9:$D$69,IF(Variables!$B$73=1,3,2),0)</f>
        <v>0.05</v>
      </c>
      <c r="H64" s="383">
        <f t="shared" si="1"/>
        <v>4.0741237836483535E-3</v>
      </c>
      <c r="I64" s="309">
        <f t="shared" si="3"/>
        <v>0</v>
      </c>
      <c r="J64" s="511"/>
      <c r="K64" s="175">
        <f>'Financ 3'!P72</f>
        <v>0</v>
      </c>
      <c r="L64" s="175" t="str">
        <f t="shared" si="2"/>
        <v/>
      </c>
    </row>
    <row r="65" spans="1:12" x14ac:dyDescent="0.35">
      <c r="A65" s="18">
        <v>58</v>
      </c>
      <c r="B65" s="184">
        <v>43769</v>
      </c>
      <c r="C65" s="178">
        <f>IFERROR(VLOOKUP($B64,'Ppto-Mes'!$B$8:$AW$68,C$2,0),0)</f>
        <v>0</v>
      </c>
      <c r="D65" s="309">
        <f>IF(Variables!$B$78=1,IF(C65&gt;Variables!$B$79,ROUNDDOWN(C65,-6)-Variables!$B$79,0),0)</f>
        <v>0</v>
      </c>
      <c r="E65" s="309">
        <f>IF(IFERROR(VLOOKUP($B65,'Ppto-Mes'!$B$8:$AW$68,E$2,0),0)&gt;=0,0,IF(-ROUNDDOWN(IFERROR(VLOOKUP($B65,'Ppto-Mes'!$B$8:$AW$68,E$2,0),0),-6)&gt;=D65+F64,D65+F64,-ROUNDUP(IFERROR(VLOOKUP($B65,'Ppto-Mes'!$B$8:$AW$68,E$2,0),0),-6)))</f>
        <v>0</v>
      </c>
      <c r="F65" s="309">
        <f t="shared" si="0"/>
        <v>0</v>
      </c>
      <c r="G65" s="236">
        <f>VLOOKUP($B65,DTF!$B$9:$D$69,IF(Variables!$B$73=1,3,2),0)</f>
        <v>5.2500000000000005E-2</v>
      </c>
      <c r="H65" s="383">
        <f t="shared" si="1"/>
        <v>4.2731277661580691E-3</v>
      </c>
      <c r="I65" s="309">
        <f t="shared" si="3"/>
        <v>0</v>
      </c>
      <c r="J65" s="511"/>
      <c r="K65" s="175">
        <f>'Financ 3'!P73</f>
        <v>56000000</v>
      </c>
      <c r="L65" s="175" t="str">
        <f t="shared" si="2"/>
        <v/>
      </c>
    </row>
    <row r="66" spans="1:12" x14ac:dyDescent="0.35">
      <c r="A66" s="18">
        <v>59</v>
      </c>
      <c r="B66" s="184">
        <v>43799</v>
      </c>
      <c r="C66" s="178">
        <f>IFERROR(VLOOKUP($B65,'Ppto-Mes'!$B$8:$AW$68,C$2,0),0)</f>
        <v>793920.62859940529</v>
      </c>
      <c r="D66" s="309">
        <f>IF(Variables!$B$78=1,IF(C66&gt;Variables!$B$79,ROUNDDOWN(C66,-6)-Variables!$B$79,0),0)</f>
        <v>0</v>
      </c>
      <c r="E66" s="309">
        <f>IF(IFERROR(VLOOKUP($B66,'Ppto-Mes'!$B$8:$AW$68,E$2,0),0)&gt;=0,0,IF(-ROUNDDOWN(IFERROR(VLOOKUP($B66,'Ppto-Mes'!$B$8:$AW$68,E$2,0),0),-6)&gt;=D66+F65,D66+F65,-ROUNDUP(IFERROR(VLOOKUP($B66,'Ppto-Mes'!$B$8:$AW$68,E$2,0),0),-6)))</f>
        <v>0</v>
      </c>
      <c r="F66" s="309">
        <f t="shared" si="0"/>
        <v>0</v>
      </c>
      <c r="G66" s="236">
        <f>VLOOKUP($B66,DTF!$B$9:$D$69,IF(Variables!$B$73=1,3,2),0)</f>
        <v>5.2500000000000005E-2</v>
      </c>
      <c r="H66" s="383">
        <f t="shared" si="1"/>
        <v>4.2731277661580691E-3</v>
      </c>
      <c r="I66" s="309">
        <f t="shared" si="3"/>
        <v>0</v>
      </c>
      <c r="J66" s="511"/>
      <c r="K66" s="175">
        <f>'Financ 3'!P74</f>
        <v>0</v>
      </c>
      <c r="L66" s="175" t="str">
        <f t="shared" si="2"/>
        <v/>
      </c>
    </row>
    <row r="67" spans="1:12" x14ac:dyDescent="0.35">
      <c r="A67" s="18">
        <v>60</v>
      </c>
      <c r="B67" s="184">
        <v>43830</v>
      </c>
      <c r="C67" s="178">
        <f>IFERROR(VLOOKUP($B66,'Ppto-Mes'!$B$8:$AW$68,C$2,0),0)</f>
        <v>0</v>
      </c>
      <c r="D67" s="309">
        <f>IF(Variables!$B$78=1,IF(C67&gt;Variables!$B$79,ROUNDDOWN(C67,-6)-Variables!$B$79,0),0)</f>
        <v>0</v>
      </c>
      <c r="E67" s="309">
        <f>IF(IFERROR(VLOOKUP($B67,'Ppto-Mes'!$B$8:$AW$68,E$2,0),0)&gt;=0,0,IF(-ROUNDDOWN(IFERROR(VLOOKUP($B67,'Ppto-Mes'!$B$8:$AW$68,E$2,0),0),-6)&gt;=D67+F66,D67+F66,-ROUNDUP(IFERROR(VLOOKUP($B67,'Ppto-Mes'!$B$8:$AW$68,E$2,0),0),-6)))</f>
        <v>0</v>
      </c>
      <c r="F67" s="309">
        <f t="shared" si="0"/>
        <v>0</v>
      </c>
      <c r="G67" s="236">
        <f>VLOOKUP($B67,DTF!$B$9:$D$69,IF(Variables!$B$73=1,3,2),0)</f>
        <v>5.2500000000000005E-2</v>
      </c>
      <c r="H67" s="383">
        <f t="shared" si="1"/>
        <v>4.2731277661580691E-3</v>
      </c>
      <c r="I67" s="309">
        <f t="shared" si="3"/>
        <v>0</v>
      </c>
      <c r="J67" s="511"/>
      <c r="K67" s="175">
        <f>'Financ 3'!P75</f>
        <v>39000000</v>
      </c>
      <c r="L67" s="175" t="str">
        <f t="shared" si="2"/>
        <v/>
      </c>
    </row>
    <row r="68" spans="1:12" x14ac:dyDescent="0.35">
      <c r="B68" s="172"/>
      <c r="C68" s="172"/>
      <c r="D68" s="172"/>
      <c r="E68" s="172"/>
      <c r="F68" s="172"/>
      <c r="G68" s="172"/>
      <c r="H68" s="172"/>
      <c r="I68" s="172"/>
      <c r="J68" s="172"/>
    </row>
    <row r="69" spans="1:12" x14ac:dyDescent="0.35">
      <c r="B69" s="172"/>
      <c r="G69" s="245">
        <f t="shared" ref="G69" si="4">SUM(G7:G67)</f>
        <v>3.0224999999999995</v>
      </c>
      <c r="H69" s="367"/>
      <c r="I69" s="367"/>
      <c r="J69" s="367"/>
    </row>
    <row r="70" spans="1:12" x14ac:dyDescent="0.35">
      <c r="B70" s="172"/>
      <c r="C70" s="172"/>
      <c r="D70" s="172"/>
      <c r="E70" s="172"/>
      <c r="F70" s="172"/>
      <c r="G70" s="172"/>
      <c r="H70" s="172"/>
      <c r="I70" s="172"/>
      <c r="J70" s="172"/>
    </row>
    <row r="71" spans="1:12" x14ac:dyDescent="0.35">
      <c r="B71" s="172"/>
      <c r="C71" s="172"/>
      <c r="D71" s="172"/>
      <c r="E71" s="172"/>
      <c r="F71" s="172"/>
      <c r="G71" s="172"/>
      <c r="H71" s="172"/>
      <c r="I71" s="172"/>
      <c r="J71" s="172"/>
    </row>
    <row r="72" spans="1:12" x14ac:dyDescent="0.35">
      <c r="B72" s="172"/>
      <c r="C72" s="172"/>
      <c r="D72" s="172"/>
      <c r="E72" s="172"/>
      <c r="F72" s="172"/>
      <c r="G72" s="172"/>
      <c r="H72" s="172"/>
      <c r="I72" s="172"/>
      <c r="J72" s="172"/>
    </row>
    <row r="73" spans="1:12" x14ac:dyDescent="0.35">
      <c r="B73" s="172"/>
      <c r="C73" s="172"/>
      <c r="D73" s="172"/>
      <c r="E73" s="172"/>
      <c r="F73" s="172"/>
      <c r="G73" s="172"/>
      <c r="H73" s="172"/>
      <c r="I73" s="172"/>
      <c r="J73" s="172"/>
    </row>
    <row r="74" spans="1:12" x14ac:dyDescent="0.35">
      <c r="B74" s="172"/>
      <c r="C74" s="172"/>
      <c r="D74" s="172"/>
      <c r="E74" s="172"/>
      <c r="F74" s="172"/>
      <c r="G74" s="172"/>
      <c r="H74" s="172"/>
      <c r="I74" s="172"/>
      <c r="J74" s="172"/>
    </row>
    <row r="75" spans="1:12" x14ac:dyDescent="0.35">
      <c r="B75" s="172"/>
      <c r="C75" s="172"/>
      <c r="D75" s="172"/>
      <c r="E75" s="172"/>
      <c r="F75" s="172"/>
      <c r="G75" s="172"/>
      <c r="H75" s="172"/>
      <c r="I75" s="172"/>
      <c r="J75" s="172"/>
    </row>
    <row r="76" spans="1:12" x14ac:dyDescent="0.35">
      <c r="B76" s="172"/>
      <c r="C76" s="172"/>
      <c r="D76" s="172"/>
      <c r="E76" s="172"/>
      <c r="F76" s="172"/>
      <c r="G76" s="172"/>
      <c r="H76" s="172"/>
      <c r="I76" s="172"/>
      <c r="J76" s="172"/>
    </row>
    <row r="77" spans="1:12" x14ac:dyDescent="0.35">
      <c r="B77" s="172"/>
      <c r="C77" s="172"/>
      <c r="D77" s="172"/>
      <c r="E77" s="172"/>
      <c r="F77" s="172"/>
      <c r="G77" s="172"/>
      <c r="H77" s="172"/>
      <c r="I77" s="172"/>
      <c r="J77" s="172"/>
    </row>
    <row r="78" spans="1:12" x14ac:dyDescent="0.35">
      <c r="B78" s="172"/>
      <c r="C78" s="172"/>
      <c r="D78" s="172"/>
      <c r="E78" s="172"/>
      <c r="F78" s="172"/>
      <c r="G78" s="172"/>
      <c r="H78" s="172"/>
      <c r="I78" s="172"/>
      <c r="J78" s="172"/>
    </row>
    <row r="79" spans="1:12" x14ac:dyDescent="0.35">
      <c r="B79" s="172"/>
      <c r="C79" s="172"/>
      <c r="D79" s="172"/>
      <c r="E79" s="172"/>
      <c r="F79" s="172"/>
      <c r="G79" s="172"/>
      <c r="H79" s="172"/>
      <c r="I79" s="172"/>
      <c r="J79" s="172"/>
    </row>
    <row r="80" spans="1:12" x14ac:dyDescent="0.35">
      <c r="B80" s="172"/>
      <c r="C80" s="172"/>
      <c r="D80" s="172"/>
      <c r="E80" s="172"/>
      <c r="F80" s="172"/>
      <c r="G80" s="172"/>
      <c r="H80" s="172"/>
      <c r="I80" s="172"/>
      <c r="J80" s="172"/>
    </row>
    <row r="81" spans="2:10" x14ac:dyDescent="0.35">
      <c r="B81" s="172"/>
      <c r="C81" s="172"/>
      <c r="D81" s="172"/>
      <c r="E81" s="172"/>
      <c r="F81" s="172"/>
      <c r="G81" s="172"/>
      <c r="H81" s="172"/>
      <c r="I81" s="172"/>
      <c r="J81" s="172"/>
    </row>
  </sheetData>
  <mergeCells count="2">
    <mergeCell ref="C4:I4"/>
    <mergeCell ref="K4:L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08"/>
  <sheetViews>
    <sheetView showGridLines="0" workbookViewId="0">
      <selection activeCell="H18" sqref="H18"/>
    </sheetView>
  </sheetViews>
  <sheetFormatPr baseColWidth="10" defaultRowHeight="14.5" x14ac:dyDescent="0.35"/>
  <cols>
    <col min="3" max="3" width="19.26953125" customWidth="1"/>
    <col min="6" max="7" width="14.36328125" customWidth="1"/>
  </cols>
  <sheetData>
    <row r="1" spans="1:15" ht="15" thickBot="1" x14ac:dyDescent="0.4"/>
    <row r="2" spans="1:15" ht="19" thickBot="1" x14ac:dyDescent="0.5">
      <c r="A2" s="583">
        <v>1</v>
      </c>
      <c r="B2" s="827" t="s">
        <v>823</v>
      </c>
      <c r="C2" s="828"/>
      <c r="D2" s="828"/>
      <c r="E2" s="828"/>
      <c r="F2" s="828"/>
      <c r="G2" s="829"/>
    </row>
    <row r="3" spans="1:15" ht="15" thickBot="1" x14ac:dyDescent="0.4">
      <c r="A3" s="567"/>
    </row>
    <row r="4" spans="1:15" x14ac:dyDescent="0.35">
      <c r="A4" s="567"/>
      <c r="B4" s="830" t="s">
        <v>824</v>
      </c>
      <c r="C4" s="831"/>
      <c r="D4" s="576">
        <v>1</v>
      </c>
      <c r="E4" s="577" t="str">
        <f>IF(D4=0,"Contado","Meses")</f>
        <v>Meses</v>
      </c>
      <c r="I4">
        <v>3</v>
      </c>
      <c r="J4">
        <v>3</v>
      </c>
      <c r="K4">
        <v>2</v>
      </c>
      <c r="L4">
        <v>2</v>
      </c>
      <c r="M4">
        <v>2</v>
      </c>
      <c r="N4">
        <v>2</v>
      </c>
      <c r="O4">
        <f>PRODUCT(I4:N4)</f>
        <v>144</v>
      </c>
    </row>
    <row r="5" spans="1:15" x14ac:dyDescent="0.35">
      <c r="A5" s="567"/>
      <c r="B5" s="813" t="s">
        <v>819</v>
      </c>
      <c r="C5" s="814"/>
      <c r="D5" s="575">
        <v>0</v>
      </c>
      <c r="E5" s="578" t="str">
        <f>IF(D5=0,"Contado","Meses")</f>
        <v>Contado</v>
      </c>
    </row>
    <row r="6" spans="1:15" x14ac:dyDescent="0.35">
      <c r="A6" s="567"/>
      <c r="B6" s="813" t="s">
        <v>62</v>
      </c>
      <c r="C6" s="814"/>
      <c r="D6" s="575">
        <v>1</v>
      </c>
      <c r="E6" s="579" t="str">
        <f>IF(D6=1,"Mes","Meses")</f>
        <v>Mes</v>
      </c>
    </row>
    <row r="7" spans="1:15" x14ac:dyDescent="0.35">
      <c r="A7" s="567"/>
      <c r="B7" s="813" t="s">
        <v>373</v>
      </c>
      <c r="C7" s="814"/>
      <c r="D7" s="832">
        <v>0.05</v>
      </c>
      <c r="E7" s="833"/>
    </row>
    <row r="8" spans="1:15" x14ac:dyDescent="0.35">
      <c r="A8" s="567"/>
      <c r="B8" s="813" t="s">
        <v>825</v>
      </c>
      <c r="C8" s="814"/>
      <c r="D8" s="815" t="s">
        <v>826</v>
      </c>
      <c r="E8" s="816"/>
    </row>
    <row r="9" spans="1:15" ht="15" thickBot="1" x14ac:dyDescent="0.4">
      <c r="A9" s="567"/>
      <c r="B9" s="817" t="s">
        <v>811</v>
      </c>
      <c r="C9" s="818"/>
      <c r="D9" s="819">
        <v>1</v>
      </c>
      <c r="E9" s="820"/>
    </row>
    <row r="10" spans="1:15" ht="15" thickBot="1" x14ac:dyDescent="0.4">
      <c r="A10" s="567"/>
    </row>
    <row r="11" spans="1:15" ht="15.5" x14ac:dyDescent="0.35">
      <c r="A11" s="567"/>
      <c r="B11" s="821" t="s">
        <v>544</v>
      </c>
      <c r="C11" s="824" t="s">
        <v>828</v>
      </c>
      <c r="D11" s="805" t="s">
        <v>189</v>
      </c>
      <c r="E11" s="805"/>
      <c r="F11" s="805" t="s">
        <v>532</v>
      </c>
      <c r="G11" s="806"/>
    </row>
    <row r="12" spans="1:15" x14ac:dyDescent="0.35">
      <c r="A12" s="567"/>
      <c r="B12" s="822"/>
      <c r="C12" s="825"/>
      <c r="D12" s="807" t="s">
        <v>190</v>
      </c>
      <c r="E12" s="807" t="s">
        <v>71</v>
      </c>
      <c r="F12" s="809" t="str">
        <f>"CAPM General ("&amp;TEXT(Variables!$F$84,"0,00%")&amp;")"</f>
        <v>CAPM General (1,16%)</v>
      </c>
      <c r="G12" s="811" t="str">
        <f>"CAPM Ajust Colombia ("&amp;TEXT(Variables!$F$85,"0,00%")&amp;")"</f>
        <v>CAPM Ajust Colombia (1,61%)</v>
      </c>
    </row>
    <row r="13" spans="1:15" ht="15" thickBot="1" x14ac:dyDescent="0.4">
      <c r="A13" s="567"/>
      <c r="B13" s="823"/>
      <c r="C13" s="826"/>
      <c r="D13" s="808"/>
      <c r="E13" s="808"/>
      <c r="F13" s="810"/>
      <c r="G13" s="812"/>
    </row>
    <row r="14" spans="1:15" ht="15" thickBot="1" x14ac:dyDescent="0.4">
      <c r="A14" s="567"/>
    </row>
    <row r="15" spans="1:15" x14ac:dyDescent="0.35">
      <c r="A15" s="567"/>
      <c r="B15" s="564" t="str">
        <f>Variables!$D$9</f>
        <v>Optimista</v>
      </c>
      <c r="C15" s="580">
        <f>Variables!$C$9</f>
        <v>1.25</v>
      </c>
      <c r="D15" s="568">
        <v>8.366741756849283E-2</v>
      </c>
      <c r="E15" s="568">
        <v>1.6227215730449851</v>
      </c>
      <c r="F15" s="584">
        <v>413364070</v>
      </c>
      <c r="G15" s="585">
        <v>354115551.63886619</v>
      </c>
    </row>
    <row r="16" spans="1:15" x14ac:dyDescent="0.35">
      <c r="A16" s="567"/>
      <c r="B16" s="565" t="str">
        <f>Variables!$D$10</f>
        <v>Normal</v>
      </c>
      <c r="C16" s="581">
        <f>Variables!$C$10</f>
        <v>1</v>
      </c>
      <c r="D16" s="569">
        <v>7.084099944647404E-2</v>
      </c>
      <c r="E16" s="569">
        <v>1.2735258094692674</v>
      </c>
      <c r="F16" s="573">
        <v>364542100</v>
      </c>
      <c r="G16" s="574">
        <v>302625933.71517265</v>
      </c>
    </row>
    <row r="17" spans="1:7" x14ac:dyDescent="0.35">
      <c r="A17" s="567"/>
      <c r="B17" s="565" t="str">
        <f>Variables!$D$11</f>
        <v>Pesimista</v>
      </c>
      <c r="C17" s="581">
        <f>Variables!$C$11</f>
        <v>0.75</v>
      </c>
      <c r="D17" s="569">
        <v>1.1341440878879228E-2</v>
      </c>
      <c r="E17" s="569">
        <v>0.14491604020977533</v>
      </c>
      <c r="F17" s="570">
        <v>-1283757</v>
      </c>
      <c r="G17" s="571">
        <v>-22044880.91192219</v>
      </c>
    </row>
    <row r="18" spans="1:7" ht="15" thickBot="1" x14ac:dyDescent="0.4">
      <c r="A18" s="567"/>
      <c r="B18" s="566" t="str">
        <f>Variables!$D$12</f>
        <v>Buscado</v>
      </c>
      <c r="C18" s="582">
        <f>Variables!$C$12</f>
        <v>0.9</v>
      </c>
      <c r="D18" s="572">
        <v>5.4527613935977159E-2</v>
      </c>
      <c r="E18" s="572">
        <v>0.89101720542077989</v>
      </c>
      <c r="F18" s="586">
        <v>243419285</v>
      </c>
      <c r="G18" s="587">
        <v>195062057.51941755</v>
      </c>
    </row>
    <row r="19" spans="1:7" x14ac:dyDescent="0.35">
      <c r="A19" s="567"/>
    </row>
    <row r="20" spans="1:7" ht="15" thickBot="1" x14ac:dyDescent="0.4">
      <c r="A20" s="567"/>
    </row>
    <row r="21" spans="1:7" ht="19" thickBot="1" x14ac:dyDescent="0.5">
      <c r="A21" s="583">
        <f>MAX($A$1:$A20)+1</f>
        <v>2</v>
      </c>
      <c r="B21" s="827" t="s">
        <v>823</v>
      </c>
      <c r="C21" s="828"/>
      <c r="D21" s="828"/>
      <c r="E21" s="828"/>
      <c r="F21" s="828"/>
      <c r="G21" s="829"/>
    </row>
    <row r="22" spans="1:7" ht="15" thickBot="1" x14ac:dyDescent="0.4"/>
    <row r="23" spans="1:7" x14ac:dyDescent="0.35">
      <c r="B23" s="830" t="s">
        <v>824</v>
      </c>
      <c r="C23" s="831"/>
      <c r="D23" s="576">
        <v>0</v>
      </c>
      <c r="E23" s="577" t="str">
        <f>IF(D23=0,"Contado","Meses")</f>
        <v>Contado</v>
      </c>
    </row>
    <row r="24" spans="1:7" x14ac:dyDescent="0.35">
      <c r="B24" s="813" t="s">
        <v>819</v>
      </c>
      <c r="C24" s="814"/>
      <c r="D24" s="575">
        <v>0</v>
      </c>
      <c r="E24" s="578" t="str">
        <f>IF(D24=0,"Contado","Meses")</f>
        <v>Contado</v>
      </c>
    </row>
    <row r="25" spans="1:7" x14ac:dyDescent="0.35">
      <c r="B25" s="813" t="s">
        <v>62</v>
      </c>
      <c r="C25" s="814"/>
      <c r="D25" s="575">
        <v>1</v>
      </c>
      <c r="E25" s="579" t="str">
        <f>IF(D25=1,"Mes","Meses")</f>
        <v>Mes</v>
      </c>
    </row>
    <row r="26" spans="1:7" x14ac:dyDescent="0.35">
      <c r="B26" s="813" t="s">
        <v>373</v>
      </c>
      <c r="C26" s="814"/>
      <c r="D26" s="832">
        <v>0.05</v>
      </c>
      <c r="E26" s="833"/>
    </row>
    <row r="27" spans="1:7" x14ac:dyDescent="0.35">
      <c r="B27" s="813" t="s">
        <v>825</v>
      </c>
      <c r="C27" s="814"/>
      <c r="D27" s="815" t="s">
        <v>826</v>
      </c>
      <c r="E27" s="816"/>
    </row>
    <row r="28" spans="1:7" ht="15" thickBot="1" x14ac:dyDescent="0.4">
      <c r="B28" s="817" t="s">
        <v>811</v>
      </c>
      <c r="C28" s="818"/>
      <c r="D28" s="819">
        <v>1</v>
      </c>
      <c r="E28" s="820"/>
    </row>
    <row r="29" spans="1:7" ht="15" thickBot="1" x14ac:dyDescent="0.4"/>
    <row r="30" spans="1:7" ht="15.5" x14ac:dyDescent="0.35">
      <c r="B30" s="821" t="s">
        <v>544</v>
      </c>
      <c r="C30" s="824" t="s">
        <v>828</v>
      </c>
      <c r="D30" s="805" t="s">
        <v>189</v>
      </c>
      <c r="E30" s="805"/>
      <c r="F30" s="805" t="s">
        <v>532</v>
      </c>
      <c r="G30" s="806"/>
    </row>
    <row r="31" spans="1:7" ht="14.5" customHeight="1" x14ac:dyDescent="0.35">
      <c r="B31" s="822"/>
      <c r="C31" s="825"/>
      <c r="D31" s="807" t="s">
        <v>190</v>
      </c>
      <c r="E31" s="807" t="s">
        <v>71</v>
      </c>
      <c r="F31" s="809" t="str">
        <f>"CAPM General ("&amp;TEXT(Variables!$F$84,"0,00%")&amp;")"</f>
        <v>CAPM General (1,16%)</v>
      </c>
      <c r="G31" s="811" t="str">
        <f>"CAPM Ajust Colombia ("&amp;TEXT(Variables!$F$85,"0,00%")&amp;")"</f>
        <v>CAPM Ajust Colombia (1,61%)</v>
      </c>
    </row>
    <row r="32" spans="1:7" ht="15" customHeight="1" thickBot="1" x14ac:dyDescent="0.4">
      <c r="B32" s="823"/>
      <c r="C32" s="826"/>
      <c r="D32" s="808"/>
      <c r="E32" s="808"/>
      <c r="F32" s="810"/>
      <c r="G32" s="812"/>
    </row>
    <row r="33" spans="1:7" ht="15" thickBot="1" x14ac:dyDescent="0.4"/>
    <row r="34" spans="1:7" x14ac:dyDescent="0.35">
      <c r="B34" s="564" t="str">
        <f>Variables!$D$9</f>
        <v>Optimista</v>
      </c>
      <c r="C34" s="580">
        <f>Variables!$C$9</f>
        <v>1.25</v>
      </c>
      <c r="D34" s="568">
        <v>4.0741910113206048E-2</v>
      </c>
      <c r="E34" s="568">
        <v>0.61479175998091851</v>
      </c>
      <c r="F34" s="584">
        <v>228684649</v>
      </c>
      <c r="G34" s="585">
        <v>178334389.02215904</v>
      </c>
    </row>
    <row r="35" spans="1:7" x14ac:dyDescent="0.35">
      <c r="B35" s="565" t="str">
        <f>Variables!$D$10</f>
        <v>Normal</v>
      </c>
      <c r="C35" s="581">
        <f>Variables!$C$10</f>
        <v>1</v>
      </c>
      <c r="D35" s="569">
        <v>4.2446884095304283E-2</v>
      </c>
      <c r="E35" s="569">
        <v>0.64682414836273949</v>
      </c>
      <c r="F35" s="573">
        <v>231906603</v>
      </c>
      <c r="G35" s="574">
        <v>181800683.95822623</v>
      </c>
    </row>
    <row r="36" spans="1:7" x14ac:dyDescent="0.35">
      <c r="B36" s="565" t="str">
        <f>Variables!$D$11</f>
        <v>Pesimista</v>
      </c>
      <c r="C36" s="581">
        <f>Variables!$C$11</f>
        <v>0.75</v>
      </c>
      <c r="D36" s="569">
        <v>1.2902855054188977E-2</v>
      </c>
      <c r="E36" s="569">
        <v>0.16630877536917277</v>
      </c>
      <c r="F36" s="573">
        <v>6598693</v>
      </c>
      <c r="G36" s="574">
        <v>-14513856.622040091</v>
      </c>
    </row>
    <row r="37" spans="1:7" ht="15" thickBot="1" x14ac:dyDescent="0.4">
      <c r="B37" s="566" t="str">
        <f>Variables!$D$12</f>
        <v>Buscado</v>
      </c>
      <c r="C37" s="582">
        <f>Variables!$C$12</f>
        <v>0.9</v>
      </c>
      <c r="D37" s="572">
        <v>4.247858058217413E-2</v>
      </c>
      <c r="E37" s="572">
        <v>0.6474251259774626</v>
      </c>
      <c r="F37" s="586">
        <v>223722565</v>
      </c>
      <c r="G37" s="587">
        <v>175061462.86228028</v>
      </c>
    </row>
    <row r="39" spans="1:7" ht="15" thickBot="1" x14ac:dyDescent="0.4"/>
    <row r="40" spans="1:7" ht="19" thickBot="1" x14ac:dyDescent="0.5">
      <c r="A40" s="583">
        <f>MAX($A$1:$A39)+1</f>
        <v>3</v>
      </c>
      <c r="B40" s="827" t="s">
        <v>823</v>
      </c>
      <c r="C40" s="828"/>
      <c r="D40" s="828"/>
      <c r="E40" s="828"/>
      <c r="F40" s="828"/>
      <c r="G40" s="829"/>
    </row>
    <row r="41" spans="1:7" ht="15" thickBot="1" x14ac:dyDescent="0.4"/>
    <row r="42" spans="1:7" x14ac:dyDescent="0.35">
      <c r="B42" s="830" t="s">
        <v>824</v>
      </c>
      <c r="C42" s="831"/>
      <c r="D42" s="576">
        <v>2</v>
      </c>
      <c r="E42" s="577" t="str">
        <f>IF(D42=0,"Contado","Meses")</f>
        <v>Meses</v>
      </c>
    </row>
    <row r="43" spans="1:7" x14ac:dyDescent="0.35">
      <c r="B43" s="813" t="s">
        <v>819</v>
      </c>
      <c r="C43" s="814"/>
      <c r="D43" s="575">
        <v>0</v>
      </c>
      <c r="E43" s="578" t="str">
        <f>IF(D43=0,"Contado","Meses")</f>
        <v>Contado</v>
      </c>
    </row>
    <row r="44" spans="1:7" x14ac:dyDescent="0.35">
      <c r="B44" s="813" t="s">
        <v>62</v>
      </c>
      <c r="C44" s="814"/>
      <c r="D44" s="575">
        <v>1</v>
      </c>
      <c r="E44" s="579" t="str">
        <f>IF(D44=1,"Mes","Meses")</f>
        <v>Mes</v>
      </c>
    </row>
    <row r="45" spans="1:7" x14ac:dyDescent="0.35">
      <c r="B45" s="813" t="s">
        <v>373</v>
      </c>
      <c r="C45" s="814"/>
      <c r="D45" s="832">
        <v>0.05</v>
      </c>
      <c r="E45" s="833"/>
    </row>
    <row r="46" spans="1:7" x14ac:dyDescent="0.35">
      <c r="B46" s="813" t="s">
        <v>825</v>
      </c>
      <c r="C46" s="814"/>
      <c r="D46" s="815" t="s">
        <v>826</v>
      </c>
      <c r="E46" s="816"/>
    </row>
    <row r="47" spans="1:7" ht="15" thickBot="1" x14ac:dyDescent="0.4">
      <c r="B47" s="817" t="s">
        <v>811</v>
      </c>
      <c r="C47" s="818"/>
      <c r="D47" s="819">
        <v>1</v>
      </c>
      <c r="E47" s="820"/>
    </row>
    <row r="48" spans="1:7" ht="15" thickBot="1" x14ac:dyDescent="0.4"/>
    <row r="49" spans="1:7" ht="15.5" x14ac:dyDescent="0.35">
      <c r="B49" s="821" t="s">
        <v>544</v>
      </c>
      <c r="C49" s="824" t="s">
        <v>828</v>
      </c>
      <c r="D49" s="805" t="s">
        <v>189</v>
      </c>
      <c r="E49" s="805"/>
      <c r="F49" s="805" t="s">
        <v>532</v>
      </c>
      <c r="G49" s="806"/>
    </row>
    <row r="50" spans="1:7" ht="14.5" customHeight="1" x14ac:dyDescent="0.35">
      <c r="B50" s="822"/>
      <c r="C50" s="825"/>
      <c r="D50" s="807" t="s">
        <v>190</v>
      </c>
      <c r="E50" s="807" t="s">
        <v>71</v>
      </c>
      <c r="F50" s="809" t="str">
        <f>"CAPM General ("&amp;TEXT(Variables!$F$84,"0,00%")&amp;")"</f>
        <v>CAPM General (1,16%)</v>
      </c>
      <c r="G50" s="811" t="str">
        <f>"CAPM Ajust Colombia ("&amp;TEXT(Variables!$F$85,"0,00%")&amp;")"</f>
        <v>CAPM Ajust Colombia (1,61%)</v>
      </c>
    </row>
    <row r="51" spans="1:7" ht="15" customHeight="1" thickBot="1" x14ac:dyDescent="0.4">
      <c r="B51" s="823"/>
      <c r="C51" s="826"/>
      <c r="D51" s="808"/>
      <c r="E51" s="808"/>
      <c r="F51" s="810"/>
      <c r="G51" s="812"/>
    </row>
    <row r="52" spans="1:7" ht="15" thickBot="1" x14ac:dyDescent="0.4"/>
    <row r="53" spans="1:7" x14ac:dyDescent="0.35">
      <c r="B53" s="564" t="str">
        <f>Variables!$D$9</f>
        <v>Optimista</v>
      </c>
      <c r="C53" s="580">
        <f>Variables!$C$9</f>
        <v>1.25</v>
      </c>
      <c r="D53" s="568">
        <v>9.2025224343280199E-2</v>
      </c>
      <c r="E53" s="568">
        <v>1.8760209241203674</v>
      </c>
      <c r="F53" s="584">
        <v>561852804</v>
      </c>
      <c r="G53" s="585">
        <v>479577427.11334008</v>
      </c>
    </row>
    <row r="54" spans="1:7" x14ac:dyDescent="0.35">
      <c r="B54" s="565" t="str">
        <f>Variables!$D$10</f>
        <v>Normal</v>
      </c>
      <c r="C54" s="581">
        <f>Variables!$C$10</f>
        <v>1</v>
      </c>
      <c r="D54" s="569">
        <v>5.7069436410048358E-2</v>
      </c>
      <c r="E54" s="569">
        <v>0.94644525022513015</v>
      </c>
      <c r="F54" s="573">
        <v>280935601</v>
      </c>
      <c r="G54" s="574">
        <v>230046638.68600023</v>
      </c>
    </row>
    <row r="55" spans="1:7" x14ac:dyDescent="0.35">
      <c r="B55" s="565" t="str">
        <f>Variables!$D$11</f>
        <v>Pesimista</v>
      </c>
      <c r="C55" s="581">
        <f>Variables!$C$11</f>
        <v>0.75</v>
      </c>
      <c r="D55" s="569">
        <v>1.0342561003755524E-2</v>
      </c>
      <c r="E55" s="569">
        <v>0.13141980870196068</v>
      </c>
      <c r="F55" s="573">
        <v>-7197618</v>
      </c>
      <c r="G55" s="574">
        <v>-29819088.944227695</v>
      </c>
    </row>
    <row r="56" spans="1:7" ht="15" thickBot="1" x14ac:dyDescent="0.4">
      <c r="B56" s="566" t="str">
        <f>Variables!$D$12</f>
        <v>Buscado</v>
      </c>
      <c r="C56" s="582">
        <f>Variables!$C$12</f>
        <v>0.9</v>
      </c>
      <c r="D56" s="572">
        <v>4.2646166489949122E-2</v>
      </c>
      <c r="E56" s="572">
        <v>0.65060596221881273</v>
      </c>
      <c r="F56" s="586">
        <v>194213884</v>
      </c>
      <c r="G56" s="587">
        <v>150774447.85487035</v>
      </c>
    </row>
    <row r="58" spans="1:7" ht="15" thickBot="1" x14ac:dyDescent="0.4"/>
    <row r="59" spans="1:7" ht="19" thickBot="1" x14ac:dyDescent="0.5">
      <c r="A59" s="583">
        <f>MAX($A$1:$A58)+1</f>
        <v>4</v>
      </c>
      <c r="B59" s="827" t="s">
        <v>823</v>
      </c>
      <c r="C59" s="828"/>
      <c r="D59" s="828"/>
      <c r="E59" s="828"/>
      <c r="F59" s="828"/>
      <c r="G59" s="829"/>
    </row>
    <row r="60" spans="1:7" ht="15" thickBot="1" x14ac:dyDescent="0.4"/>
    <row r="61" spans="1:7" x14ac:dyDescent="0.35">
      <c r="B61" s="830" t="s">
        <v>824</v>
      </c>
      <c r="C61" s="831"/>
      <c r="D61" s="576">
        <v>0</v>
      </c>
      <c r="E61" s="577" t="str">
        <f>IF(D61=0,"Contado","Meses")</f>
        <v>Contado</v>
      </c>
    </row>
    <row r="62" spans="1:7" x14ac:dyDescent="0.35">
      <c r="B62" s="813" t="s">
        <v>819</v>
      </c>
      <c r="C62" s="814"/>
      <c r="D62" s="575">
        <v>1</v>
      </c>
      <c r="E62" s="578" t="str">
        <f>IF(D62=0,"Contado","Meses")</f>
        <v>Meses</v>
      </c>
    </row>
    <row r="63" spans="1:7" x14ac:dyDescent="0.35">
      <c r="B63" s="813" t="s">
        <v>62</v>
      </c>
      <c r="C63" s="814"/>
      <c r="D63" s="575">
        <v>1</v>
      </c>
      <c r="E63" s="579" t="str">
        <f>IF(D63=1,"Mes","Meses")</f>
        <v>Mes</v>
      </c>
    </row>
    <row r="64" spans="1:7" x14ac:dyDescent="0.35">
      <c r="B64" s="813" t="s">
        <v>373</v>
      </c>
      <c r="C64" s="814"/>
      <c r="D64" s="832">
        <v>0.05</v>
      </c>
      <c r="E64" s="833"/>
    </row>
    <row r="65" spans="1:7" x14ac:dyDescent="0.35">
      <c r="B65" s="813" t="s">
        <v>825</v>
      </c>
      <c r="C65" s="814"/>
      <c r="D65" s="815" t="s">
        <v>826</v>
      </c>
      <c r="E65" s="816"/>
    </row>
    <row r="66" spans="1:7" ht="15" thickBot="1" x14ac:dyDescent="0.4">
      <c r="B66" s="817" t="s">
        <v>811</v>
      </c>
      <c r="C66" s="818"/>
      <c r="D66" s="819">
        <v>1</v>
      </c>
      <c r="E66" s="820"/>
    </row>
    <row r="67" spans="1:7" ht="15" thickBot="1" x14ac:dyDescent="0.4"/>
    <row r="68" spans="1:7" ht="15.5" x14ac:dyDescent="0.35">
      <c r="B68" s="821" t="s">
        <v>544</v>
      </c>
      <c r="C68" s="824" t="s">
        <v>828</v>
      </c>
      <c r="D68" s="805" t="s">
        <v>189</v>
      </c>
      <c r="E68" s="805"/>
      <c r="F68" s="805" t="s">
        <v>532</v>
      </c>
      <c r="G68" s="806"/>
    </row>
    <row r="69" spans="1:7" ht="14.5" customHeight="1" x14ac:dyDescent="0.35">
      <c r="B69" s="822"/>
      <c r="C69" s="825"/>
      <c r="D69" s="807" t="s">
        <v>190</v>
      </c>
      <c r="E69" s="807" t="s">
        <v>71</v>
      </c>
      <c r="F69" s="809" t="str">
        <f>"CAPM General ("&amp;TEXT(Variables!$F$84,"0,00%")&amp;")"</f>
        <v>CAPM General (1,16%)</v>
      </c>
      <c r="G69" s="811" t="str">
        <f>"CAPM Ajust Colombia ("&amp;TEXT(Variables!$F$85,"0,00%")&amp;")"</f>
        <v>CAPM Ajust Colombia (1,61%)</v>
      </c>
    </row>
    <row r="70" spans="1:7" ht="15" customHeight="1" thickBot="1" x14ac:dyDescent="0.4">
      <c r="B70" s="823"/>
      <c r="C70" s="826"/>
      <c r="D70" s="808"/>
      <c r="E70" s="808"/>
      <c r="F70" s="810"/>
      <c r="G70" s="812"/>
    </row>
    <row r="71" spans="1:7" ht="15" thickBot="1" x14ac:dyDescent="0.4"/>
    <row r="72" spans="1:7" x14ac:dyDescent="0.35">
      <c r="B72" s="564" t="str">
        <f>Variables!$D$9</f>
        <v>Optimista</v>
      </c>
      <c r="C72" s="580">
        <f>Variables!$C$9</f>
        <v>1.25</v>
      </c>
      <c r="D72" s="568">
        <v>4.7234628768226372E-2</v>
      </c>
      <c r="E72" s="568">
        <v>0.73991460829165701</v>
      </c>
      <c r="F72" s="584">
        <v>249502424</v>
      </c>
      <c r="G72" s="585">
        <v>200650691.20871875</v>
      </c>
    </row>
    <row r="73" spans="1:7" x14ac:dyDescent="0.35">
      <c r="B73" s="565" t="str">
        <f>Variables!$D$10</f>
        <v>Normal</v>
      </c>
      <c r="C73" s="581">
        <f>Variables!$C$10</f>
        <v>1</v>
      </c>
      <c r="D73" s="569">
        <v>4.9885750516486693E-2</v>
      </c>
      <c r="E73" s="569">
        <v>0.79351286413721445</v>
      </c>
      <c r="F73" s="573">
        <v>252884356</v>
      </c>
      <c r="G73" s="574">
        <v>204359976.54556361</v>
      </c>
    </row>
    <row r="74" spans="1:7" x14ac:dyDescent="0.35">
      <c r="B74" s="565" t="str">
        <f>Variables!$D$11</f>
        <v>Pesimista</v>
      </c>
      <c r="C74" s="581">
        <f>Variables!$C$11</f>
        <v>0.75</v>
      </c>
      <c r="D74" s="569">
        <v>2.0532110846922746E-2</v>
      </c>
      <c r="E74" s="569">
        <v>0.27620396949525294</v>
      </c>
      <c r="F74" s="573">
        <v>38420912</v>
      </c>
      <c r="G74" s="574">
        <v>17635534.499961555</v>
      </c>
    </row>
    <row r="75" spans="1:7" ht="15" thickBot="1" x14ac:dyDescent="0.4">
      <c r="B75" s="566" t="str">
        <f>Variables!$D$12</f>
        <v>Buscado</v>
      </c>
      <c r="C75" s="582">
        <f>Variables!$C$12</f>
        <v>0.9</v>
      </c>
      <c r="D75" s="572">
        <v>5.0360353725157792E-2</v>
      </c>
      <c r="E75" s="572">
        <v>0.80326622821920779</v>
      </c>
      <c r="F75" s="586">
        <v>245030767</v>
      </c>
      <c r="G75" s="587">
        <v>197987032.29019243</v>
      </c>
    </row>
    <row r="77" spans="1:7" ht="15" thickBot="1" x14ac:dyDescent="0.4"/>
    <row r="78" spans="1:7" ht="19" thickBot="1" x14ac:dyDescent="0.5">
      <c r="A78" s="583">
        <f>MAX($A$1:$A77)+1</f>
        <v>5</v>
      </c>
      <c r="B78" s="827" t="s">
        <v>823</v>
      </c>
      <c r="C78" s="828"/>
      <c r="D78" s="828"/>
      <c r="E78" s="828"/>
      <c r="F78" s="828"/>
      <c r="G78" s="829"/>
    </row>
    <row r="79" spans="1:7" ht="15" thickBot="1" x14ac:dyDescent="0.4"/>
    <row r="80" spans="1:7" x14ac:dyDescent="0.35">
      <c r="B80" s="830" t="s">
        <v>824</v>
      </c>
      <c r="C80" s="831"/>
      <c r="D80" s="576">
        <f>Variables!$B$19</f>
        <v>1</v>
      </c>
      <c r="E80" s="577" t="str">
        <f>IF(D80=0,"Contado","Meses")</f>
        <v>Meses</v>
      </c>
    </row>
    <row r="81" spans="2:7" x14ac:dyDescent="0.35">
      <c r="B81" s="813" t="s">
        <v>819</v>
      </c>
      <c r="C81" s="814"/>
      <c r="D81" s="575">
        <f>Variables!$B$20</f>
        <v>0</v>
      </c>
      <c r="E81" s="578" t="str">
        <f>IF(D81=0,"Contado","Meses")</f>
        <v>Contado</v>
      </c>
    </row>
    <row r="82" spans="2:7" x14ac:dyDescent="0.35">
      <c r="B82" s="813" t="s">
        <v>62</v>
      </c>
      <c r="C82" s="814"/>
      <c r="D82" s="575">
        <f>Variables!$B$21</f>
        <v>1</v>
      </c>
      <c r="E82" s="579" t="str">
        <f>IF(D82=1,"Mes","Meses")</f>
        <v>Mes</v>
      </c>
    </row>
    <row r="83" spans="2:7" x14ac:dyDescent="0.35">
      <c r="B83" s="813" t="s">
        <v>373</v>
      </c>
      <c r="C83" s="814"/>
      <c r="D83" s="832">
        <f>VLOOKUP(1,Variables!$B$26:$C$27,2,0)</f>
        <v>0.05</v>
      </c>
      <c r="E83" s="833"/>
    </row>
    <row r="84" spans="2:7" x14ac:dyDescent="0.35">
      <c r="B84" s="813" t="s">
        <v>825</v>
      </c>
      <c r="C84" s="814"/>
      <c r="D84" s="815" t="str">
        <f>IF(Variables!$B$51=1,1,"")</f>
        <v/>
      </c>
      <c r="E84" s="816"/>
    </row>
    <row r="85" spans="2:7" ht="15" thickBot="1" x14ac:dyDescent="0.4">
      <c r="B85" s="817" t="s">
        <v>811</v>
      </c>
      <c r="C85" s="818"/>
      <c r="D85" s="819">
        <f>IF(Variables!$B$78=1,1,"")</f>
        <v>1</v>
      </c>
      <c r="E85" s="820"/>
    </row>
    <row r="86" spans="2:7" ht="15" thickBot="1" x14ac:dyDescent="0.4"/>
    <row r="87" spans="2:7" ht="15.5" x14ac:dyDescent="0.35">
      <c r="B87" s="821" t="s">
        <v>544</v>
      </c>
      <c r="C87" s="824" t="s">
        <v>828</v>
      </c>
      <c r="D87" s="805" t="s">
        <v>189</v>
      </c>
      <c r="E87" s="805"/>
      <c r="F87" s="805" t="s">
        <v>532</v>
      </c>
      <c r="G87" s="806"/>
    </row>
    <row r="88" spans="2:7" ht="14.5" customHeight="1" x14ac:dyDescent="0.35">
      <c r="B88" s="822"/>
      <c r="C88" s="825"/>
      <c r="D88" s="807" t="s">
        <v>190</v>
      </c>
      <c r="E88" s="807" t="s">
        <v>71</v>
      </c>
      <c r="F88" s="809" t="str">
        <f>"CAPM General ("&amp;TEXT(Variables!$F$84,"0,00%")&amp;")"</f>
        <v>CAPM General (1,16%)</v>
      </c>
      <c r="G88" s="811" t="str">
        <f>"CAPM Ajust Colombia ("&amp;TEXT(Variables!$F$85,"0,00%")&amp;")"</f>
        <v>CAPM Ajust Colombia (1,61%)</v>
      </c>
    </row>
    <row r="89" spans="2:7" ht="15" customHeight="1" thickBot="1" x14ac:dyDescent="0.4">
      <c r="B89" s="823"/>
      <c r="C89" s="826"/>
      <c r="D89" s="808"/>
      <c r="E89" s="808"/>
      <c r="F89" s="810"/>
      <c r="G89" s="812"/>
    </row>
    <row r="90" spans="2:7" ht="15" thickBot="1" x14ac:dyDescent="0.4"/>
    <row r="91" spans="2:7" x14ac:dyDescent="0.35">
      <c r="B91" s="564" t="str">
        <f>Variables!$D$9</f>
        <v>Optimista</v>
      </c>
      <c r="C91" s="580">
        <f>Variables!$C$9</f>
        <v>1.25</v>
      </c>
      <c r="D91" s="568" t="str">
        <f>IF(VLOOKUP(1,Variables!$B$9:$C$14,2,0)=$C91,Variables!$I$3,"")</f>
        <v/>
      </c>
      <c r="E91" s="568" t="str">
        <f>IF(VLOOKUP(1,Variables!$B$9:$C$14,2,0)=$C91,Variables!$K$3,"")</f>
        <v/>
      </c>
      <c r="F91" s="584" t="str">
        <f>IF(VLOOKUP(1,Variables!$B$9:$C$14,2,0)=$C91,Variables!$K$4,"")</f>
        <v/>
      </c>
      <c r="G91" s="585" t="str">
        <f>IF(VLOOKUP(1,Variables!$B$9:$C$14,2,0)=$C91,Variables!$K$5,"")</f>
        <v/>
      </c>
    </row>
    <row r="92" spans="2:7" x14ac:dyDescent="0.35">
      <c r="B92" s="565" t="str">
        <f>Variables!$D$10</f>
        <v>Normal</v>
      </c>
      <c r="C92" s="581">
        <f>Variables!$C$10</f>
        <v>1</v>
      </c>
      <c r="D92" s="569">
        <f>IF(VLOOKUP(1,Variables!$B$9:$C$14,2,0)=$C92,Variables!$I$3,"")</f>
        <v>6.2062371095210622E-2</v>
      </c>
      <c r="E92" s="569">
        <f>IF(VLOOKUP(1,Variables!$B$9:$C$14,2,0)=$C92,Variables!$K$3,"")</f>
        <v>1.0596824311475932</v>
      </c>
      <c r="F92" s="573">
        <f>IF(VLOOKUP(1,Variables!$B$9:$C$14,2,0)=$C92,Variables!$K$4,"")</f>
        <v>316862495</v>
      </c>
      <c r="G92" s="574">
        <f>IF(VLOOKUP(1,Variables!$B$9:$C$14,2,0)=$C92,Variables!$K$5,"")</f>
        <v>257090711.55200407</v>
      </c>
    </row>
    <row r="93" spans="2:7" x14ac:dyDescent="0.35">
      <c r="B93" s="565" t="str">
        <f>Variables!$D$11</f>
        <v>Pesimista</v>
      </c>
      <c r="C93" s="581">
        <f>Variables!$C$11</f>
        <v>0.75</v>
      </c>
      <c r="D93" s="569" t="str">
        <f>IF(VLOOKUP(1,Variables!$B$9:$C$14,2,0)=$C93,Variables!$I$3,"")</f>
        <v/>
      </c>
      <c r="E93" s="569" t="str">
        <f>IF(VLOOKUP(1,Variables!$B$9:$C$14,2,0)=$C93,Variables!$K$3,"")</f>
        <v/>
      </c>
      <c r="F93" s="573" t="str">
        <f>IF(VLOOKUP(1,Variables!$B$9:$C$14,2,0)=$C93,Variables!$K$4,"")</f>
        <v/>
      </c>
      <c r="G93" s="574" t="str">
        <f>IF(VLOOKUP(1,Variables!$B$9:$C$14,2,0)=$C93,Variables!$K$5,"")</f>
        <v/>
      </c>
    </row>
    <row r="94" spans="2:7" ht="15" thickBot="1" x14ac:dyDescent="0.4">
      <c r="B94" s="566" t="str">
        <f>Variables!$D$12</f>
        <v>Buscado</v>
      </c>
      <c r="C94" s="582">
        <f>Variables!$C$12</f>
        <v>0.9</v>
      </c>
      <c r="D94" s="572" t="str">
        <f>IF(VLOOKUP(1,Variables!$B$9:$C$14,2,0)=$C94,Variables!$I$3,"")</f>
        <v/>
      </c>
      <c r="E94" s="572" t="str">
        <f>IF(VLOOKUP(1,Variables!$B$9:$C$14,2,0)=$C94,Variables!$K$3,"")</f>
        <v/>
      </c>
      <c r="F94" s="586" t="str">
        <f>IF(VLOOKUP(1,Variables!$B$9:$C$14,2,0)=$C94,Variables!$K$4,"")</f>
        <v/>
      </c>
      <c r="G94" s="587" t="str">
        <f>IF(VLOOKUP(1,Variables!$B$9:$C$14,2,0)=$C94,Variables!$K$5,"")</f>
        <v/>
      </c>
    </row>
    <row r="96" spans="2:7" ht="15" thickBot="1" x14ac:dyDescent="0.4"/>
    <row r="97" spans="1:7" ht="19" thickBot="1" x14ac:dyDescent="0.5">
      <c r="A97" s="583">
        <f>MAX($A$1:$A96)+1</f>
        <v>6</v>
      </c>
      <c r="B97" s="827" t="s">
        <v>823</v>
      </c>
      <c r="C97" s="828"/>
      <c r="D97" s="828"/>
      <c r="E97" s="828"/>
      <c r="F97" s="828"/>
      <c r="G97" s="829"/>
    </row>
    <row r="98" spans="1:7" ht="15" thickBot="1" x14ac:dyDescent="0.4"/>
    <row r="99" spans="1:7" x14ac:dyDescent="0.35">
      <c r="B99" s="830" t="s">
        <v>824</v>
      </c>
      <c r="C99" s="831"/>
      <c r="D99" s="576">
        <v>1</v>
      </c>
      <c r="E99" s="577" t="str">
        <f>IF(D99=0,"Contado","Meses")</f>
        <v>Meses</v>
      </c>
    </row>
    <row r="100" spans="1:7" x14ac:dyDescent="0.35">
      <c r="B100" s="813" t="s">
        <v>819</v>
      </c>
      <c r="C100" s="814"/>
      <c r="D100" s="575">
        <v>0</v>
      </c>
      <c r="E100" s="578" t="str">
        <f>IF(D100=0,"Contado","Meses")</f>
        <v>Contado</v>
      </c>
    </row>
    <row r="101" spans="1:7" x14ac:dyDescent="0.35">
      <c r="B101" s="813" t="s">
        <v>62</v>
      </c>
      <c r="C101" s="814"/>
      <c r="D101" s="575">
        <v>2</v>
      </c>
      <c r="E101" s="579" t="str">
        <f>IF(D101=1,"Mes","Meses")</f>
        <v>Meses</v>
      </c>
    </row>
    <row r="102" spans="1:7" x14ac:dyDescent="0.35">
      <c r="B102" s="813" t="s">
        <v>373</v>
      </c>
      <c r="C102" s="814"/>
      <c r="D102" s="832">
        <v>0.05</v>
      </c>
      <c r="E102" s="833"/>
    </row>
    <row r="103" spans="1:7" x14ac:dyDescent="0.35">
      <c r="B103" s="813" t="s">
        <v>825</v>
      </c>
      <c r="C103" s="814"/>
      <c r="D103" s="815" t="s">
        <v>826</v>
      </c>
      <c r="E103" s="816"/>
    </row>
    <row r="104" spans="1:7" ht="15" thickBot="1" x14ac:dyDescent="0.4">
      <c r="B104" s="817" t="s">
        <v>811</v>
      </c>
      <c r="C104" s="818"/>
      <c r="D104" s="819">
        <v>1</v>
      </c>
      <c r="E104" s="820"/>
    </row>
    <row r="105" spans="1:7" ht="15" thickBot="1" x14ac:dyDescent="0.4"/>
    <row r="106" spans="1:7" ht="15.5" x14ac:dyDescent="0.35">
      <c r="B106" s="821" t="s">
        <v>544</v>
      </c>
      <c r="C106" s="824" t="s">
        <v>828</v>
      </c>
      <c r="D106" s="805" t="s">
        <v>189</v>
      </c>
      <c r="E106" s="805"/>
      <c r="F106" s="805" t="s">
        <v>532</v>
      </c>
      <c r="G106" s="806"/>
    </row>
    <row r="107" spans="1:7" ht="14.5" customHeight="1" x14ac:dyDescent="0.35">
      <c r="B107" s="822"/>
      <c r="C107" s="825"/>
      <c r="D107" s="807" t="s">
        <v>190</v>
      </c>
      <c r="E107" s="807" t="s">
        <v>71</v>
      </c>
      <c r="F107" s="809" t="str">
        <f>"CAPM General ("&amp;TEXT(Variables!$F$84,"0,00%")&amp;")"</f>
        <v>CAPM General (1,16%)</v>
      </c>
      <c r="G107" s="811" t="str">
        <f>"CAPM Ajust Colombia ("&amp;TEXT(Variables!$F$85,"0,00%")&amp;")"</f>
        <v>CAPM Ajust Colombia (1,61%)</v>
      </c>
    </row>
    <row r="108" spans="1:7" ht="15" customHeight="1" thickBot="1" x14ac:dyDescent="0.4">
      <c r="B108" s="823"/>
      <c r="C108" s="826"/>
      <c r="D108" s="808"/>
      <c r="E108" s="808"/>
      <c r="F108" s="810"/>
      <c r="G108" s="812"/>
    </row>
    <row r="109" spans="1:7" ht="15" thickBot="1" x14ac:dyDescent="0.4"/>
    <row r="110" spans="1:7" x14ac:dyDescent="0.35">
      <c r="B110" s="564" t="str">
        <f>Variables!$D$9</f>
        <v>Optimista</v>
      </c>
      <c r="C110" s="580">
        <f>Variables!$C$9</f>
        <v>1.25</v>
      </c>
      <c r="D110" s="568">
        <v>5.4600740632882339E-2</v>
      </c>
      <c r="E110" s="568">
        <v>0.89259140710706064</v>
      </c>
      <c r="F110" s="584">
        <v>785909015</v>
      </c>
      <c r="G110" s="585">
        <v>622777123.76621556</v>
      </c>
    </row>
    <row r="111" spans="1:7" x14ac:dyDescent="0.35">
      <c r="B111" s="565" t="str">
        <f>Variables!$D$10</f>
        <v>Normal</v>
      </c>
      <c r="C111" s="581">
        <f>Variables!$C$10</f>
        <v>1</v>
      </c>
      <c r="D111" s="569">
        <v>3.5753482759596E-2</v>
      </c>
      <c r="E111" s="569">
        <v>0.52432238593180958</v>
      </c>
      <c r="F111" s="573">
        <v>232892788</v>
      </c>
      <c r="G111" s="574">
        <v>173003866.0329012</v>
      </c>
    </row>
    <row r="112" spans="1:7" x14ac:dyDescent="0.35">
      <c r="B112" s="565" t="str">
        <f>Variables!$D$11</f>
        <v>Pesimista</v>
      </c>
      <c r="C112" s="581">
        <f>Variables!$C$11</f>
        <v>0.75</v>
      </c>
      <c r="D112" s="569">
        <v>-8.1769991111891871E-3</v>
      </c>
      <c r="E112" s="569">
        <v>-9.3829109338381844E-2</v>
      </c>
      <c r="F112" s="573">
        <v>-132484890</v>
      </c>
      <c r="G112" s="574">
        <v>-147622386.30338082</v>
      </c>
    </row>
    <row r="113" spans="1:7" ht="15" thickBot="1" x14ac:dyDescent="0.4">
      <c r="B113" s="566" t="str">
        <f>Variables!$D$12</f>
        <v>Buscado</v>
      </c>
      <c r="C113" s="582">
        <f>Variables!$C$12</f>
        <v>0.9</v>
      </c>
      <c r="D113" s="572">
        <v>-0.1029316526258065</v>
      </c>
      <c r="E113" s="572">
        <v>-0.72841461398786933</v>
      </c>
      <c r="F113" s="586">
        <v>80324538</v>
      </c>
      <c r="G113" s="587">
        <v>43231169.318677798</v>
      </c>
    </row>
    <row r="115" spans="1:7" ht="15" thickBot="1" x14ac:dyDescent="0.4"/>
    <row r="116" spans="1:7" ht="19" thickBot="1" x14ac:dyDescent="0.5">
      <c r="A116" s="583">
        <f>MAX($A$1:$A115)+1</f>
        <v>7</v>
      </c>
      <c r="B116" s="827" t="s">
        <v>823</v>
      </c>
      <c r="C116" s="828"/>
      <c r="D116" s="828"/>
      <c r="E116" s="828"/>
      <c r="F116" s="828"/>
      <c r="G116" s="829"/>
    </row>
    <row r="117" spans="1:7" ht="15" thickBot="1" x14ac:dyDescent="0.4"/>
    <row r="118" spans="1:7" x14ac:dyDescent="0.35">
      <c r="B118" s="830" t="s">
        <v>824</v>
      </c>
      <c r="C118" s="831"/>
      <c r="D118" s="576">
        <v>1</v>
      </c>
      <c r="E118" s="577" t="str">
        <f>IF(D118=0,"Contado","Meses")</f>
        <v>Meses</v>
      </c>
    </row>
    <row r="119" spans="1:7" x14ac:dyDescent="0.35">
      <c r="B119" s="813" t="s">
        <v>819</v>
      </c>
      <c r="C119" s="814"/>
      <c r="D119" s="575">
        <v>0</v>
      </c>
      <c r="E119" s="578" t="str">
        <f>IF(D119=0,"Contado","Meses")</f>
        <v>Contado</v>
      </c>
    </row>
    <row r="120" spans="1:7" x14ac:dyDescent="0.35">
      <c r="B120" s="813" t="s">
        <v>62</v>
      </c>
      <c r="C120" s="814"/>
      <c r="D120" s="575">
        <v>1</v>
      </c>
      <c r="E120" s="579" t="str">
        <f>IF(D120=1,"Mes","Meses")</f>
        <v>Mes</v>
      </c>
    </row>
    <row r="121" spans="1:7" x14ac:dyDescent="0.35">
      <c r="B121" s="813" t="s">
        <v>373</v>
      </c>
      <c r="C121" s="814"/>
      <c r="D121" s="832">
        <v>0.1</v>
      </c>
      <c r="E121" s="833"/>
    </row>
    <row r="122" spans="1:7" x14ac:dyDescent="0.35">
      <c r="B122" s="813" t="s">
        <v>825</v>
      </c>
      <c r="C122" s="814"/>
      <c r="D122" s="815" t="s">
        <v>826</v>
      </c>
      <c r="E122" s="816"/>
    </row>
    <row r="123" spans="1:7" ht="15" thickBot="1" x14ac:dyDescent="0.4">
      <c r="B123" s="817" t="s">
        <v>811</v>
      </c>
      <c r="C123" s="818"/>
      <c r="D123" s="819">
        <v>1</v>
      </c>
      <c r="E123" s="820"/>
    </row>
    <row r="124" spans="1:7" ht="15" thickBot="1" x14ac:dyDescent="0.4"/>
    <row r="125" spans="1:7" ht="15.5" x14ac:dyDescent="0.35">
      <c r="B125" s="821" t="s">
        <v>544</v>
      </c>
      <c r="C125" s="824" t="s">
        <v>828</v>
      </c>
      <c r="D125" s="805" t="s">
        <v>189</v>
      </c>
      <c r="E125" s="805"/>
      <c r="F125" s="805" t="s">
        <v>532</v>
      </c>
      <c r="G125" s="806"/>
    </row>
    <row r="126" spans="1:7" ht="14.5" customHeight="1" x14ac:dyDescent="0.35">
      <c r="B126" s="822"/>
      <c r="C126" s="825"/>
      <c r="D126" s="807" t="s">
        <v>190</v>
      </c>
      <c r="E126" s="807" t="s">
        <v>71</v>
      </c>
      <c r="F126" s="809" t="str">
        <f>"CAPM General ("&amp;TEXT(Variables!$F$84,"0,00%")&amp;")"</f>
        <v>CAPM General (1,16%)</v>
      </c>
      <c r="G126" s="811" t="str">
        <f>"CAPM Ajust Colombia ("&amp;TEXT(Variables!$F$85,"0,00%")&amp;")"</f>
        <v>CAPM Ajust Colombia (1,61%)</v>
      </c>
    </row>
    <row r="127" spans="1:7" ht="15" customHeight="1" thickBot="1" x14ac:dyDescent="0.4">
      <c r="B127" s="823"/>
      <c r="C127" s="826"/>
      <c r="D127" s="808"/>
      <c r="E127" s="808"/>
      <c r="F127" s="810"/>
      <c r="G127" s="812"/>
    </row>
    <row r="128" spans="1:7" ht="15" thickBot="1" x14ac:dyDescent="0.4"/>
    <row r="129" spans="1:7" x14ac:dyDescent="0.35">
      <c r="B129" s="564" t="str">
        <f>Variables!$D$9</f>
        <v>Optimista</v>
      </c>
      <c r="C129" s="580">
        <f>Variables!$C$9</f>
        <v>1.25</v>
      </c>
      <c r="D129" s="568">
        <v>6.0955450550445489E-2</v>
      </c>
      <c r="E129" s="568">
        <v>1.0340694609111387</v>
      </c>
      <c r="F129" s="584">
        <v>387905012</v>
      </c>
      <c r="G129" s="585">
        <v>312843426.85527962</v>
      </c>
    </row>
    <row r="130" spans="1:7" x14ac:dyDescent="0.35">
      <c r="B130" s="565" t="str">
        <f>Variables!$D$10</f>
        <v>Normal</v>
      </c>
      <c r="C130" s="581">
        <f>Variables!$C$10</f>
        <v>1</v>
      </c>
      <c r="D130" s="569">
        <v>1.6951143482489606E-2</v>
      </c>
      <c r="E130" s="569">
        <v>0.22349181354773595</v>
      </c>
      <c r="F130" s="573">
        <v>25797052</v>
      </c>
      <c r="G130" s="574">
        <v>3912608.6169090224</v>
      </c>
    </row>
    <row r="131" spans="1:7" x14ac:dyDescent="0.35">
      <c r="B131" s="565" t="str">
        <f>Variables!$D$11</f>
        <v>Pesimista</v>
      </c>
      <c r="C131" s="581">
        <f>Variables!$C$11</f>
        <v>0.75</v>
      </c>
      <c r="D131" s="569">
        <v>-7.4616381903537587E-2</v>
      </c>
      <c r="E131" s="569">
        <v>-0.60566830647849046</v>
      </c>
      <c r="F131" s="573">
        <v>-225588994</v>
      </c>
      <c r="G131" s="574">
        <v>-220999939.48307443</v>
      </c>
    </row>
    <row r="132" spans="1:7" ht="15" thickBot="1" x14ac:dyDescent="0.4">
      <c r="B132" s="566" t="str">
        <f>Variables!$D$12</f>
        <v>Buscado</v>
      </c>
      <c r="C132" s="582">
        <f>Variables!$C$12</f>
        <v>0.9</v>
      </c>
      <c r="D132" s="572">
        <v>1.3196628067246863E-3</v>
      </c>
      <c r="E132" s="572">
        <v>1.5951400445374908E-2</v>
      </c>
      <c r="F132" s="586">
        <v>-52748471</v>
      </c>
      <c r="G132" s="587">
        <v>-68290132.814322427</v>
      </c>
    </row>
    <row r="134" spans="1:7" ht="15" thickBot="1" x14ac:dyDescent="0.4"/>
    <row r="135" spans="1:7" ht="19" thickBot="1" x14ac:dyDescent="0.5">
      <c r="A135" s="583">
        <f>MAX($A$1:$A134)+1</f>
        <v>8</v>
      </c>
      <c r="B135" s="827" t="s">
        <v>823</v>
      </c>
      <c r="C135" s="828"/>
      <c r="D135" s="828"/>
      <c r="E135" s="828"/>
      <c r="F135" s="828"/>
      <c r="G135" s="829"/>
    </row>
    <row r="136" spans="1:7" ht="15" thickBot="1" x14ac:dyDescent="0.4"/>
    <row r="137" spans="1:7" x14ac:dyDescent="0.35">
      <c r="B137" s="830" t="s">
        <v>824</v>
      </c>
      <c r="C137" s="831"/>
      <c r="D137" s="576">
        <v>1</v>
      </c>
      <c r="E137" s="577" t="str">
        <f>IF(D137=0,"Contado","Meses")</f>
        <v>Meses</v>
      </c>
    </row>
    <row r="138" spans="1:7" x14ac:dyDescent="0.35">
      <c r="B138" s="813" t="s">
        <v>819</v>
      </c>
      <c r="C138" s="814"/>
      <c r="D138" s="575">
        <v>0</v>
      </c>
      <c r="E138" s="578" t="str">
        <f>IF(D138=0,"Contado","Meses")</f>
        <v>Contado</v>
      </c>
    </row>
    <row r="139" spans="1:7" x14ac:dyDescent="0.35">
      <c r="B139" s="813" t="s">
        <v>62</v>
      </c>
      <c r="C139" s="814"/>
      <c r="D139" s="575">
        <v>1</v>
      </c>
      <c r="E139" s="579" t="str">
        <f>IF(D139=1,"Mes","Meses")</f>
        <v>Mes</v>
      </c>
    </row>
    <row r="140" spans="1:7" x14ac:dyDescent="0.35">
      <c r="B140" s="813" t="s">
        <v>373</v>
      </c>
      <c r="C140" s="814"/>
      <c r="D140" s="832">
        <v>0.05</v>
      </c>
      <c r="E140" s="833"/>
    </row>
    <row r="141" spans="1:7" x14ac:dyDescent="0.35">
      <c r="B141" s="813" t="s">
        <v>825</v>
      </c>
      <c r="C141" s="814"/>
      <c r="D141" s="815">
        <v>1</v>
      </c>
      <c r="E141" s="816"/>
    </row>
    <row r="142" spans="1:7" ht="15" thickBot="1" x14ac:dyDescent="0.4">
      <c r="B142" s="817" t="s">
        <v>811</v>
      </c>
      <c r="C142" s="818"/>
      <c r="D142" s="819">
        <v>1</v>
      </c>
      <c r="E142" s="820"/>
    </row>
    <row r="143" spans="1:7" ht="15" thickBot="1" x14ac:dyDescent="0.4"/>
    <row r="144" spans="1:7" ht="15.5" x14ac:dyDescent="0.35">
      <c r="B144" s="821" t="s">
        <v>544</v>
      </c>
      <c r="C144" s="824" t="s">
        <v>828</v>
      </c>
      <c r="D144" s="805" t="s">
        <v>189</v>
      </c>
      <c r="E144" s="805"/>
      <c r="F144" s="805" t="s">
        <v>532</v>
      </c>
      <c r="G144" s="806"/>
    </row>
    <row r="145" spans="1:7" ht="14.5" customHeight="1" x14ac:dyDescent="0.35">
      <c r="B145" s="822"/>
      <c r="C145" s="825"/>
      <c r="D145" s="807" t="s">
        <v>190</v>
      </c>
      <c r="E145" s="807" t="s">
        <v>71</v>
      </c>
      <c r="F145" s="809" t="str">
        <f>"CAPM General ("&amp;TEXT(Variables!$F$84,"0,00%")&amp;")"</f>
        <v>CAPM General (1,16%)</v>
      </c>
      <c r="G145" s="811" t="str">
        <f>"CAPM Ajust Colombia ("&amp;TEXT(Variables!$F$85,"0,00%")&amp;")"</f>
        <v>CAPM Ajust Colombia (1,61%)</v>
      </c>
    </row>
    <row r="146" spans="1:7" ht="15" customHeight="1" thickBot="1" x14ac:dyDescent="0.4">
      <c r="B146" s="823"/>
      <c r="C146" s="826"/>
      <c r="D146" s="808"/>
      <c r="E146" s="808"/>
      <c r="F146" s="810"/>
      <c r="G146" s="812"/>
    </row>
    <row r="147" spans="1:7" ht="15" thickBot="1" x14ac:dyDescent="0.4"/>
    <row r="148" spans="1:7" x14ac:dyDescent="0.35">
      <c r="B148" s="564" t="str">
        <f>Variables!$D$9</f>
        <v>Optimista</v>
      </c>
      <c r="C148" s="580">
        <f>Variables!$C$9</f>
        <v>1.25</v>
      </c>
      <c r="D148" s="568">
        <v>0.15287271133334257</v>
      </c>
      <c r="E148" s="568">
        <v>4.5128517522971876</v>
      </c>
      <c r="F148" s="584">
        <v>968611452</v>
      </c>
      <c r="G148" s="585">
        <v>851966679.91943097</v>
      </c>
    </row>
    <row r="149" spans="1:7" x14ac:dyDescent="0.35">
      <c r="B149" s="565" t="str">
        <f>Variables!$D$10</f>
        <v>Normal</v>
      </c>
      <c r="C149" s="581">
        <f>Variables!$C$10</f>
        <v>1</v>
      </c>
      <c r="D149" s="569">
        <v>0.13977924786503371</v>
      </c>
      <c r="E149" s="569">
        <v>3.8067213379628502</v>
      </c>
      <c r="F149" s="573">
        <v>688177752</v>
      </c>
      <c r="G149" s="574">
        <v>602370298.32644784</v>
      </c>
    </row>
    <row r="150" spans="1:7" x14ac:dyDescent="0.35">
      <c r="B150" s="565" t="str">
        <f>Variables!$D$11</f>
        <v>Pesimista</v>
      </c>
      <c r="C150" s="581">
        <f>Variables!$C$11</f>
        <v>0.75</v>
      </c>
      <c r="D150" s="569">
        <v>9.8371141070413781E-2</v>
      </c>
      <c r="E150" s="569">
        <v>2.0831124370049054</v>
      </c>
      <c r="F150" s="573">
        <v>410465879</v>
      </c>
      <c r="G150" s="574">
        <v>352943476.2419402</v>
      </c>
    </row>
    <row r="151" spans="1:7" ht="15" thickBot="1" x14ac:dyDescent="0.4">
      <c r="B151" s="566" t="str">
        <f>Variables!$D$12</f>
        <v>Buscado</v>
      </c>
      <c r="C151" s="582">
        <f>Variables!$C$12</f>
        <v>0.9</v>
      </c>
      <c r="D151" s="572">
        <v>0.13020205933849693</v>
      </c>
      <c r="E151" s="572">
        <v>3.3438331116048188</v>
      </c>
      <c r="F151" s="586">
        <v>597540630</v>
      </c>
      <c r="G151" s="587">
        <v>519827324.19158971</v>
      </c>
    </row>
    <row r="153" spans="1:7" ht="15" thickBot="1" x14ac:dyDescent="0.4"/>
    <row r="154" spans="1:7" ht="19" thickBot="1" x14ac:dyDescent="0.5">
      <c r="A154" s="583">
        <f>MAX($A$1:$A153)+1</f>
        <v>9</v>
      </c>
      <c r="B154" s="827" t="s">
        <v>823</v>
      </c>
      <c r="C154" s="828"/>
      <c r="D154" s="828"/>
      <c r="E154" s="828"/>
      <c r="F154" s="828"/>
      <c r="G154" s="829"/>
    </row>
    <row r="155" spans="1:7" ht="15" thickBot="1" x14ac:dyDescent="0.4"/>
    <row r="156" spans="1:7" x14ac:dyDescent="0.35">
      <c r="B156" s="830" t="s">
        <v>824</v>
      </c>
      <c r="C156" s="831"/>
      <c r="D156" s="576">
        <v>1</v>
      </c>
      <c r="E156" s="577" t="str">
        <f>IF(D156=0,"Contado","Meses")</f>
        <v>Meses</v>
      </c>
    </row>
    <row r="157" spans="1:7" x14ac:dyDescent="0.35">
      <c r="B157" s="813" t="s">
        <v>819</v>
      </c>
      <c r="C157" s="814"/>
      <c r="D157" s="575">
        <v>0</v>
      </c>
      <c r="E157" s="578" t="str">
        <f>IF(D157=0,"Contado","Meses")</f>
        <v>Contado</v>
      </c>
    </row>
    <row r="158" spans="1:7" x14ac:dyDescent="0.35">
      <c r="B158" s="813" t="s">
        <v>62</v>
      </c>
      <c r="C158" s="814"/>
      <c r="D158" s="575">
        <v>1</v>
      </c>
      <c r="E158" s="579" t="str">
        <f>IF(D158=1,"Mes","Meses")</f>
        <v>Mes</v>
      </c>
    </row>
    <row r="159" spans="1:7" x14ac:dyDescent="0.35">
      <c r="B159" s="813" t="s">
        <v>373</v>
      </c>
      <c r="C159" s="814"/>
      <c r="D159" s="832">
        <v>0.05</v>
      </c>
      <c r="E159" s="833"/>
    </row>
    <row r="160" spans="1:7" x14ac:dyDescent="0.35">
      <c r="B160" s="813" t="s">
        <v>825</v>
      </c>
      <c r="C160" s="814"/>
      <c r="D160" s="815" t="s">
        <v>826</v>
      </c>
      <c r="E160" s="816"/>
    </row>
    <row r="161" spans="1:7" ht="15" thickBot="1" x14ac:dyDescent="0.4">
      <c r="B161" s="817" t="s">
        <v>811</v>
      </c>
      <c r="C161" s="818"/>
      <c r="D161" s="819"/>
      <c r="E161" s="820"/>
    </row>
    <row r="162" spans="1:7" ht="15" thickBot="1" x14ac:dyDescent="0.4"/>
    <row r="163" spans="1:7" ht="15.5" x14ac:dyDescent="0.35">
      <c r="B163" s="821" t="s">
        <v>544</v>
      </c>
      <c r="C163" s="824" t="s">
        <v>828</v>
      </c>
      <c r="D163" s="805" t="s">
        <v>189</v>
      </c>
      <c r="E163" s="805"/>
      <c r="F163" s="805" t="s">
        <v>532</v>
      </c>
      <c r="G163" s="806"/>
    </row>
    <row r="164" spans="1:7" ht="14.5" customHeight="1" x14ac:dyDescent="0.35">
      <c r="B164" s="822"/>
      <c r="C164" s="825"/>
      <c r="D164" s="807" t="s">
        <v>190</v>
      </c>
      <c r="E164" s="807" t="s">
        <v>71</v>
      </c>
      <c r="F164" s="809" t="str">
        <f>"CAPM General ("&amp;TEXT(Variables!$F$84,"0,00%")&amp;")"</f>
        <v>CAPM General (1,16%)</v>
      </c>
      <c r="G164" s="811" t="str">
        <f>"CAPM Ajust Colombia ("&amp;TEXT(Variables!$F$85,"0,00%")&amp;")"</f>
        <v>CAPM Ajust Colombia (1,61%)</v>
      </c>
    </row>
    <row r="165" spans="1:7" ht="15" customHeight="1" thickBot="1" x14ac:dyDescent="0.4">
      <c r="B165" s="823"/>
      <c r="C165" s="826"/>
      <c r="D165" s="808"/>
      <c r="E165" s="808"/>
      <c r="F165" s="810"/>
      <c r="G165" s="812"/>
    </row>
    <row r="166" spans="1:7" ht="15" thickBot="1" x14ac:dyDescent="0.4"/>
    <row r="167" spans="1:7" x14ac:dyDescent="0.35">
      <c r="B167" s="564" t="str">
        <f>Variables!$D$9</f>
        <v>Optimista</v>
      </c>
      <c r="C167" s="580">
        <f>Variables!$C$9</f>
        <v>1.25</v>
      </c>
      <c r="D167" s="568">
        <v>0.15850752421820236</v>
      </c>
      <c r="E167" s="568">
        <v>4.8450240874565562</v>
      </c>
      <c r="F167" s="584">
        <v>1039602405</v>
      </c>
      <c r="G167" s="585">
        <v>879722731.72155023</v>
      </c>
    </row>
    <row r="168" spans="1:7" x14ac:dyDescent="0.35">
      <c r="B168" s="565" t="str">
        <f>Variables!$D$10</f>
        <v>Normal</v>
      </c>
      <c r="C168" s="581">
        <f>Variables!$C$10</f>
        <v>1</v>
      </c>
      <c r="D168" s="569">
        <v>8.5830688197925831E-2</v>
      </c>
      <c r="E168" s="569">
        <v>1.6862432700738714</v>
      </c>
      <c r="F168" s="573">
        <v>415386357</v>
      </c>
      <c r="G168" s="574">
        <v>345901616.40967661</v>
      </c>
    </row>
    <row r="169" spans="1:7" x14ac:dyDescent="0.35">
      <c r="B169" s="565" t="str">
        <f>Variables!$D$11</f>
        <v>Pesimista</v>
      </c>
      <c r="C169" s="581">
        <f>Variables!$C$11</f>
        <v>0.75</v>
      </c>
      <c r="D169" s="569">
        <v>1.1224519821448897E-2</v>
      </c>
      <c r="E169" s="569">
        <v>0.14332868658652331</v>
      </c>
      <c r="F169" s="573">
        <v>-1902912</v>
      </c>
      <c r="G169" s="574">
        <v>-22713277.434266143</v>
      </c>
    </row>
    <row r="170" spans="1:7" ht="15" thickBot="1" x14ac:dyDescent="0.4">
      <c r="B170" s="566" t="str">
        <f>Variables!$D$12</f>
        <v>Buscado</v>
      </c>
      <c r="C170" s="582">
        <f>Variables!$C$12</f>
        <v>0.9</v>
      </c>
      <c r="D170" s="572">
        <v>5.6452357555292654E-2</v>
      </c>
      <c r="E170" s="572">
        <v>0.93285377265496994</v>
      </c>
      <c r="F170" s="586">
        <v>246677831</v>
      </c>
      <c r="G170" s="587">
        <v>198227091.65041518</v>
      </c>
    </row>
    <row r="172" spans="1:7" ht="15" thickBot="1" x14ac:dyDescent="0.4"/>
    <row r="173" spans="1:7" ht="19" thickBot="1" x14ac:dyDescent="0.5">
      <c r="A173" s="583" t="s">
        <v>827</v>
      </c>
      <c r="B173" s="827" t="s">
        <v>823</v>
      </c>
      <c r="C173" s="828"/>
      <c r="D173" s="828"/>
      <c r="E173" s="828"/>
      <c r="F173" s="828"/>
      <c r="G173" s="829"/>
    </row>
    <row r="174" spans="1:7" ht="15" thickBot="1" x14ac:dyDescent="0.4"/>
    <row r="175" spans="1:7" x14ac:dyDescent="0.35">
      <c r="B175" s="830" t="s">
        <v>824</v>
      </c>
      <c r="C175" s="831"/>
      <c r="D175" s="576">
        <f>Variables!$B$19</f>
        <v>1</v>
      </c>
      <c r="E175" s="577" t="str">
        <f>IF(D175=0,"Contado","Meses")</f>
        <v>Meses</v>
      </c>
    </row>
    <row r="176" spans="1:7" x14ac:dyDescent="0.35">
      <c r="B176" s="813" t="s">
        <v>819</v>
      </c>
      <c r="C176" s="814"/>
      <c r="D176" s="575">
        <f>Variables!$B$20</f>
        <v>0</v>
      </c>
      <c r="E176" s="578" t="str">
        <f>IF(D176=0,"Contado","Meses")</f>
        <v>Contado</v>
      </c>
    </row>
    <row r="177" spans="1:7" x14ac:dyDescent="0.35">
      <c r="B177" s="813" t="s">
        <v>62</v>
      </c>
      <c r="C177" s="814"/>
      <c r="D177" s="575">
        <f>Variables!$B$21</f>
        <v>1</v>
      </c>
      <c r="E177" s="579" t="str">
        <f>IF(D177=1,"Mes","Meses")</f>
        <v>Mes</v>
      </c>
    </row>
    <row r="178" spans="1:7" x14ac:dyDescent="0.35">
      <c r="B178" s="813" t="s">
        <v>373</v>
      </c>
      <c r="C178" s="814"/>
      <c r="D178" s="832">
        <f>VLOOKUP(1,Variables!$B$26:$C$27,2,0)</f>
        <v>0.05</v>
      </c>
      <c r="E178" s="833"/>
    </row>
    <row r="179" spans="1:7" x14ac:dyDescent="0.35">
      <c r="B179" s="813" t="s">
        <v>825</v>
      </c>
      <c r="C179" s="814"/>
      <c r="D179" s="815" t="str">
        <f>IF(Variables!$B$51=1,1,"")</f>
        <v/>
      </c>
      <c r="E179" s="816"/>
    </row>
    <row r="180" spans="1:7" ht="15" thickBot="1" x14ac:dyDescent="0.4">
      <c r="B180" s="817" t="s">
        <v>811</v>
      </c>
      <c r="C180" s="818"/>
      <c r="D180" s="819">
        <f>IF(Variables!$B$78=1,1,"")</f>
        <v>1</v>
      </c>
      <c r="E180" s="820"/>
    </row>
    <row r="181" spans="1:7" ht="15" thickBot="1" x14ac:dyDescent="0.4"/>
    <row r="182" spans="1:7" ht="15.5" x14ac:dyDescent="0.35">
      <c r="B182" s="821" t="s">
        <v>544</v>
      </c>
      <c r="C182" s="824" t="s">
        <v>828</v>
      </c>
      <c r="D182" s="805" t="s">
        <v>189</v>
      </c>
      <c r="E182" s="805"/>
      <c r="F182" s="805" t="s">
        <v>532</v>
      </c>
      <c r="G182" s="806"/>
    </row>
    <row r="183" spans="1:7" ht="14.5" customHeight="1" x14ac:dyDescent="0.35">
      <c r="B183" s="822"/>
      <c r="C183" s="825"/>
      <c r="D183" s="807" t="s">
        <v>190</v>
      </c>
      <c r="E183" s="807" t="s">
        <v>71</v>
      </c>
      <c r="F183" s="809" t="str">
        <f>"CAPM General ("&amp;TEXT(Variables!$F$84,"0,00%")&amp;")"</f>
        <v>CAPM General (1,16%)</v>
      </c>
      <c r="G183" s="811" t="str">
        <f>"CAPM Ajust Colombia ("&amp;TEXT(Variables!$F$85,"0,00%")&amp;")"</f>
        <v>CAPM Ajust Colombia (1,61%)</v>
      </c>
    </row>
    <row r="184" spans="1:7" ht="15" customHeight="1" thickBot="1" x14ac:dyDescent="0.4">
      <c r="B184" s="823"/>
      <c r="C184" s="826"/>
      <c r="D184" s="808"/>
      <c r="E184" s="808"/>
      <c r="F184" s="810"/>
      <c r="G184" s="812"/>
    </row>
    <row r="185" spans="1:7" ht="15" thickBot="1" x14ac:dyDescent="0.4"/>
    <row r="186" spans="1:7" x14ac:dyDescent="0.35">
      <c r="B186" s="564" t="str">
        <f>Variables!$D$9</f>
        <v>Optimista</v>
      </c>
      <c r="C186" s="580">
        <f>Variables!$C$9</f>
        <v>1.25</v>
      </c>
      <c r="D186" s="568" t="str">
        <f>IF(VLOOKUP(1,Variables!$B$9:$C$14,2,0)=$C186,Variables!$I$3,"")</f>
        <v/>
      </c>
      <c r="E186" s="568" t="str">
        <f>IF(VLOOKUP(1,Variables!$B$9:$C$14,2,0)=$C186,Variables!$K$3,"")</f>
        <v/>
      </c>
      <c r="F186" s="584" t="str">
        <f>IF(VLOOKUP(1,Variables!$B$9:$C$14,2,0)=$C186,Variables!$K$4,"")</f>
        <v/>
      </c>
      <c r="G186" s="585" t="str">
        <f>IF(VLOOKUP(1,Variables!$B$9:$C$14,2,0)=$C186,Variables!$K$5,"")</f>
        <v/>
      </c>
    </row>
    <row r="187" spans="1:7" x14ac:dyDescent="0.35">
      <c r="B187" s="565" t="str">
        <f>Variables!$D$10</f>
        <v>Normal</v>
      </c>
      <c r="C187" s="581">
        <f>Variables!$C$10</f>
        <v>1</v>
      </c>
      <c r="D187" s="569">
        <f>IF(VLOOKUP(1,Variables!$B$9:$C$14,2,0)=$C187,Variables!$I$3,"")</f>
        <v>6.2062371095210622E-2</v>
      </c>
      <c r="E187" s="569">
        <f>IF(VLOOKUP(1,Variables!$B$9:$C$14,2,0)=$C187,Variables!$K$3,"")</f>
        <v>1.0596824311475932</v>
      </c>
      <c r="F187" s="573">
        <f>IF(VLOOKUP(1,Variables!$B$9:$C$14,2,0)=$C187,Variables!$K$4,"")</f>
        <v>316862495</v>
      </c>
      <c r="G187" s="574">
        <f>IF(VLOOKUP(1,Variables!$B$9:$C$14,2,0)=$C187,Variables!$K$5,"")</f>
        <v>257090711.55200407</v>
      </c>
    </row>
    <row r="188" spans="1:7" x14ac:dyDescent="0.35">
      <c r="B188" s="565" t="str">
        <f>Variables!$D$11</f>
        <v>Pesimista</v>
      </c>
      <c r="C188" s="581">
        <f>Variables!$C$11</f>
        <v>0.75</v>
      </c>
      <c r="D188" s="569" t="str">
        <f>IF(VLOOKUP(1,Variables!$B$9:$C$14,2,0)=$C188,Variables!$I$3,"")</f>
        <v/>
      </c>
      <c r="E188" s="569" t="str">
        <f>IF(VLOOKUP(1,Variables!$B$9:$C$14,2,0)=$C188,Variables!$K$3,"")</f>
        <v/>
      </c>
      <c r="F188" s="573" t="str">
        <f>IF(VLOOKUP(1,Variables!$B$9:$C$14,2,0)=$C188,Variables!$K$4,"")</f>
        <v/>
      </c>
      <c r="G188" s="574" t="str">
        <f>IF(VLOOKUP(1,Variables!$B$9:$C$14,2,0)=$C188,Variables!$K$5,"")</f>
        <v/>
      </c>
    </row>
    <row r="189" spans="1:7" ht="15" thickBot="1" x14ac:dyDescent="0.4">
      <c r="B189" s="566" t="str">
        <f>Variables!$D$12</f>
        <v>Buscado</v>
      </c>
      <c r="C189" s="582">
        <f>Variables!$C$12</f>
        <v>0.9</v>
      </c>
      <c r="D189" s="572" t="str">
        <f>IF(VLOOKUP(1,Variables!$B$9:$C$14,2,0)=$C189,Variables!$I$3,"")</f>
        <v/>
      </c>
      <c r="E189" s="572" t="str">
        <f>IF(VLOOKUP(1,Variables!$B$9:$C$14,2,0)=$C189,Variables!$K$3,"")</f>
        <v/>
      </c>
      <c r="F189" s="586" t="str">
        <f>IF(VLOOKUP(1,Variables!$B$9:$C$14,2,0)=$C189,Variables!$K$4,"")</f>
        <v/>
      </c>
      <c r="G189" s="587" t="str">
        <f>IF(VLOOKUP(1,Variables!$B$9:$C$14,2,0)=$C189,Variables!$K$5,"")</f>
        <v/>
      </c>
    </row>
    <row r="191" spans="1:7" ht="15" thickBot="1" x14ac:dyDescent="0.4"/>
    <row r="192" spans="1:7" ht="19" thickBot="1" x14ac:dyDescent="0.5">
      <c r="A192" s="583" t="s">
        <v>827</v>
      </c>
      <c r="B192" s="827" t="s">
        <v>823</v>
      </c>
      <c r="C192" s="828"/>
      <c r="D192" s="828"/>
      <c r="E192" s="828"/>
      <c r="F192" s="828"/>
      <c r="G192" s="829"/>
    </row>
    <row r="193" spans="2:7" ht="15" thickBot="1" x14ac:dyDescent="0.4"/>
    <row r="194" spans="2:7" x14ac:dyDescent="0.35">
      <c r="B194" s="830" t="s">
        <v>824</v>
      </c>
      <c r="C194" s="831"/>
      <c r="D194" s="576">
        <f>Variables!$B$19</f>
        <v>1</v>
      </c>
      <c r="E194" s="577" t="str">
        <f>IF(D194=0,"Contado","Meses")</f>
        <v>Meses</v>
      </c>
    </row>
    <row r="195" spans="2:7" x14ac:dyDescent="0.35">
      <c r="B195" s="813" t="s">
        <v>819</v>
      </c>
      <c r="C195" s="814"/>
      <c r="D195" s="575">
        <f>Variables!$B$20</f>
        <v>0</v>
      </c>
      <c r="E195" s="578" t="str">
        <f>IF(D195=0,"Contado","Meses")</f>
        <v>Contado</v>
      </c>
    </row>
    <row r="196" spans="2:7" x14ac:dyDescent="0.35">
      <c r="B196" s="813" t="s">
        <v>62</v>
      </c>
      <c r="C196" s="814"/>
      <c r="D196" s="575">
        <f>Variables!$B$21</f>
        <v>1</v>
      </c>
      <c r="E196" s="579" t="str">
        <f>IF(D196=1,"Mes","Meses")</f>
        <v>Mes</v>
      </c>
    </row>
    <row r="197" spans="2:7" x14ac:dyDescent="0.35">
      <c r="B197" s="813" t="s">
        <v>373</v>
      </c>
      <c r="C197" s="814"/>
      <c r="D197" s="832">
        <f>VLOOKUP(1,Variables!$B$26:$C$27,2,0)</f>
        <v>0.05</v>
      </c>
      <c r="E197" s="833"/>
    </row>
    <row r="198" spans="2:7" x14ac:dyDescent="0.35">
      <c r="B198" s="813" t="s">
        <v>825</v>
      </c>
      <c r="C198" s="814"/>
      <c r="D198" s="815" t="str">
        <f>IF(Variables!$B$51=1,1,"")</f>
        <v/>
      </c>
      <c r="E198" s="816"/>
    </row>
    <row r="199" spans="2:7" ht="15" thickBot="1" x14ac:dyDescent="0.4">
      <c r="B199" s="817" t="s">
        <v>811</v>
      </c>
      <c r="C199" s="818"/>
      <c r="D199" s="819">
        <f>IF(Variables!$B$78=1,1,"")</f>
        <v>1</v>
      </c>
      <c r="E199" s="820"/>
    </row>
    <row r="200" spans="2:7" ht="15" thickBot="1" x14ac:dyDescent="0.4"/>
    <row r="201" spans="2:7" ht="15.5" x14ac:dyDescent="0.35">
      <c r="B201" s="821" t="s">
        <v>544</v>
      </c>
      <c r="C201" s="824" t="s">
        <v>828</v>
      </c>
      <c r="D201" s="805" t="s">
        <v>189</v>
      </c>
      <c r="E201" s="805"/>
      <c r="F201" s="805" t="s">
        <v>532</v>
      </c>
      <c r="G201" s="806"/>
    </row>
    <row r="202" spans="2:7" ht="14.5" customHeight="1" x14ac:dyDescent="0.35">
      <c r="B202" s="822"/>
      <c r="C202" s="825"/>
      <c r="D202" s="807" t="s">
        <v>190</v>
      </c>
      <c r="E202" s="807" t="s">
        <v>71</v>
      </c>
      <c r="F202" s="809" t="str">
        <f>"CAPM General ("&amp;TEXT(Variables!$F$84,"0,00%")&amp;")"</f>
        <v>CAPM General (1,16%)</v>
      </c>
      <c r="G202" s="811" t="str">
        <f>"CAPM Ajust Colombia ("&amp;TEXT(Variables!$F$85,"0,00%")&amp;")"</f>
        <v>CAPM Ajust Colombia (1,61%)</v>
      </c>
    </row>
    <row r="203" spans="2:7" ht="15" customHeight="1" thickBot="1" x14ac:dyDescent="0.4">
      <c r="B203" s="823"/>
      <c r="C203" s="826"/>
      <c r="D203" s="808"/>
      <c r="E203" s="808"/>
      <c r="F203" s="810"/>
      <c r="G203" s="812"/>
    </row>
    <row r="204" spans="2:7" ht="15" thickBot="1" x14ac:dyDescent="0.4"/>
    <row r="205" spans="2:7" x14ac:dyDescent="0.35">
      <c r="B205" s="564" t="str">
        <f>Variables!$D$9</f>
        <v>Optimista</v>
      </c>
      <c r="C205" s="580">
        <f>Variables!$C$9</f>
        <v>1.25</v>
      </c>
      <c r="D205" s="568" t="str">
        <f>IF(VLOOKUP(1,Variables!$B$9:$C$14,2,0)=$C205,Variables!$I$3,"")</f>
        <v/>
      </c>
      <c r="E205" s="568" t="str">
        <f>IF(VLOOKUP(1,Variables!$B$9:$C$14,2,0)=$C205,Variables!$K$3,"")</f>
        <v/>
      </c>
      <c r="F205" s="584" t="str">
        <f>IF(VLOOKUP(1,Variables!$B$9:$C$14,2,0)=$C205,Variables!$K$4,"")</f>
        <v/>
      </c>
      <c r="G205" s="585" t="str">
        <f>IF(VLOOKUP(1,Variables!$B$9:$C$14,2,0)=$C205,Variables!$K$5,"")</f>
        <v/>
      </c>
    </row>
    <row r="206" spans="2:7" x14ac:dyDescent="0.35">
      <c r="B206" s="565" t="str">
        <f>Variables!$D$10</f>
        <v>Normal</v>
      </c>
      <c r="C206" s="581">
        <f>Variables!$C$10</f>
        <v>1</v>
      </c>
      <c r="D206" s="569">
        <f>IF(VLOOKUP(1,Variables!$B$9:$C$14,2,0)=$C206,Variables!$I$3,"")</f>
        <v>6.2062371095210622E-2</v>
      </c>
      <c r="E206" s="569">
        <f>IF(VLOOKUP(1,Variables!$B$9:$C$14,2,0)=$C206,Variables!$K$3,"")</f>
        <v>1.0596824311475932</v>
      </c>
      <c r="F206" s="573">
        <f>IF(VLOOKUP(1,Variables!$B$9:$C$14,2,0)=$C206,Variables!$K$4,"")</f>
        <v>316862495</v>
      </c>
      <c r="G206" s="574">
        <f>IF(VLOOKUP(1,Variables!$B$9:$C$14,2,0)=$C206,Variables!$K$5,"")</f>
        <v>257090711.55200407</v>
      </c>
    </row>
    <row r="207" spans="2:7" x14ac:dyDescent="0.35">
      <c r="B207" s="565" t="str">
        <f>Variables!$D$11</f>
        <v>Pesimista</v>
      </c>
      <c r="C207" s="581">
        <f>Variables!$C$11</f>
        <v>0.75</v>
      </c>
      <c r="D207" s="569" t="str">
        <f>IF(VLOOKUP(1,Variables!$B$9:$C$14,2,0)=$C207,Variables!$I$3,"")</f>
        <v/>
      </c>
      <c r="E207" s="569" t="str">
        <f>IF(VLOOKUP(1,Variables!$B$9:$C$14,2,0)=$C207,Variables!$K$3,"")</f>
        <v/>
      </c>
      <c r="F207" s="573" t="str">
        <f>IF(VLOOKUP(1,Variables!$B$9:$C$14,2,0)=$C207,Variables!$K$4,"")</f>
        <v/>
      </c>
      <c r="G207" s="574" t="str">
        <f>IF(VLOOKUP(1,Variables!$B$9:$C$14,2,0)=$C207,Variables!$K$5,"")</f>
        <v/>
      </c>
    </row>
    <row r="208" spans="2:7" ht="15" thickBot="1" x14ac:dyDescent="0.4">
      <c r="B208" s="566" t="str">
        <f>Variables!$D$12</f>
        <v>Buscado</v>
      </c>
      <c r="C208" s="582">
        <f>Variables!$C$12</f>
        <v>0.9</v>
      </c>
      <c r="D208" s="572" t="str">
        <f>IF(VLOOKUP(1,Variables!$B$9:$C$14,2,0)=$C208,Variables!$I$3,"")</f>
        <v/>
      </c>
      <c r="E208" s="572" t="str">
        <f>IF(VLOOKUP(1,Variables!$B$9:$C$14,2,0)=$C208,Variables!$K$3,"")</f>
        <v/>
      </c>
      <c r="F208" s="586" t="str">
        <f>IF(VLOOKUP(1,Variables!$B$9:$C$14,2,0)=$C208,Variables!$K$4,"")</f>
        <v/>
      </c>
      <c r="G208" s="587" t="str">
        <f>IF(VLOOKUP(1,Variables!$B$9:$C$14,2,0)=$C208,Variables!$K$5,"")</f>
        <v/>
      </c>
    </row>
  </sheetData>
  <mergeCells count="198">
    <mergeCell ref="B8:C8"/>
    <mergeCell ref="D8:E8"/>
    <mergeCell ref="B9:C9"/>
    <mergeCell ref="D9:E9"/>
    <mergeCell ref="B11:B13"/>
    <mergeCell ref="C11:C13"/>
    <mergeCell ref="D11:E11"/>
    <mergeCell ref="B2:G2"/>
    <mergeCell ref="B4:C4"/>
    <mergeCell ref="B5:C5"/>
    <mergeCell ref="B6:C6"/>
    <mergeCell ref="B7:C7"/>
    <mergeCell ref="D7:E7"/>
    <mergeCell ref="B23:C23"/>
    <mergeCell ref="B24:C24"/>
    <mergeCell ref="B25:C25"/>
    <mergeCell ref="B26:C26"/>
    <mergeCell ref="D26:E26"/>
    <mergeCell ref="B27:C27"/>
    <mergeCell ref="D27:E27"/>
    <mergeCell ref="F11:G11"/>
    <mergeCell ref="D12:D13"/>
    <mergeCell ref="E12:E13"/>
    <mergeCell ref="F12:F13"/>
    <mergeCell ref="G12:G13"/>
    <mergeCell ref="B21:G21"/>
    <mergeCell ref="B28:C28"/>
    <mergeCell ref="D28:E28"/>
    <mergeCell ref="B30:B32"/>
    <mergeCell ref="C30:C32"/>
    <mergeCell ref="D30:E30"/>
    <mergeCell ref="F30:G30"/>
    <mergeCell ref="D31:D32"/>
    <mergeCell ref="E31:E32"/>
    <mergeCell ref="F31:F32"/>
    <mergeCell ref="G31:G32"/>
    <mergeCell ref="B46:C46"/>
    <mergeCell ref="D46:E46"/>
    <mergeCell ref="B47:C47"/>
    <mergeCell ref="D47:E47"/>
    <mergeCell ref="B49:B51"/>
    <mergeCell ref="C49:C51"/>
    <mergeCell ref="D49:E49"/>
    <mergeCell ref="B40:G40"/>
    <mergeCell ref="B42:C42"/>
    <mergeCell ref="B43:C43"/>
    <mergeCell ref="B44:C44"/>
    <mergeCell ref="B45:C45"/>
    <mergeCell ref="D45:E45"/>
    <mergeCell ref="B61:C61"/>
    <mergeCell ref="B62:C62"/>
    <mergeCell ref="B63:C63"/>
    <mergeCell ref="B64:C64"/>
    <mergeCell ref="D64:E64"/>
    <mergeCell ref="B65:C65"/>
    <mergeCell ref="D65:E65"/>
    <mergeCell ref="F49:G49"/>
    <mergeCell ref="D50:D51"/>
    <mergeCell ref="E50:E51"/>
    <mergeCell ref="F50:F51"/>
    <mergeCell ref="G50:G51"/>
    <mergeCell ref="B59:G59"/>
    <mergeCell ref="B66:C66"/>
    <mergeCell ref="D66:E66"/>
    <mergeCell ref="B68:B70"/>
    <mergeCell ref="C68:C70"/>
    <mergeCell ref="D68:E68"/>
    <mergeCell ref="F68:G68"/>
    <mergeCell ref="D69:D70"/>
    <mergeCell ref="E69:E70"/>
    <mergeCell ref="F69:F70"/>
    <mergeCell ref="G69:G70"/>
    <mergeCell ref="B84:C84"/>
    <mergeCell ref="D84:E84"/>
    <mergeCell ref="B85:C85"/>
    <mergeCell ref="D85:E85"/>
    <mergeCell ref="B87:B89"/>
    <mergeCell ref="C87:C89"/>
    <mergeCell ref="D87:E87"/>
    <mergeCell ref="B78:G78"/>
    <mergeCell ref="B80:C80"/>
    <mergeCell ref="B81:C81"/>
    <mergeCell ref="B82:C82"/>
    <mergeCell ref="B83:C83"/>
    <mergeCell ref="D83:E83"/>
    <mergeCell ref="B99:C99"/>
    <mergeCell ref="B100:C100"/>
    <mergeCell ref="B101:C101"/>
    <mergeCell ref="B102:C102"/>
    <mergeCell ref="D102:E102"/>
    <mergeCell ref="B103:C103"/>
    <mergeCell ref="D103:E103"/>
    <mergeCell ref="F87:G87"/>
    <mergeCell ref="D88:D89"/>
    <mergeCell ref="E88:E89"/>
    <mergeCell ref="F88:F89"/>
    <mergeCell ref="G88:G89"/>
    <mergeCell ref="B97:G97"/>
    <mergeCell ref="B104:C104"/>
    <mergeCell ref="D104:E104"/>
    <mergeCell ref="B106:B108"/>
    <mergeCell ref="C106:C108"/>
    <mergeCell ref="D106:E106"/>
    <mergeCell ref="F106:G106"/>
    <mergeCell ref="D107:D108"/>
    <mergeCell ref="E107:E108"/>
    <mergeCell ref="F107:F108"/>
    <mergeCell ref="G107:G108"/>
    <mergeCell ref="B122:C122"/>
    <mergeCell ref="D122:E122"/>
    <mergeCell ref="B123:C123"/>
    <mergeCell ref="D123:E123"/>
    <mergeCell ref="B125:B127"/>
    <mergeCell ref="C125:C127"/>
    <mergeCell ref="D125:E125"/>
    <mergeCell ref="B116:G116"/>
    <mergeCell ref="B118:C118"/>
    <mergeCell ref="B119:C119"/>
    <mergeCell ref="B120:C120"/>
    <mergeCell ref="B121:C121"/>
    <mergeCell ref="D121:E121"/>
    <mergeCell ref="B137:C137"/>
    <mergeCell ref="B138:C138"/>
    <mergeCell ref="B139:C139"/>
    <mergeCell ref="B140:C140"/>
    <mergeCell ref="D140:E140"/>
    <mergeCell ref="B141:C141"/>
    <mergeCell ref="D141:E141"/>
    <mergeCell ref="F125:G125"/>
    <mergeCell ref="D126:D127"/>
    <mergeCell ref="E126:E127"/>
    <mergeCell ref="F126:F127"/>
    <mergeCell ref="G126:G127"/>
    <mergeCell ref="B135:G135"/>
    <mergeCell ref="B142:C142"/>
    <mergeCell ref="D142:E142"/>
    <mergeCell ref="B144:B146"/>
    <mergeCell ref="C144:C146"/>
    <mergeCell ref="D144:E144"/>
    <mergeCell ref="F144:G144"/>
    <mergeCell ref="D145:D146"/>
    <mergeCell ref="E145:E146"/>
    <mergeCell ref="F145:F146"/>
    <mergeCell ref="G145:G146"/>
    <mergeCell ref="B160:C160"/>
    <mergeCell ref="D160:E160"/>
    <mergeCell ref="B161:C161"/>
    <mergeCell ref="D161:E161"/>
    <mergeCell ref="B163:B165"/>
    <mergeCell ref="C163:C165"/>
    <mergeCell ref="D163:E163"/>
    <mergeCell ref="B154:G154"/>
    <mergeCell ref="B156:C156"/>
    <mergeCell ref="B157:C157"/>
    <mergeCell ref="B158:C158"/>
    <mergeCell ref="B159:C159"/>
    <mergeCell ref="D159:E159"/>
    <mergeCell ref="B175:C175"/>
    <mergeCell ref="B176:C176"/>
    <mergeCell ref="B177:C177"/>
    <mergeCell ref="B178:C178"/>
    <mergeCell ref="D178:E178"/>
    <mergeCell ref="B179:C179"/>
    <mergeCell ref="D179:E179"/>
    <mergeCell ref="F163:G163"/>
    <mergeCell ref="D164:D165"/>
    <mergeCell ref="E164:E165"/>
    <mergeCell ref="F164:F165"/>
    <mergeCell ref="G164:G165"/>
    <mergeCell ref="B173:G173"/>
    <mergeCell ref="B192:G192"/>
    <mergeCell ref="B194:C194"/>
    <mergeCell ref="B195:C195"/>
    <mergeCell ref="B196:C196"/>
    <mergeCell ref="B197:C197"/>
    <mergeCell ref="D197:E197"/>
    <mergeCell ref="B180:C180"/>
    <mergeCell ref="D180:E180"/>
    <mergeCell ref="B182:B184"/>
    <mergeCell ref="C182:C184"/>
    <mergeCell ref="D182:E182"/>
    <mergeCell ref="F182:G182"/>
    <mergeCell ref="D183:D184"/>
    <mergeCell ref="E183:E184"/>
    <mergeCell ref="F183:F184"/>
    <mergeCell ref="G183:G184"/>
    <mergeCell ref="F201:G201"/>
    <mergeCell ref="D202:D203"/>
    <mergeCell ref="E202:E203"/>
    <mergeCell ref="F202:F203"/>
    <mergeCell ref="G202:G203"/>
    <mergeCell ref="B198:C198"/>
    <mergeCell ref="D198:E198"/>
    <mergeCell ref="B199:C199"/>
    <mergeCell ref="D199:E199"/>
    <mergeCell ref="B201:B203"/>
    <mergeCell ref="C201:C203"/>
    <mergeCell ref="D201:E201"/>
  </mergeCells>
  <conditionalFormatting sqref="D8">
    <cfRule type="expression" priority="22" stopIfTrue="1">
      <formula>D8&lt;&gt;#REF!</formula>
    </cfRule>
  </conditionalFormatting>
  <conditionalFormatting sqref="D9">
    <cfRule type="expression" priority="21" stopIfTrue="1">
      <formula>D9&lt;&gt;#REF!</formula>
    </cfRule>
  </conditionalFormatting>
  <conditionalFormatting sqref="D27">
    <cfRule type="expression" priority="20" stopIfTrue="1">
      <formula>D27&lt;&gt;#REF!</formula>
    </cfRule>
  </conditionalFormatting>
  <conditionalFormatting sqref="D28">
    <cfRule type="expression" priority="19" stopIfTrue="1">
      <formula>D28&lt;&gt;#REF!</formula>
    </cfRule>
  </conditionalFormatting>
  <conditionalFormatting sqref="D46">
    <cfRule type="expression" priority="18" stopIfTrue="1">
      <formula>D46&lt;&gt;#REF!</formula>
    </cfRule>
  </conditionalFormatting>
  <conditionalFormatting sqref="D47">
    <cfRule type="expression" priority="17" stopIfTrue="1">
      <formula>D47&lt;&gt;#REF!</formula>
    </cfRule>
  </conditionalFormatting>
  <conditionalFormatting sqref="D65">
    <cfRule type="expression" priority="16" stopIfTrue="1">
      <formula>D65&lt;&gt;#REF!</formula>
    </cfRule>
  </conditionalFormatting>
  <conditionalFormatting sqref="D66">
    <cfRule type="expression" priority="15" stopIfTrue="1">
      <formula>D66&lt;&gt;#REF!</formula>
    </cfRule>
  </conditionalFormatting>
  <conditionalFormatting sqref="D84">
    <cfRule type="expression" priority="14" stopIfTrue="1">
      <formula>D84&lt;&gt;#REF!</formula>
    </cfRule>
  </conditionalFormatting>
  <conditionalFormatting sqref="D85">
    <cfRule type="expression" priority="13" stopIfTrue="1">
      <formula>D85&lt;&gt;#REF!</formula>
    </cfRule>
  </conditionalFormatting>
  <conditionalFormatting sqref="D103">
    <cfRule type="expression" priority="12" stopIfTrue="1">
      <formula>D103&lt;&gt;#REF!</formula>
    </cfRule>
  </conditionalFormatting>
  <conditionalFormatting sqref="D104">
    <cfRule type="expression" priority="11" stopIfTrue="1">
      <formula>D104&lt;&gt;#REF!</formula>
    </cfRule>
  </conditionalFormatting>
  <conditionalFormatting sqref="D122">
    <cfRule type="expression" priority="10" stopIfTrue="1">
      <formula>D122&lt;&gt;#REF!</formula>
    </cfRule>
  </conditionalFormatting>
  <conditionalFormatting sqref="D123">
    <cfRule type="expression" priority="9" stopIfTrue="1">
      <formula>D123&lt;&gt;#REF!</formula>
    </cfRule>
  </conditionalFormatting>
  <conditionalFormatting sqref="D141">
    <cfRule type="expression" priority="8" stopIfTrue="1">
      <formula>D141&lt;&gt;#REF!</formula>
    </cfRule>
  </conditionalFormatting>
  <conditionalFormatting sqref="D142">
    <cfRule type="expression" priority="7" stopIfTrue="1">
      <formula>D142&lt;&gt;#REF!</formula>
    </cfRule>
  </conditionalFormatting>
  <conditionalFormatting sqref="D160">
    <cfRule type="expression" priority="6" stopIfTrue="1">
      <formula>D160&lt;&gt;#REF!</formula>
    </cfRule>
  </conditionalFormatting>
  <conditionalFormatting sqref="D161">
    <cfRule type="expression" priority="5" stopIfTrue="1">
      <formula>D161&lt;&gt;#REF!</formula>
    </cfRule>
  </conditionalFormatting>
  <conditionalFormatting sqref="D179">
    <cfRule type="expression" priority="4" stopIfTrue="1">
      <formula>D179&lt;&gt;#REF!</formula>
    </cfRule>
  </conditionalFormatting>
  <conditionalFormatting sqref="D180">
    <cfRule type="expression" priority="3" stopIfTrue="1">
      <formula>D180&lt;&gt;#REF!</formula>
    </cfRule>
  </conditionalFormatting>
  <conditionalFormatting sqref="D198">
    <cfRule type="expression" priority="2" stopIfTrue="1">
      <formula>D198&lt;&gt;#REF!</formula>
    </cfRule>
  </conditionalFormatting>
  <conditionalFormatting sqref="D199">
    <cfRule type="expression" priority="1" stopIfTrue="1">
      <formula>D199&lt;&gt;#REF!</formula>
    </cfRule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83"/>
  <sheetViews>
    <sheetView showGridLines="0" workbookViewId="0">
      <pane xSplit="2" ySplit="7" topLeftCell="C8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1" x14ac:dyDescent="0.35"/>
  <cols>
    <col min="1" max="3" width="15.08984375" customWidth="1"/>
    <col min="4" max="4" width="11" customWidth="1" outlineLevel="1"/>
    <col min="5" max="5" width="11.1796875" bestFit="1" customWidth="1"/>
  </cols>
  <sheetData>
    <row r="1" spans="1:4" x14ac:dyDescent="0.35">
      <c r="B1" s="1" t="s">
        <v>684</v>
      </c>
      <c r="C1" s="185">
        <f ca="1">AVERAGE(C$9:C$69)</f>
        <v>5.2008196721311531E-2</v>
      </c>
      <c r="D1" s="185">
        <f>AVERAGE(D$9:D$69)</f>
        <v>4.9549180327868841E-2</v>
      </c>
    </row>
    <row r="2" spans="1:4" x14ac:dyDescent="0.35">
      <c r="B2" s="1" t="s">
        <v>813</v>
      </c>
      <c r="C2" s="185">
        <f ca="1">MAX(C$9:C$69)</f>
        <v>5.7500000000000009E-2</v>
      </c>
      <c r="D2" s="185">
        <f>MAX(D$9:D$69)</f>
        <v>5.7500000000000009E-2</v>
      </c>
    </row>
    <row r="3" spans="1:4" x14ac:dyDescent="0.35">
      <c r="B3" s="1" t="s">
        <v>814</v>
      </c>
      <c r="C3" s="185">
        <f ca="1">MIN(C$9:C$69)</f>
        <v>4.4999999999999998E-2</v>
      </c>
      <c r="D3" s="185">
        <f>MIN(D$9:D$69)</f>
        <v>4.4999999999999998E-2</v>
      </c>
    </row>
    <row r="5" spans="1:4" ht="14.5" customHeight="1" x14ac:dyDescent="0.35">
      <c r="A5" s="243" t="s">
        <v>179</v>
      </c>
      <c r="B5" s="243" t="s">
        <v>180</v>
      </c>
      <c r="C5" s="965" t="s">
        <v>812</v>
      </c>
      <c r="D5" s="966"/>
    </row>
    <row r="6" spans="1:4" ht="14" customHeight="1" x14ac:dyDescent="0.35">
      <c r="A6" s="244"/>
      <c r="B6" s="244"/>
      <c r="C6" s="963" t="s">
        <v>793</v>
      </c>
      <c r="D6" s="961" t="s">
        <v>792</v>
      </c>
    </row>
    <row r="7" spans="1:4" x14ac:dyDescent="0.35">
      <c r="A7" s="244"/>
      <c r="B7" s="244"/>
      <c r="C7" s="964"/>
      <c r="D7" s="962"/>
    </row>
    <row r="8" spans="1:4" x14ac:dyDescent="0.35">
      <c r="A8" s="181"/>
      <c r="B8" s="181"/>
      <c r="C8" s="177"/>
      <c r="D8" s="177"/>
    </row>
    <row r="9" spans="1:4" x14ac:dyDescent="0.35">
      <c r="A9" s="43">
        <v>0</v>
      </c>
      <c r="B9" s="184">
        <v>42004</v>
      </c>
      <c r="C9" s="347">
        <f>Variables!$D$64</f>
        <v>4.4999999999999998E-2</v>
      </c>
      <c r="D9" s="236">
        <v>4.4999999999999998E-2</v>
      </c>
    </row>
    <row r="10" spans="1:4" x14ac:dyDescent="0.35">
      <c r="A10" s="43">
        <v>1</v>
      </c>
      <c r="B10" s="184">
        <v>42035</v>
      </c>
      <c r="C10" s="236">
        <f ca="1">IF(MOD(MONTH($B9),3)=0,IF(RAND()&gt;0.5,IF(C9+Variables!$D$67&lt;Variables!$D$65,Variables!$D$65,IF(C9+Variables!$D$67&gt;Variables!$D$66,Variables!$D$66,C9+Variables!$D$67)),IF(C9+Variables!$D$68&lt;Variables!$D$65,Variables!$D$65,IF(C9+Variables!$D$68&gt;Variables!$D$66,Variables!$D$66,C9+Variables!$D$68))),C9)</f>
        <v>4.4999999999999998E-2</v>
      </c>
      <c r="D10" s="236">
        <v>4.7500000000000001E-2</v>
      </c>
    </row>
    <row r="11" spans="1:4" x14ac:dyDescent="0.35">
      <c r="A11" s="43">
        <v>2</v>
      </c>
      <c r="B11" s="184">
        <v>42063</v>
      </c>
      <c r="C11" s="236">
        <f ca="1">IF(MOD(MONTH($B10),3)=0,IF(RAND()&gt;0.5,IF(C10+Variables!$D$67&lt;Variables!$D$65,Variables!$D$65,IF(C10+Variables!$D$67&gt;Variables!$D$66,Variables!$D$66,C10+Variables!$D$67)),IF(C10+Variables!$D$68&lt;Variables!$D$65,Variables!$D$65,IF(C10+Variables!$D$68&gt;Variables!$D$66,Variables!$D$66,C10+Variables!$D$68))),C10)</f>
        <v>4.4999999999999998E-2</v>
      </c>
      <c r="D11" s="236">
        <v>4.7500000000000001E-2</v>
      </c>
    </row>
    <row r="12" spans="1:4" x14ac:dyDescent="0.35">
      <c r="A12" s="43">
        <v>3</v>
      </c>
      <c r="B12" s="184">
        <v>42094</v>
      </c>
      <c r="C12" s="236">
        <f ca="1">IF(MOD(MONTH($B11),3)=0,IF(RAND()&gt;0.5,IF(C11+Variables!$D$67&lt;Variables!$D$65,Variables!$D$65,IF(C11+Variables!$D$67&gt;Variables!$D$66,Variables!$D$66,C11+Variables!$D$67)),IF(C11+Variables!$D$68&lt;Variables!$D$65,Variables!$D$65,IF(C11+Variables!$D$68&gt;Variables!$D$66,Variables!$D$66,C11+Variables!$D$68))),C11)</f>
        <v>4.4999999999999998E-2</v>
      </c>
      <c r="D12" s="236">
        <v>4.7500000000000001E-2</v>
      </c>
    </row>
    <row r="13" spans="1:4" x14ac:dyDescent="0.35">
      <c r="A13" s="43">
        <v>4</v>
      </c>
      <c r="B13" s="184">
        <v>42124</v>
      </c>
      <c r="C13" s="236">
        <f ca="1">IF(MOD(MONTH($B12),3)=0,IF(RAND()&gt;0.5,IF(C12+Variables!$D$67&lt;Variables!$D$65,Variables!$D$65,IF(C12+Variables!$D$67&gt;Variables!$D$66,Variables!$D$66,C12+Variables!$D$67)),IF(C12+Variables!$D$68&lt;Variables!$D$65,Variables!$D$65,IF(C12+Variables!$D$68&gt;Variables!$D$66,Variables!$D$66,C12+Variables!$D$68))),C12)</f>
        <v>4.4999999999999998E-2</v>
      </c>
      <c r="D13" s="236">
        <v>0.05</v>
      </c>
    </row>
    <row r="14" spans="1:4" x14ac:dyDescent="0.35">
      <c r="A14" s="43">
        <v>5</v>
      </c>
      <c r="B14" s="184">
        <v>42155</v>
      </c>
      <c r="C14" s="236">
        <f ca="1">IF(MOD(MONTH($B13),3)=0,IF(RAND()&gt;0.5,IF(C13+Variables!$D$67&lt;Variables!$D$65,Variables!$D$65,IF(C13+Variables!$D$67&gt;Variables!$D$66,Variables!$D$66,C13+Variables!$D$67)),IF(C13+Variables!$D$68&lt;Variables!$D$65,Variables!$D$65,IF(C13+Variables!$D$68&gt;Variables!$D$66,Variables!$D$66,C13+Variables!$D$68))),C13)</f>
        <v>4.4999999999999998E-2</v>
      </c>
      <c r="D14" s="236">
        <v>0.05</v>
      </c>
    </row>
    <row r="15" spans="1:4" x14ac:dyDescent="0.35">
      <c r="A15" s="43">
        <v>6</v>
      </c>
      <c r="B15" s="184">
        <v>42185</v>
      </c>
      <c r="C15" s="236">
        <f ca="1">IF(MOD(MONTH($B14),3)=0,IF(RAND()&gt;0.5,IF(C14+Variables!$D$67&lt;Variables!$D$65,Variables!$D$65,IF(C14+Variables!$D$67&gt;Variables!$D$66,Variables!$D$66,C14+Variables!$D$67)),IF(C14+Variables!$D$68&lt;Variables!$D$65,Variables!$D$65,IF(C14+Variables!$D$68&gt;Variables!$D$66,Variables!$D$66,C14+Variables!$D$68))),C14)</f>
        <v>4.4999999999999998E-2</v>
      </c>
      <c r="D15" s="236">
        <v>0.05</v>
      </c>
    </row>
    <row r="16" spans="1:4" x14ac:dyDescent="0.35">
      <c r="A16" s="43">
        <v>7</v>
      </c>
      <c r="B16" s="184">
        <v>42216</v>
      </c>
      <c r="C16" s="236">
        <f ca="1">IF(MOD(MONTH($B15),3)=0,IF(RAND()&gt;0.5,IF(C15+Variables!$D$67&lt;Variables!$D$65,Variables!$D$65,IF(C15+Variables!$D$67&gt;Variables!$D$66,Variables!$D$66,C15+Variables!$D$67)),IF(C15+Variables!$D$68&lt;Variables!$D$65,Variables!$D$65,IF(C15+Variables!$D$68&gt;Variables!$D$66,Variables!$D$66,C15+Variables!$D$68))),C15)</f>
        <v>4.4999999999999998E-2</v>
      </c>
      <c r="D16" s="236">
        <v>5.2500000000000005E-2</v>
      </c>
    </row>
    <row r="17" spans="1:4" x14ac:dyDescent="0.35">
      <c r="A17" s="43">
        <v>8</v>
      </c>
      <c r="B17" s="184">
        <v>42247</v>
      </c>
      <c r="C17" s="236">
        <f ca="1">IF(MOD(MONTH($B16),3)=0,IF(RAND()&gt;0.5,IF(C16+Variables!$D$67&lt;Variables!$D$65,Variables!$D$65,IF(C16+Variables!$D$67&gt;Variables!$D$66,Variables!$D$66,C16+Variables!$D$67)),IF(C16+Variables!$D$68&lt;Variables!$D$65,Variables!$D$65,IF(C16+Variables!$D$68&gt;Variables!$D$66,Variables!$D$66,C16+Variables!$D$68))),C16)</f>
        <v>4.4999999999999998E-2</v>
      </c>
      <c r="D17" s="236">
        <v>5.2500000000000005E-2</v>
      </c>
    </row>
    <row r="18" spans="1:4" x14ac:dyDescent="0.35">
      <c r="A18" s="43">
        <v>9</v>
      </c>
      <c r="B18" s="184">
        <v>42277</v>
      </c>
      <c r="C18" s="236">
        <f ca="1">IF(MOD(MONTH($B17),3)=0,IF(RAND()&gt;0.5,IF(C17+Variables!$D$67&lt;Variables!$D$65,Variables!$D$65,IF(C17+Variables!$D$67&gt;Variables!$D$66,Variables!$D$66,C17+Variables!$D$67)),IF(C17+Variables!$D$68&lt;Variables!$D$65,Variables!$D$65,IF(C17+Variables!$D$68&gt;Variables!$D$66,Variables!$D$66,C17+Variables!$D$68))),C17)</f>
        <v>4.4999999999999998E-2</v>
      </c>
      <c r="D18" s="236">
        <v>5.2500000000000005E-2</v>
      </c>
    </row>
    <row r="19" spans="1:4" x14ac:dyDescent="0.35">
      <c r="A19" s="43">
        <v>10</v>
      </c>
      <c r="B19" s="184">
        <v>42308</v>
      </c>
      <c r="C19" s="236">
        <f ca="1">IF(MOD(MONTH($B18),3)=0,IF(RAND()&gt;0.5,IF(C18+Variables!$D$67&lt;Variables!$D$65,Variables!$D$65,IF(C18+Variables!$D$67&gt;Variables!$D$66,Variables!$D$66,C18+Variables!$D$67)),IF(C18+Variables!$D$68&lt;Variables!$D$65,Variables!$D$65,IF(C18+Variables!$D$68&gt;Variables!$D$66,Variables!$D$66,C18+Variables!$D$68))),C18)</f>
        <v>4.7500000000000001E-2</v>
      </c>
      <c r="D19" s="236">
        <v>5.5000000000000007E-2</v>
      </c>
    </row>
    <row r="20" spans="1:4" x14ac:dyDescent="0.35">
      <c r="A20" s="43">
        <v>11</v>
      </c>
      <c r="B20" s="184">
        <v>42338</v>
      </c>
      <c r="C20" s="236">
        <f ca="1">IF(MOD(MONTH($B19),3)=0,IF(RAND()&gt;0.5,IF(C19+Variables!$D$67&lt;Variables!$D$65,Variables!$D$65,IF(C19+Variables!$D$67&gt;Variables!$D$66,Variables!$D$66,C19+Variables!$D$67)),IF(C19+Variables!$D$68&lt;Variables!$D$65,Variables!$D$65,IF(C19+Variables!$D$68&gt;Variables!$D$66,Variables!$D$66,C19+Variables!$D$68))),C19)</f>
        <v>4.7500000000000001E-2</v>
      </c>
      <c r="D20" s="236">
        <v>5.5000000000000007E-2</v>
      </c>
    </row>
    <row r="21" spans="1:4" x14ac:dyDescent="0.35">
      <c r="A21" s="43">
        <v>12</v>
      </c>
      <c r="B21" s="184">
        <v>42369</v>
      </c>
      <c r="C21" s="236">
        <f ca="1">IF(MOD(MONTH($B20),3)=0,IF(RAND()&gt;0.5,IF(C20+Variables!$D$67&lt;Variables!$D$65,Variables!$D$65,IF(C20+Variables!$D$67&gt;Variables!$D$66,Variables!$D$66,C20+Variables!$D$67)),IF(C20+Variables!$D$68&lt;Variables!$D$65,Variables!$D$65,IF(C20+Variables!$D$68&gt;Variables!$D$66,Variables!$D$66,C20+Variables!$D$68))),C20)</f>
        <v>4.7500000000000001E-2</v>
      </c>
      <c r="D21" s="236">
        <v>5.5000000000000007E-2</v>
      </c>
    </row>
    <row r="22" spans="1:4" x14ac:dyDescent="0.35">
      <c r="A22" s="43">
        <v>13</v>
      </c>
      <c r="B22" s="184">
        <v>42400</v>
      </c>
      <c r="C22" s="236">
        <f ca="1">IF(MOD(MONTH($B21),3)=0,IF(RAND()&gt;0.5,IF(C21+Variables!$D$67&lt;Variables!$D$65,Variables!$D$65,IF(C21+Variables!$D$67&gt;Variables!$D$66,Variables!$D$66,C21+Variables!$D$67)),IF(C21+Variables!$D$68&lt;Variables!$D$65,Variables!$D$65,IF(C21+Variables!$D$68&gt;Variables!$D$66,Variables!$D$66,C21+Variables!$D$68))),C21)</f>
        <v>0.05</v>
      </c>
      <c r="D22" s="236">
        <v>5.7500000000000009E-2</v>
      </c>
    </row>
    <row r="23" spans="1:4" x14ac:dyDescent="0.35">
      <c r="A23" s="43">
        <v>14</v>
      </c>
      <c r="B23" s="184">
        <v>42429</v>
      </c>
      <c r="C23" s="236">
        <f ca="1">IF(MOD(MONTH($B22),3)=0,IF(RAND()&gt;0.5,IF(C22+Variables!$D$67&lt;Variables!$D$65,Variables!$D$65,IF(C22+Variables!$D$67&gt;Variables!$D$66,Variables!$D$66,C22+Variables!$D$67)),IF(C22+Variables!$D$68&lt;Variables!$D$65,Variables!$D$65,IF(C22+Variables!$D$68&gt;Variables!$D$66,Variables!$D$66,C22+Variables!$D$68))),C22)</f>
        <v>0.05</v>
      </c>
      <c r="D23" s="236">
        <v>5.7500000000000009E-2</v>
      </c>
    </row>
    <row r="24" spans="1:4" x14ac:dyDescent="0.35">
      <c r="A24" s="43">
        <v>15</v>
      </c>
      <c r="B24" s="184">
        <v>42460</v>
      </c>
      <c r="C24" s="236">
        <f ca="1">IF(MOD(MONTH($B23),3)=0,IF(RAND()&gt;0.5,IF(C23+Variables!$D$67&lt;Variables!$D$65,Variables!$D$65,IF(C23+Variables!$D$67&gt;Variables!$D$66,Variables!$D$66,C23+Variables!$D$67)),IF(C23+Variables!$D$68&lt;Variables!$D$65,Variables!$D$65,IF(C23+Variables!$D$68&gt;Variables!$D$66,Variables!$D$66,C23+Variables!$D$68))),C23)</f>
        <v>0.05</v>
      </c>
      <c r="D24" s="236">
        <v>5.7500000000000009E-2</v>
      </c>
    </row>
    <row r="25" spans="1:4" x14ac:dyDescent="0.35">
      <c r="A25" s="43">
        <v>16</v>
      </c>
      <c r="B25" s="184">
        <v>42490</v>
      </c>
      <c r="C25" s="236">
        <f ca="1">IF(MOD(MONTH($B24),3)=0,IF(RAND()&gt;0.5,IF(C24+Variables!$D$67&lt;Variables!$D$65,Variables!$D$65,IF(C24+Variables!$D$67&gt;Variables!$D$66,Variables!$D$66,C24+Variables!$D$67)),IF(C24+Variables!$D$68&lt;Variables!$D$65,Variables!$D$65,IF(C24+Variables!$D$68&gt;Variables!$D$66,Variables!$D$66,C24+Variables!$D$68))),C24)</f>
        <v>5.2500000000000005E-2</v>
      </c>
      <c r="D25" s="236">
        <v>5.5000000000000007E-2</v>
      </c>
    </row>
    <row r="26" spans="1:4" x14ac:dyDescent="0.35">
      <c r="A26" s="43">
        <v>17</v>
      </c>
      <c r="B26" s="184">
        <v>42521</v>
      </c>
      <c r="C26" s="236">
        <f ca="1">IF(MOD(MONTH($B25),3)=0,IF(RAND()&gt;0.5,IF(C25+Variables!$D$67&lt;Variables!$D$65,Variables!$D$65,IF(C25+Variables!$D$67&gt;Variables!$D$66,Variables!$D$66,C25+Variables!$D$67)),IF(C25+Variables!$D$68&lt;Variables!$D$65,Variables!$D$65,IF(C25+Variables!$D$68&gt;Variables!$D$66,Variables!$D$66,C25+Variables!$D$68))),C25)</f>
        <v>5.2500000000000005E-2</v>
      </c>
      <c r="D26" s="236">
        <v>5.5000000000000007E-2</v>
      </c>
    </row>
    <row r="27" spans="1:4" x14ac:dyDescent="0.35">
      <c r="A27" s="43">
        <v>18</v>
      </c>
      <c r="B27" s="184">
        <v>42551</v>
      </c>
      <c r="C27" s="236">
        <f ca="1">IF(MOD(MONTH($B26),3)=0,IF(RAND()&gt;0.5,IF(C26+Variables!$D$67&lt;Variables!$D$65,Variables!$D$65,IF(C26+Variables!$D$67&gt;Variables!$D$66,Variables!$D$66,C26+Variables!$D$67)),IF(C26+Variables!$D$68&lt;Variables!$D$65,Variables!$D$65,IF(C26+Variables!$D$68&gt;Variables!$D$66,Variables!$D$66,C26+Variables!$D$68))),C26)</f>
        <v>5.2500000000000005E-2</v>
      </c>
      <c r="D27" s="236">
        <v>5.5000000000000007E-2</v>
      </c>
    </row>
    <row r="28" spans="1:4" x14ac:dyDescent="0.35">
      <c r="A28" s="43">
        <v>19</v>
      </c>
      <c r="B28" s="184">
        <v>42582</v>
      </c>
      <c r="C28" s="236">
        <f ca="1">IF(MOD(MONTH($B27),3)=0,IF(RAND()&gt;0.5,IF(C27+Variables!$D$67&lt;Variables!$D$65,Variables!$D$65,IF(C27+Variables!$D$67&gt;Variables!$D$66,Variables!$D$66,C27+Variables!$D$67)),IF(C27+Variables!$D$68&lt;Variables!$D$65,Variables!$D$65,IF(C27+Variables!$D$68&gt;Variables!$D$66,Variables!$D$66,C27+Variables!$D$68))),C27)</f>
        <v>0.05</v>
      </c>
      <c r="D28" s="236">
        <v>5.2500000000000005E-2</v>
      </c>
    </row>
    <row r="29" spans="1:4" x14ac:dyDescent="0.35">
      <c r="A29" s="43">
        <v>20</v>
      </c>
      <c r="B29" s="184">
        <v>42613</v>
      </c>
      <c r="C29" s="236">
        <f ca="1">IF(MOD(MONTH($B28),3)=0,IF(RAND()&gt;0.5,IF(C28+Variables!$D$67&lt;Variables!$D$65,Variables!$D$65,IF(C28+Variables!$D$67&gt;Variables!$D$66,Variables!$D$66,C28+Variables!$D$67)),IF(C28+Variables!$D$68&lt;Variables!$D$65,Variables!$D$65,IF(C28+Variables!$D$68&gt;Variables!$D$66,Variables!$D$66,C28+Variables!$D$68))),C28)</f>
        <v>0.05</v>
      </c>
      <c r="D29" s="236">
        <v>5.2500000000000005E-2</v>
      </c>
    </row>
    <row r="30" spans="1:4" x14ac:dyDescent="0.35">
      <c r="A30" s="43">
        <v>21</v>
      </c>
      <c r="B30" s="184">
        <v>42643</v>
      </c>
      <c r="C30" s="236">
        <f ca="1">IF(MOD(MONTH($B29),3)=0,IF(RAND()&gt;0.5,IF(C29+Variables!$D$67&lt;Variables!$D$65,Variables!$D$65,IF(C29+Variables!$D$67&gt;Variables!$D$66,Variables!$D$66,C29+Variables!$D$67)),IF(C29+Variables!$D$68&lt;Variables!$D$65,Variables!$D$65,IF(C29+Variables!$D$68&gt;Variables!$D$66,Variables!$D$66,C29+Variables!$D$68))),C29)</f>
        <v>0.05</v>
      </c>
      <c r="D30" s="236">
        <v>5.2500000000000005E-2</v>
      </c>
    </row>
    <row r="31" spans="1:4" x14ac:dyDescent="0.35">
      <c r="A31" s="43">
        <v>22</v>
      </c>
      <c r="B31" s="184">
        <v>42674</v>
      </c>
      <c r="C31" s="236">
        <f ca="1">IF(MOD(MONTH($B30),3)=0,IF(RAND()&gt;0.5,IF(C30+Variables!$D$67&lt;Variables!$D$65,Variables!$D$65,IF(C30+Variables!$D$67&gt;Variables!$D$66,Variables!$D$66,C30+Variables!$D$67)),IF(C30+Variables!$D$68&lt;Variables!$D$65,Variables!$D$65,IF(C30+Variables!$D$68&gt;Variables!$D$66,Variables!$D$66,C30+Variables!$D$68))),C30)</f>
        <v>5.2500000000000005E-2</v>
      </c>
      <c r="D31" s="236">
        <v>0.05</v>
      </c>
    </row>
    <row r="32" spans="1:4" x14ac:dyDescent="0.35">
      <c r="A32" s="43">
        <v>23</v>
      </c>
      <c r="B32" s="184">
        <v>42704</v>
      </c>
      <c r="C32" s="236">
        <f ca="1">IF(MOD(MONTH($B31),3)=0,IF(RAND()&gt;0.5,IF(C31+Variables!$D$67&lt;Variables!$D$65,Variables!$D$65,IF(C31+Variables!$D$67&gt;Variables!$D$66,Variables!$D$66,C31+Variables!$D$67)),IF(C31+Variables!$D$68&lt;Variables!$D$65,Variables!$D$65,IF(C31+Variables!$D$68&gt;Variables!$D$66,Variables!$D$66,C31+Variables!$D$68))),C31)</f>
        <v>5.2500000000000005E-2</v>
      </c>
      <c r="D32" s="236">
        <v>0.05</v>
      </c>
    </row>
    <row r="33" spans="1:4" x14ac:dyDescent="0.35">
      <c r="A33" s="43">
        <v>24</v>
      </c>
      <c r="B33" s="184">
        <v>42735</v>
      </c>
      <c r="C33" s="236">
        <f ca="1">IF(MOD(MONTH($B32),3)=0,IF(RAND()&gt;0.5,IF(C32+Variables!$D$67&lt;Variables!$D$65,Variables!$D$65,IF(C32+Variables!$D$67&gt;Variables!$D$66,Variables!$D$66,C32+Variables!$D$67)),IF(C32+Variables!$D$68&lt;Variables!$D$65,Variables!$D$65,IF(C32+Variables!$D$68&gt;Variables!$D$66,Variables!$D$66,C32+Variables!$D$68))),C32)</f>
        <v>5.2500000000000005E-2</v>
      </c>
      <c r="D33" s="236">
        <v>0.05</v>
      </c>
    </row>
    <row r="34" spans="1:4" x14ac:dyDescent="0.35">
      <c r="A34" s="43">
        <v>25</v>
      </c>
      <c r="B34" s="184">
        <v>42766</v>
      </c>
      <c r="C34" s="236">
        <f ca="1">IF(MOD(MONTH($B33),3)=0,IF(RAND()&gt;0.5,IF(C33+Variables!$D$67&lt;Variables!$D$65,Variables!$D$65,IF(C33+Variables!$D$67&gt;Variables!$D$66,Variables!$D$66,C33+Variables!$D$67)),IF(C33+Variables!$D$68&lt;Variables!$D$65,Variables!$D$65,IF(C33+Variables!$D$68&gt;Variables!$D$66,Variables!$D$66,C33+Variables!$D$68))),C33)</f>
        <v>0.05</v>
      </c>
      <c r="D34" s="236">
        <v>5.2500000000000005E-2</v>
      </c>
    </row>
    <row r="35" spans="1:4" x14ac:dyDescent="0.35">
      <c r="A35" s="43">
        <v>26</v>
      </c>
      <c r="B35" s="184">
        <v>42794</v>
      </c>
      <c r="C35" s="236">
        <f ca="1">IF(MOD(MONTH($B34),3)=0,IF(RAND()&gt;0.5,IF(C34+Variables!$D$67&lt;Variables!$D$65,Variables!$D$65,IF(C34+Variables!$D$67&gt;Variables!$D$66,Variables!$D$66,C34+Variables!$D$67)),IF(C34+Variables!$D$68&lt;Variables!$D$65,Variables!$D$65,IF(C34+Variables!$D$68&gt;Variables!$D$66,Variables!$D$66,C34+Variables!$D$68))),C34)</f>
        <v>0.05</v>
      </c>
      <c r="D35" s="236">
        <v>5.2500000000000005E-2</v>
      </c>
    </row>
    <row r="36" spans="1:4" x14ac:dyDescent="0.35">
      <c r="A36" s="43">
        <v>27</v>
      </c>
      <c r="B36" s="184">
        <v>42825</v>
      </c>
      <c r="C36" s="236">
        <f ca="1">IF(MOD(MONTH($B35),3)=0,IF(RAND()&gt;0.5,IF(C35+Variables!$D$67&lt;Variables!$D$65,Variables!$D$65,IF(C35+Variables!$D$67&gt;Variables!$D$66,Variables!$D$66,C35+Variables!$D$67)),IF(C35+Variables!$D$68&lt;Variables!$D$65,Variables!$D$65,IF(C35+Variables!$D$68&gt;Variables!$D$66,Variables!$D$66,C35+Variables!$D$68))),C35)</f>
        <v>0.05</v>
      </c>
      <c r="D36" s="236">
        <v>5.2500000000000005E-2</v>
      </c>
    </row>
    <row r="37" spans="1:4" x14ac:dyDescent="0.35">
      <c r="A37" s="43">
        <v>28</v>
      </c>
      <c r="B37" s="184">
        <v>42855</v>
      </c>
      <c r="C37" s="236">
        <f ca="1">IF(MOD(MONTH($B36),3)=0,IF(RAND()&gt;0.5,IF(C36+Variables!$D$67&lt;Variables!$D$65,Variables!$D$65,IF(C36+Variables!$D$67&gt;Variables!$D$66,Variables!$D$66,C36+Variables!$D$67)),IF(C36+Variables!$D$68&lt;Variables!$D$65,Variables!$D$65,IF(C36+Variables!$D$68&gt;Variables!$D$66,Variables!$D$66,C36+Variables!$D$68))),C36)</f>
        <v>5.2500000000000005E-2</v>
      </c>
      <c r="D37" s="236">
        <v>0.05</v>
      </c>
    </row>
    <row r="38" spans="1:4" x14ac:dyDescent="0.35">
      <c r="A38" s="43">
        <v>29</v>
      </c>
      <c r="B38" s="184">
        <v>42886</v>
      </c>
      <c r="C38" s="236">
        <f ca="1">IF(MOD(MONTH($B37),3)=0,IF(RAND()&gt;0.5,IF(C37+Variables!$D$67&lt;Variables!$D$65,Variables!$D$65,IF(C37+Variables!$D$67&gt;Variables!$D$66,Variables!$D$66,C37+Variables!$D$67)),IF(C37+Variables!$D$68&lt;Variables!$D$65,Variables!$D$65,IF(C37+Variables!$D$68&gt;Variables!$D$66,Variables!$D$66,C37+Variables!$D$68))),C37)</f>
        <v>5.2500000000000005E-2</v>
      </c>
      <c r="D38" s="236">
        <v>0.05</v>
      </c>
    </row>
    <row r="39" spans="1:4" x14ac:dyDescent="0.35">
      <c r="A39" s="43">
        <v>30</v>
      </c>
      <c r="B39" s="184">
        <v>42916</v>
      </c>
      <c r="C39" s="236">
        <f ca="1">IF(MOD(MONTH($B38),3)=0,IF(RAND()&gt;0.5,IF(C38+Variables!$D$67&lt;Variables!$D$65,Variables!$D$65,IF(C38+Variables!$D$67&gt;Variables!$D$66,Variables!$D$66,C38+Variables!$D$67)),IF(C38+Variables!$D$68&lt;Variables!$D$65,Variables!$D$65,IF(C38+Variables!$D$68&gt;Variables!$D$66,Variables!$D$66,C38+Variables!$D$68))),C38)</f>
        <v>5.2500000000000005E-2</v>
      </c>
      <c r="D39" s="236">
        <v>0.05</v>
      </c>
    </row>
    <row r="40" spans="1:4" x14ac:dyDescent="0.35">
      <c r="A40" s="43">
        <v>31</v>
      </c>
      <c r="B40" s="184">
        <v>42947</v>
      </c>
      <c r="C40" s="236">
        <f ca="1">IF(MOD(MONTH($B39),3)=0,IF(RAND()&gt;0.5,IF(C39+Variables!$D$67&lt;Variables!$D$65,Variables!$D$65,IF(C39+Variables!$D$67&gt;Variables!$D$66,Variables!$D$66,C39+Variables!$D$67)),IF(C39+Variables!$D$68&lt;Variables!$D$65,Variables!$D$65,IF(C39+Variables!$D$68&gt;Variables!$D$66,Variables!$D$66,C39+Variables!$D$68))),C39)</f>
        <v>5.5000000000000007E-2</v>
      </c>
      <c r="D40" s="236">
        <v>4.7500000000000001E-2</v>
      </c>
    </row>
    <row r="41" spans="1:4" x14ac:dyDescent="0.35">
      <c r="A41" s="43">
        <v>32</v>
      </c>
      <c r="B41" s="184">
        <v>42978</v>
      </c>
      <c r="C41" s="236">
        <f ca="1">IF(MOD(MONTH($B40),3)=0,IF(RAND()&gt;0.5,IF(C40+Variables!$D$67&lt;Variables!$D$65,Variables!$D$65,IF(C40+Variables!$D$67&gt;Variables!$D$66,Variables!$D$66,C40+Variables!$D$67)),IF(C40+Variables!$D$68&lt;Variables!$D$65,Variables!$D$65,IF(C40+Variables!$D$68&gt;Variables!$D$66,Variables!$D$66,C40+Variables!$D$68))),C40)</f>
        <v>5.5000000000000007E-2</v>
      </c>
      <c r="D41" s="236">
        <v>4.7500000000000001E-2</v>
      </c>
    </row>
    <row r="42" spans="1:4" x14ac:dyDescent="0.35">
      <c r="A42" s="43">
        <v>33</v>
      </c>
      <c r="B42" s="184">
        <v>43008</v>
      </c>
      <c r="C42" s="236">
        <f ca="1">IF(MOD(MONTH($B41),3)=0,IF(RAND()&gt;0.5,IF(C41+Variables!$D$67&lt;Variables!$D$65,Variables!$D$65,IF(C41+Variables!$D$67&gt;Variables!$D$66,Variables!$D$66,C41+Variables!$D$67)),IF(C41+Variables!$D$68&lt;Variables!$D$65,Variables!$D$65,IF(C41+Variables!$D$68&gt;Variables!$D$66,Variables!$D$66,C41+Variables!$D$68))),C41)</f>
        <v>5.5000000000000007E-2</v>
      </c>
      <c r="D42" s="236">
        <v>4.7500000000000001E-2</v>
      </c>
    </row>
    <row r="43" spans="1:4" x14ac:dyDescent="0.35">
      <c r="A43" s="43">
        <v>34</v>
      </c>
      <c r="B43" s="184">
        <v>43039</v>
      </c>
      <c r="C43" s="236">
        <f ca="1">IF(MOD(MONTH($B42),3)=0,IF(RAND()&gt;0.5,IF(C42+Variables!$D$67&lt;Variables!$D$65,Variables!$D$65,IF(C42+Variables!$D$67&gt;Variables!$D$66,Variables!$D$66,C42+Variables!$D$67)),IF(C42+Variables!$D$68&lt;Variables!$D$65,Variables!$D$65,IF(C42+Variables!$D$68&gt;Variables!$D$66,Variables!$D$66,C42+Variables!$D$68))),C42)</f>
        <v>5.7500000000000009E-2</v>
      </c>
      <c r="D43" s="236">
        <v>4.4999999999999998E-2</v>
      </c>
    </row>
    <row r="44" spans="1:4" x14ac:dyDescent="0.35">
      <c r="A44" s="43">
        <v>35</v>
      </c>
      <c r="B44" s="184">
        <v>43069</v>
      </c>
      <c r="C44" s="236">
        <f ca="1">IF(MOD(MONTH($B43),3)=0,IF(RAND()&gt;0.5,IF(C43+Variables!$D$67&lt;Variables!$D$65,Variables!$D$65,IF(C43+Variables!$D$67&gt;Variables!$D$66,Variables!$D$66,C43+Variables!$D$67)),IF(C43+Variables!$D$68&lt;Variables!$D$65,Variables!$D$65,IF(C43+Variables!$D$68&gt;Variables!$D$66,Variables!$D$66,C43+Variables!$D$68))),C43)</f>
        <v>5.7500000000000009E-2</v>
      </c>
      <c r="D44" s="236">
        <v>4.4999999999999998E-2</v>
      </c>
    </row>
    <row r="45" spans="1:4" x14ac:dyDescent="0.35">
      <c r="A45" s="43">
        <v>36</v>
      </c>
      <c r="B45" s="184">
        <v>43100</v>
      </c>
      <c r="C45" s="236">
        <f ca="1">IF(MOD(MONTH($B44),3)=0,IF(RAND()&gt;0.5,IF(C44+Variables!$D$67&lt;Variables!$D$65,Variables!$D$65,IF(C44+Variables!$D$67&gt;Variables!$D$66,Variables!$D$66,C44+Variables!$D$67)),IF(C44+Variables!$D$68&lt;Variables!$D$65,Variables!$D$65,IF(C44+Variables!$D$68&gt;Variables!$D$66,Variables!$D$66,C44+Variables!$D$68))),C44)</f>
        <v>5.7500000000000009E-2</v>
      </c>
      <c r="D45" s="236">
        <v>4.4999999999999998E-2</v>
      </c>
    </row>
    <row r="46" spans="1:4" x14ac:dyDescent="0.35">
      <c r="A46" s="43">
        <v>37</v>
      </c>
      <c r="B46" s="184">
        <v>43131</v>
      </c>
      <c r="C46" s="236">
        <f ca="1">IF(MOD(MONTH($B45),3)=0,IF(RAND()&gt;0.5,IF(C45+Variables!$D$67&lt;Variables!$D$65,Variables!$D$65,IF(C45+Variables!$D$67&gt;Variables!$D$66,Variables!$D$66,C45+Variables!$D$67)),IF(C45+Variables!$D$68&lt;Variables!$D$65,Variables!$D$65,IF(C45+Variables!$D$68&gt;Variables!$D$66,Variables!$D$66,C45+Variables!$D$68))),C45)</f>
        <v>5.5000000000000007E-2</v>
      </c>
      <c r="D46" s="236">
        <v>4.7500000000000001E-2</v>
      </c>
    </row>
    <row r="47" spans="1:4" x14ac:dyDescent="0.35">
      <c r="A47" s="43">
        <v>38</v>
      </c>
      <c r="B47" s="184">
        <v>43159</v>
      </c>
      <c r="C47" s="236">
        <f ca="1">IF(MOD(MONTH($B46),3)=0,IF(RAND()&gt;0.5,IF(C46+Variables!$D$67&lt;Variables!$D$65,Variables!$D$65,IF(C46+Variables!$D$67&gt;Variables!$D$66,Variables!$D$66,C46+Variables!$D$67)),IF(C46+Variables!$D$68&lt;Variables!$D$65,Variables!$D$65,IF(C46+Variables!$D$68&gt;Variables!$D$66,Variables!$D$66,C46+Variables!$D$68))),C46)</f>
        <v>5.5000000000000007E-2</v>
      </c>
      <c r="D47" s="236">
        <v>4.7500000000000001E-2</v>
      </c>
    </row>
    <row r="48" spans="1:4" x14ac:dyDescent="0.35">
      <c r="A48" s="43">
        <v>39</v>
      </c>
      <c r="B48" s="184">
        <v>43190</v>
      </c>
      <c r="C48" s="236">
        <f ca="1">IF(MOD(MONTH($B47),3)=0,IF(RAND()&gt;0.5,IF(C47+Variables!$D$67&lt;Variables!$D$65,Variables!$D$65,IF(C47+Variables!$D$67&gt;Variables!$D$66,Variables!$D$66,C47+Variables!$D$67)),IF(C47+Variables!$D$68&lt;Variables!$D$65,Variables!$D$65,IF(C47+Variables!$D$68&gt;Variables!$D$66,Variables!$D$66,C47+Variables!$D$68))),C47)</f>
        <v>5.5000000000000007E-2</v>
      </c>
      <c r="D48" s="236">
        <v>4.7500000000000001E-2</v>
      </c>
    </row>
    <row r="49" spans="1:5" x14ac:dyDescent="0.35">
      <c r="A49" s="43">
        <v>40</v>
      </c>
      <c r="B49" s="184">
        <v>43220</v>
      </c>
      <c r="C49" s="236">
        <f ca="1">IF(MOD(MONTH($B48),3)=0,IF(RAND()&gt;0.5,IF(C48+Variables!$D$67&lt;Variables!$D$65,Variables!$D$65,IF(C48+Variables!$D$67&gt;Variables!$D$66,Variables!$D$66,C48+Variables!$D$67)),IF(C48+Variables!$D$68&lt;Variables!$D$65,Variables!$D$65,IF(C48+Variables!$D$68&gt;Variables!$D$66,Variables!$D$66,C48+Variables!$D$68))),C48)</f>
        <v>5.2500000000000005E-2</v>
      </c>
      <c r="D49" s="236">
        <v>4.4999999999999998E-2</v>
      </c>
      <c r="E49" s="10"/>
    </row>
    <row r="50" spans="1:5" x14ac:dyDescent="0.35">
      <c r="A50" s="43">
        <v>41</v>
      </c>
      <c r="B50" s="184">
        <v>43251</v>
      </c>
      <c r="C50" s="236">
        <f ca="1">IF(MOD(MONTH($B49),3)=0,IF(RAND()&gt;0.5,IF(C49+Variables!$D$67&lt;Variables!$D$65,Variables!$D$65,IF(C49+Variables!$D$67&gt;Variables!$D$66,Variables!$D$66,C49+Variables!$D$67)),IF(C49+Variables!$D$68&lt;Variables!$D$65,Variables!$D$65,IF(C49+Variables!$D$68&gt;Variables!$D$66,Variables!$D$66,C49+Variables!$D$68))),C49)</f>
        <v>5.2500000000000005E-2</v>
      </c>
      <c r="D50" s="236">
        <v>4.4999999999999998E-2</v>
      </c>
      <c r="E50" s="10"/>
    </row>
    <row r="51" spans="1:5" x14ac:dyDescent="0.35">
      <c r="A51" s="43">
        <v>42</v>
      </c>
      <c r="B51" s="184">
        <v>43281</v>
      </c>
      <c r="C51" s="236">
        <f ca="1">IF(MOD(MONTH($B50),3)=0,IF(RAND()&gt;0.5,IF(C50+Variables!$D$67&lt;Variables!$D$65,Variables!$D$65,IF(C50+Variables!$D$67&gt;Variables!$D$66,Variables!$D$66,C50+Variables!$D$67)),IF(C50+Variables!$D$68&lt;Variables!$D$65,Variables!$D$65,IF(C50+Variables!$D$68&gt;Variables!$D$66,Variables!$D$66,C50+Variables!$D$68))),C50)</f>
        <v>5.2500000000000005E-2</v>
      </c>
      <c r="D51" s="236">
        <v>4.4999999999999998E-2</v>
      </c>
      <c r="E51" s="10"/>
    </row>
    <row r="52" spans="1:5" x14ac:dyDescent="0.35">
      <c r="A52" s="43">
        <v>43</v>
      </c>
      <c r="B52" s="184">
        <v>43312</v>
      </c>
      <c r="C52" s="236">
        <f ca="1">IF(MOD(MONTH($B51),3)=0,IF(RAND()&gt;0.5,IF(C51+Variables!$D$67&lt;Variables!$D$65,Variables!$D$65,IF(C51+Variables!$D$67&gt;Variables!$D$66,Variables!$D$66,C51+Variables!$D$67)),IF(C51+Variables!$D$68&lt;Variables!$D$65,Variables!$D$65,IF(C51+Variables!$D$68&gt;Variables!$D$66,Variables!$D$66,C51+Variables!$D$68))),C51)</f>
        <v>5.5000000000000007E-2</v>
      </c>
      <c r="D52" s="236">
        <v>4.4999999999999998E-2</v>
      </c>
    </row>
    <row r="53" spans="1:5" x14ac:dyDescent="0.35">
      <c r="A53" s="43">
        <v>44</v>
      </c>
      <c r="B53" s="184">
        <v>43343</v>
      </c>
      <c r="C53" s="236">
        <f ca="1">IF(MOD(MONTH($B52),3)=0,IF(RAND()&gt;0.5,IF(C52+Variables!$D$67&lt;Variables!$D$65,Variables!$D$65,IF(C52+Variables!$D$67&gt;Variables!$D$66,Variables!$D$66,C52+Variables!$D$67)),IF(C52+Variables!$D$68&lt;Variables!$D$65,Variables!$D$65,IF(C52+Variables!$D$68&gt;Variables!$D$66,Variables!$D$66,C52+Variables!$D$68))),C52)</f>
        <v>5.5000000000000007E-2</v>
      </c>
      <c r="D53" s="236">
        <v>4.4999999999999998E-2</v>
      </c>
    </row>
    <row r="54" spans="1:5" x14ac:dyDescent="0.35">
      <c r="A54" s="43">
        <v>45</v>
      </c>
      <c r="B54" s="184">
        <v>43373</v>
      </c>
      <c r="C54" s="236">
        <f ca="1">IF(MOD(MONTH($B53),3)=0,IF(RAND()&gt;0.5,IF(C53+Variables!$D$67&lt;Variables!$D$65,Variables!$D$65,IF(C53+Variables!$D$67&gt;Variables!$D$66,Variables!$D$66,C53+Variables!$D$67)),IF(C53+Variables!$D$68&lt;Variables!$D$65,Variables!$D$65,IF(C53+Variables!$D$68&gt;Variables!$D$66,Variables!$D$66,C53+Variables!$D$68))),C53)</f>
        <v>5.5000000000000007E-2</v>
      </c>
      <c r="D54" s="236">
        <v>4.4999999999999998E-2</v>
      </c>
    </row>
    <row r="55" spans="1:5" x14ac:dyDescent="0.35">
      <c r="A55" s="43">
        <v>46</v>
      </c>
      <c r="B55" s="184">
        <v>43404</v>
      </c>
      <c r="C55" s="236">
        <f ca="1">IF(MOD(MONTH($B54),3)=0,IF(RAND()&gt;0.5,IF(C54+Variables!$D$67&lt;Variables!$D$65,Variables!$D$65,IF(C54+Variables!$D$67&gt;Variables!$D$66,Variables!$D$66,C54+Variables!$D$67)),IF(C54+Variables!$D$68&lt;Variables!$D$65,Variables!$D$65,IF(C54+Variables!$D$68&gt;Variables!$D$66,Variables!$D$66,C54+Variables!$D$68))),C54)</f>
        <v>5.2500000000000005E-2</v>
      </c>
      <c r="D55" s="236">
        <v>4.4999999999999998E-2</v>
      </c>
    </row>
    <row r="56" spans="1:5" x14ac:dyDescent="0.35">
      <c r="A56" s="43">
        <v>47</v>
      </c>
      <c r="B56" s="184">
        <v>43434</v>
      </c>
      <c r="C56" s="236">
        <f ca="1">IF(MOD(MONTH($B55),3)=0,IF(RAND()&gt;0.5,IF(C55+Variables!$D$67&lt;Variables!$D$65,Variables!$D$65,IF(C55+Variables!$D$67&gt;Variables!$D$66,Variables!$D$66,C55+Variables!$D$67)),IF(C55+Variables!$D$68&lt;Variables!$D$65,Variables!$D$65,IF(C55+Variables!$D$68&gt;Variables!$D$66,Variables!$D$66,C55+Variables!$D$68))),C55)</f>
        <v>5.2500000000000005E-2</v>
      </c>
      <c r="D56" s="236">
        <v>4.4999999999999998E-2</v>
      </c>
    </row>
    <row r="57" spans="1:5" x14ac:dyDescent="0.35">
      <c r="A57" s="43">
        <v>48</v>
      </c>
      <c r="B57" s="184">
        <v>43465</v>
      </c>
      <c r="C57" s="236">
        <f ca="1">IF(MOD(MONTH($B56),3)=0,IF(RAND()&gt;0.5,IF(C56+Variables!$D$67&lt;Variables!$D$65,Variables!$D$65,IF(C56+Variables!$D$67&gt;Variables!$D$66,Variables!$D$66,C56+Variables!$D$67)),IF(C56+Variables!$D$68&lt;Variables!$D$65,Variables!$D$65,IF(C56+Variables!$D$68&gt;Variables!$D$66,Variables!$D$66,C56+Variables!$D$68))),C56)</f>
        <v>5.2500000000000005E-2</v>
      </c>
      <c r="D57" s="236">
        <v>4.4999999999999998E-2</v>
      </c>
    </row>
    <row r="58" spans="1:5" x14ac:dyDescent="0.35">
      <c r="A58" s="43">
        <v>49</v>
      </c>
      <c r="B58" s="184">
        <v>43496</v>
      </c>
      <c r="C58" s="236">
        <f ca="1">IF(MOD(MONTH($B57),3)=0,IF(RAND()&gt;0.5,IF(C57+Variables!$D$67&lt;Variables!$D$65,Variables!$D$65,IF(C57+Variables!$D$67&gt;Variables!$D$66,Variables!$D$66,C57+Variables!$D$67)),IF(C57+Variables!$D$68&lt;Variables!$D$65,Variables!$D$65,IF(C57+Variables!$D$68&gt;Variables!$D$66,Variables!$D$66,C57+Variables!$D$68))),C57)</f>
        <v>5.5000000000000007E-2</v>
      </c>
      <c r="D58" s="236">
        <v>4.4999999999999998E-2</v>
      </c>
    </row>
    <row r="59" spans="1:5" x14ac:dyDescent="0.35">
      <c r="A59" s="43">
        <v>50</v>
      </c>
      <c r="B59" s="184">
        <v>43524</v>
      </c>
      <c r="C59" s="236">
        <f ca="1">IF(MOD(MONTH($B58),3)=0,IF(RAND()&gt;0.5,IF(C58+Variables!$D$67&lt;Variables!$D$65,Variables!$D$65,IF(C58+Variables!$D$67&gt;Variables!$D$66,Variables!$D$66,C58+Variables!$D$67)),IF(C58+Variables!$D$68&lt;Variables!$D$65,Variables!$D$65,IF(C58+Variables!$D$68&gt;Variables!$D$66,Variables!$D$66,C58+Variables!$D$68))),C58)</f>
        <v>5.5000000000000007E-2</v>
      </c>
      <c r="D59" s="236">
        <v>4.4999999999999998E-2</v>
      </c>
    </row>
    <row r="60" spans="1:5" x14ac:dyDescent="0.35">
      <c r="A60" s="43">
        <v>51</v>
      </c>
      <c r="B60" s="184">
        <v>43555</v>
      </c>
      <c r="C60" s="236">
        <f ca="1">IF(MOD(MONTH($B59),3)=0,IF(RAND()&gt;0.5,IF(C59+Variables!$D$67&lt;Variables!$D$65,Variables!$D$65,IF(C59+Variables!$D$67&gt;Variables!$D$66,Variables!$D$66,C59+Variables!$D$67)),IF(C59+Variables!$D$68&lt;Variables!$D$65,Variables!$D$65,IF(C59+Variables!$D$68&gt;Variables!$D$66,Variables!$D$66,C59+Variables!$D$68))),C59)</f>
        <v>5.5000000000000007E-2</v>
      </c>
      <c r="D60" s="236">
        <v>4.4999999999999998E-2</v>
      </c>
    </row>
    <row r="61" spans="1:5" x14ac:dyDescent="0.35">
      <c r="A61" s="43">
        <v>52</v>
      </c>
      <c r="B61" s="184">
        <v>43585</v>
      </c>
      <c r="C61" s="236">
        <f ca="1">IF(MOD(MONTH($B60),3)=0,IF(RAND()&gt;0.5,IF(C60+Variables!$D$67&lt;Variables!$D$65,Variables!$D$65,IF(C60+Variables!$D$67&gt;Variables!$D$66,Variables!$D$66,C60+Variables!$D$67)),IF(C60+Variables!$D$68&lt;Variables!$D$65,Variables!$D$65,IF(C60+Variables!$D$68&gt;Variables!$D$66,Variables!$D$66,C60+Variables!$D$68))),C60)</f>
        <v>5.7500000000000009E-2</v>
      </c>
      <c r="D61" s="236">
        <v>4.7500000000000001E-2</v>
      </c>
    </row>
    <row r="62" spans="1:5" x14ac:dyDescent="0.35">
      <c r="A62" s="43">
        <v>53</v>
      </c>
      <c r="B62" s="184">
        <v>43616</v>
      </c>
      <c r="C62" s="236">
        <f ca="1">IF(MOD(MONTH($B61),3)=0,IF(RAND()&gt;0.5,IF(C61+Variables!$D$67&lt;Variables!$D$65,Variables!$D$65,IF(C61+Variables!$D$67&gt;Variables!$D$66,Variables!$D$66,C61+Variables!$D$67)),IF(C61+Variables!$D$68&lt;Variables!$D$65,Variables!$D$65,IF(C61+Variables!$D$68&gt;Variables!$D$66,Variables!$D$66,C61+Variables!$D$68))),C61)</f>
        <v>5.7500000000000009E-2</v>
      </c>
      <c r="D62" s="236">
        <v>4.7500000000000001E-2</v>
      </c>
    </row>
    <row r="63" spans="1:5" x14ac:dyDescent="0.35">
      <c r="A63" s="43">
        <v>54</v>
      </c>
      <c r="B63" s="184">
        <v>43646</v>
      </c>
      <c r="C63" s="236">
        <f ca="1">IF(MOD(MONTH($B62),3)=0,IF(RAND()&gt;0.5,IF(C62+Variables!$D$67&lt;Variables!$D$65,Variables!$D$65,IF(C62+Variables!$D$67&gt;Variables!$D$66,Variables!$D$66,C62+Variables!$D$67)),IF(C62+Variables!$D$68&lt;Variables!$D$65,Variables!$D$65,IF(C62+Variables!$D$68&gt;Variables!$D$66,Variables!$D$66,C62+Variables!$D$68))),C62)</f>
        <v>5.7500000000000009E-2</v>
      </c>
      <c r="D63" s="236">
        <v>4.7500000000000001E-2</v>
      </c>
    </row>
    <row r="64" spans="1:5" x14ac:dyDescent="0.35">
      <c r="A64" s="43">
        <v>55</v>
      </c>
      <c r="B64" s="184">
        <v>43677</v>
      </c>
      <c r="C64" s="236">
        <f ca="1">IF(MOD(MONTH($B63),3)=0,IF(RAND()&gt;0.5,IF(C63+Variables!$D$67&lt;Variables!$D$65,Variables!$D$65,IF(C63+Variables!$D$67&gt;Variables!$D$66,Variables!$D$66,C63+Variables!$D$67)),IF(C63+Variables!$D$68&lt;Variables!$D$65,Variables!$D$65,IF(C63+Variables!$D$68&gt;Variables!$D$66,Variables!$D$66,C63+Variables!$D$68))),C63)</f>
        <v>5.5000000000000007E-2</v>
      </c>
      <c r="D64" s="236">
        <v>0.05</v>
      </c>
    </row>
    <row r="65" spans="1:4" x14ac:dyDescent="0.35">
      <c r="A65" s="43">
        <v>56</v>
      </c>
      <c r="B65" s="184">
        <v>43708</v>
      </c>
      <c r="C65" s="236">
        <f ca="1">IF(MOD(MONTH($B64),3)=0,IF(RAND()&gt;0.5,IF(C64+Variables!$D$67&lt;Variables!$D$65,Variables!$D$65,IF(C64+Variables!$D$67&gt;Variables!$D$66,Variables!$D$66,C64+Variables!$D$67)),IF(C64+Variables!$D$68&lt;Variables!$D$65,Variables!$D$65,IF(C64+Variables!$D$68&gt;Variables!$D$66,Variables!$D$66,C64+Variables!$D$68))),C64)</f>
        <v>5.5000000000000007E-2</v>
      </c>
      <c r="D65" s="236">
        <v>0.05</v>
      </c>
    </row>
    <row r="66" spans="1:4" x14ac:dyDescent="0.35">
      <c r="A66" s="43">
        <v>57</v>
      </c>
      <c r="B66" s="184">
        <v>43738</v>
      </c>
      <c r="C66" s="236">
        <f ca="1">IF(MOD(MONTH($B65),3)=0,IF(RAND()&gt;0.5,IF(C65+Variables!$D$67&lt;Variables!$D$65,Variables!$D$65,IF(C65+Variables!$D$67&gt;Variables!$D$66,Variables!$D$66,C65+Variables!$D$67)),IF(C65+Variables!$D$68&lt;Variables!$D$65,Variables!$D$65,IF(C65+Variables!$D$68&gt;Variables!$D$66,Variables!$D$66,C65+Variables!$D$68))),C65)</f>
        <v>5.5000000000000007E-2</v>
      </c>
      <c r="D66" s="236">
        <v>0.05</v>
      </c>
    </row>
    <row r="67" spans="1:4" x14ac:dyDescent="0.35">
      <c r="A67" s="43">
        <v>58</v>
      </c>
      <c r="B67" s="184">
        <v>43769</v>
      </c>
      <c r="C67" s="236">
        <f ca="1">IF(MOD(MONTH($B66),3)=0,IF(RAND()&gt;0.5,IF(C66+Variables!$D$67&lt;Variables!$D$65,Variables!$D$65,IF(C66+Variables!$D$67&gt;Variables!$D$66,Variables!$D$66,C66+Variables!$D$67)),IF(C66+Variables!$D$68&lt;Variables!$D$65,Variables!$D$65,IF(C66+Variables!$D$68&gt;Variables!$D$66,Variables!$D$66,C66+Variables!$D$68))),C66)</f>
        <v>5.7500000000000009E-2</v>
      </c>
      <c r="D67" s="236">
        <v>5.2500000000000005E-2</v>
      </c>
    </row>
    <row r="68" spans="1:4" x14ac:dyDescent="0.35">
      <c r="A68" s="43">
        <v>59</v>
      </c>
      <c r="B68" s="184">
        <v>43799</v>
      </c>
      <c r="C68" s="236">
        <f ca="1">IF(MOD(MONTH($B67),3)=0,IF(RAND()&gt;0.5,IF(C67+Variables!$D$67&lt;Variables!$D$65,Variables!$D$65,IF(C67+Variables!$D$67&gt;Variables!$D$66,Variables!$D$66,C67+Variables!$D$67)),IF(C67+Variables!$D$68&lt;Variables!$D$65,Variables!$D$65,IF(C67+Variables!$D$68&gt;Variables!$D$66,Variables!$D$66,C67+Variables!$D$68))),C67)</f>
        <v>5.7500000000000009E-2</v>
      </c>
      <c r="D68" s="236">
        <v>5.2500000000000005E-2</v>
      </c>
    </row>
    <row r="69" spans="1:4" x14ac:dyDescent="0.35">
      <c r="A69" s="43">
        <v>60</v>
      </c>
      <c r="B69" s="184">
        <v>43830</v>
      </c>
      <c r="C69" s="236">
        <f ca="1">IF(MOD(MONTH($B68),3)=0,IF(RAND()&gt;0.5,IF(C68+Variables!$D$67&lt;Variables!$D$65,Variables!$D$65,IF(C68+Variables!$D$67&gt;Variables!$D$66,Variables!$D$66,C68+Variables!$D$67)),IF(C68+Variables!$D$68&lt;Variables!$D$65,Variables!$D$65,IF(C68+Variables!$D$68&gt;Variables!$D$66,Variables!$D$66,C68+Variables!$D$68))),C68)</f>
        <v>5.7500000000000009E-2</v>
      </c>
      <c r="D69" s="236">
        <v>5.2500000000000005E-2</v>
      </c>
    </row>
    <row r="70" spans="1:4" x14ac:dyDescent="0.35">
      <c r="B70" s="172"/>
      <c r="C70" s="172"/>
      <c r="D70" s="172"/>
    </row>
    <row r="71" spans="1:4" x14ac:dyDescent="0.35">
      <c r="B71" s="172"/>
      <c r="C71" s="172"/>
      <c r="D71" s="172"/>
    </row>
    <row r="72" spans="1:4" x14ac:dyDescent="0.35">
      <c r="B72" s="172"/>
      <c r="C72" s="172"/>
      <c r="D72" s="172"/>
    </row>
    <row r="73" spans="1:4" x14ac:dyDescent="0.35">
      <c r="B73" s="172"/>
      <c r="C73" s="172"/>
      <c r="D73" s="172"/>
    </row>
    <row r="74" spans="1:4" x14ac:dyDescent="0.35">
      <c r="B74" s="172"/>
      <c r="C74" s="172"/>
      <c r="D74" s="172"/>
    </row>
    <row r="75" spans="1:4" x14ac:dyDescent="0.35">
      <c r="B75" s="172"/>
      <c r="C75" s="172"/>
      <c r="D75" s="172"/>
    </row>
    <row r="76" spans="1:4" x14ac:dyDescent="0.35">
      <c r="B76" s="172"/>
      <c r="C76" s="172"/>
      <c r="D76" s="172"/>
    </row>
    <row r="77" spans="1:4" x14ac:dyDescent="0.35">
      <c r="B77" s="172"/>
      <c r="C77" s="172"/>
      <c r="D77" s="172"/>
    </row>
    <row r="78" spans="1:4" x14ac:dyDescent="0.35">
      <c r="B78" s="172"/>
      <c r="C78" s="172"/>
      <c r="D78" s="172"/>
    </row>
    <row r="79" spans="1:4" x14ac:dyDescent="0.35">
      <c r="B79" s="172"/>
      <c r="C79" s="172"/>
      <c r="D79" s="172"/>
    </row>
    <row r="80" spans="1:4" x14ac:dyDescent="0.35">
      <c r="B80" s="172"/>
      <c r="C80" s="172"/>
      <c r="D80" s="172"/>
    </row>
    <row r="81" spans="2:4" x14ac:dyDescent="0.35">
      <c r="B81" s="172"/>
      <c r="C81" s="172"/>
      <c r="D81" s="172"/>
    </row>
    <row r="82" spans="2:4" x14ac:dyDescent="0.35">
      <c r="B82" s="172"/>
      <c r="C82" s="172"/>
      <c r="D82" s="172"/>
    </row>
    <row r="83" spans="2:4" x14ac:dyDescent="0.35">
      <c r="B83" s="172"/>
      <c r="C83" s="172"/>
      <c r="D83" s="172"/>
    </row>
  </sheetData>
  <mergeCells count="3">
    <mergeCell ref="D6:D7"/>
    <mergeCell ref="C6:C7"/>
    <mergeCell ref="C5:D5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89"/>
  <sheetViews>
    <sheetView showGridLines="0" workbookViewId="0">
      <pane xSplit="2" ySplit="13" topLeftCell="C14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1" x14ac:dyDescent="0.35"/>
  <cols>
    <col min="1" max="1" width="7.36328125" bestFit="1" customWidth="1"/>
    <col min="2" max="2" width="15.08984375" customWidth="1"/>
    <col min="3" max="3" width="12" customWidth="1"/>
    <col min="4" max="5" width="7.54296875" customWidth="1" outlineLevel="1"/>
    <col min="6" max="6" width="5.7265625" customWidth="1" outlineLevel="1"/>
    <col min="7" max="7" width="7.54296875" bestFit="1" customWidth="1"/>
    <col min="8" max="9" width="7.54296875" hidden="1" customWidth="1" outlineLevel="1"/>
    <col min="10" max="10" width="6.7265625" customWidth="1" collapsed="1"/>
    <col min="11" max="11" width="8.81640625" customWidth="1"/>
    <col min="12" max="13" width="11.6328125" customWidth="1"/>
    <col min="14" max="14" width="11.1796875" bestFit="1" customWidth="1"/>
    <col min="15" max="16" width="11.1796875" customWidth="1"/>
    <col min="17" max="17" width="12.6328125" bestFit="1" customWidth="1"/>
    <col min="18" max="18" width="12.6328125" customWidth="1"/>
    <col min="19" max="19" width="12.36328125" bestFit="1" customWidth="1"/>
    <col min="20" max="20" width="14.6328125" bestFit="1" customWidth="1"/>
  </cols>
  <sheetData>
    <row r="1" spans="1:18" x14ac:dyDescent="0.35">
      <c r="A1" s="241" t="s">
        <v>505</v>
      </c>
      <c r="B1" s="241"/>
      <c r="C1" s="1" t="s">
        <v>494</v>
      </c>
      <c r="D1" s="230"/>
      <c r="E1" s="230"/>
      <c r="F1" s="230"/>
      <c r="G1" s="230"/>
      <c r="H1" s="230"/>
      <c r="I1" s="230"/>
      <c r="J1" s="230"/>
      <c r="K1" s="230"/>
    </row>
    <row r="2" spans="1:18" x14ac:dyDescent="0.35">
      <c r="A2" s="241" t="s">
        <v>225</v>
      </c>
      <c r="B2" s="241"/>
      <c r="C2" s="240">
        <f>'Inv Inicial'!$D$22</f>
        <v>214650000</v>
      </c>
      <c r="D2" s="230"/>
      <c r="E2" s="230"/>
      <c r="F2" s="230"/>
      <c r="G2" s="230"/>
      <c r="H2" s="230"/>
      <c r="I2" s="230"/>
      <c r="J2" s="230"/>
      <c r="K2" s="230"/>
    </row>
    <row r="3" spans="1:18" x14ac:dyDescent="0.35">
      <c r="A3" s="241" t="s">
        <v>157</v>
      </c>
      <c r="B3" s="241"/>
      <c r="C3" s="346">
        <f>Variables!$C$57</f>
        <v>0.05</v>
      </c>
      <c r="E3" s="230"/>
      <c r="F3" s="230"/>
      <c r="G3" s="230"/>
      <c r="H3" s="230"/>
      <c r="I3" s="230"/>
      <c r="J3" s="230"/>
      <c r="K3" s="230"/>
    </row>
    <row r="4" spans="1:18" x14ac:dyDescent="0.35">
      <c r="A4" s="241" t="s">
        <v>556</v>
      </c>
      <c r="B4" s="241"/>
      <c r="C4" s="231">
        <f>Variables!$D$57</f>
        <v>36</v>
      </c>
      <c r="D4" s="230" t="s">
        <v>224</v>
      </c>
      <c r="E4" s="230"/>
      <c r="F4" s="230"/>
      <c r="G4" s="230"/>
      <c r="H4" s="230"/>
      <c r="I4" s="230"/>
      <c r="J4" s="230"/>
      <c r="K4" s="230"/>
    </row>
    <row r="5" spans="1:18" x14ac:dyDescent="0.35">
      <c r="A5" s="242" t="s">
        <v>226</v>
      </c>
      <c r="B5" s="241"/>
      <c r="C5" s="239">
        <v>42004</v>
      </c>
      <c r="D5" s="230"/>
      <c r="E5" s="230"/>
      <c r="F5" s="230"/>
      <c r="G5" s="230"/>
      <c r="H5" s="230"/>
      <c r="I5" s="230"/>
      <c r="J5" s="230"/>
      <c r="K5" s="230"/>
    </row>
    <row r="6" spans="1:18" x14ac:dyDescent="0.35">
      <c r="A6" s="242" t="s">
        <v>508</v>
      </c>
      <c r="B6" s="241"/>
      <c r="C6" s="231">
        <f>Variables!$E$57</f>
        <v>12</v>
      </c>
      <c r="D6" s="230" t="s">
        <v>224</v>
      </c>
      <c r="E6" s="230"/>
      <c r="F6" s="230"/>
      <c r="G6" s="230"/>
      <c r="H6" s="230"/>
      <c r="I6" s="230"/>
      <c r="J6" s="230"/>
      <c r="K6" s="230"/>
    </row>
    <row r="7" spans="1:18" x14ac:dyDescent="0.35">
      <c r="A7" s="242" t="s">
        <v>497</v>
      </c>
      <c r="B7" s="241"/>
      <c r="C7" s="345" t="str">
        <f>Variables!$F$57</f>
        <v>Abono Fijo a Capital</v>
      </c>
      <c r="D7" s="230"/>
      <c r="E7" s="230"/>
      <c r="F7" s="230"/>
      <c r="G7" s="230"/>
      <c r="H7" s="230"/>
      <c r="I7" s="230"/>
      <c r="J7" s="230"/>
      <c r="K7" s="230"/>
    </row>
    <row r="8" spans="1:18" x14ac:dyDescent="0.35">
      <c r="A8" s="242" t="s">
        <v>557</v>
      </c>
      <c r="B8" s="241"/>
      <c r="C8" s="231">
        <f>C4-C6</f>
        <v>24</v>
      </c>
      <c r="D8" s="230" t="s">
        <v>224</v>
      </c>
      <c r="E8" s="230"/>
      <c r="F8" s="230"/>
      <c r="G8" s="230"/>
      <c r="H8" s="230"/>
      <c r="I8" s="230"/>
      <c r="J8" s="230"/>
      <c r="K8" s="230"/>
    </row>
    <row r="9" spans="1:18" x14ac:dyDescent="0.35">
      <c r="A9" s="242" t="s">
        <v>558</v>
      </c>
      <c r="B9" s="241"/>
      <c r="C9" s="239">
        <f>EOMONTH(C5,C6)</f>
        <v>42369</v>
      </c>
      <c r="D9" s="230"/>
      <c r="E9" s="230"/>
      <c r="F9" s="230"/>
      <c r="G9" s="230"/>
      <c r="H9" s="230"/>
      <c r="I9" s="230"/>
      <c r="J9" s="230"/>
      <c r="K9" s="230"/>
    </row>
    <row r="11" spans="1:18" ht="14.5" customHeight="1" x14ac:dyDescent="0.35">
      <c r="A11" s="243" t="s">
        <v>179</v>
      </c>
      <c r="B11" s="243" t="s">
        <v>180</v>
      </c>
      <c r="C11" s="967" t="s">
        <v>196</v>
      </c>
      <c r="D11" s="968"/>
      <c r="E11" s="968"/>
      <c r="F11" s="968"/>
      <c r="G11" s="968"/>
      <c r="H11" s="968"/>
      <c r="I11" s="968"/>
      <c r="J11" s="968"/>
      <c r="K11" s="968"/>
      <c r="L11" s="968"/>
      <c r="M11" s="968"/>
      <c r="N11" s="968"/>
      <c r="O11" s="968"/>
      <c r="P11" s="969"/>
    </row>
    <row r="12" spans="1:18" ht="14" customHeight="1" x14ac:dyDescent="0.35">
      <c r="A12" s="244"/>
      <c r="B12" s="244"/>
      <c r="C12" s="903" t="s">
        <v>211</v>
      </c>
      <c r="D12" s="970" t="s">
        <v>222</v>
      </c>
      <c r="E12" s="971"/>
      <c r="F12" s="971"/>
      <c r="G12" s="971"/>
      <c r="H12" s="971"/>
      <c r="I12" s="971"/>
      <c r="J12" s="972"/>
      <c r="K12" s="237"/>
      <c r="L12" s="973" t="s">
        <v>210</v>
      </c>
      <c r="M12" s="974"/>
      <c r="N12" s="975"/>
      <c r="O12" s="961" t="s">
        <v>221</v>
      </c>
      <c r="P12" s="903" t="s">
        <v>212</v>
      </c>
      <c r="Q12" s="903" t="s">
        <v>830</v>
      </c>
    </row>
    <row r="13" spans="1:18" ht="29" x14ac:dyDescent="0.35">
      <c r="A13" s="244"/>
      <c r="B13" s="244"/>
      <c r="C13" s="904"/>
      <c r="D13" s="238" t="s">
        <v>214</v>
      </c>
      <c r="E13" s="238" t="s">
        <v>219</v>
      </c>
      <c r="F13" s="235" t="s">
        <v>213</v>
      </c>
      <c r="G13" s="235" t="s">
        <v>217</v>
      </c>
      <c r="H13" s="235" t="s">
        <v>218</v>
      </c>
      <c r="I13" s="235" t="s">
        <v>220</v>
      </c>
      <c r="J13" s="235" t="s">
        <v>215</v>
      </c>
      <c r="K13" s="235" t="s">
        <v>216</v>
      </c>
      <c r="L13" s="235" t="s">
        <v>187</v>
      </c>
      <c r="M13" s="235" t="s">
        <v>155</v>
      </c>
      <c r="N13" s="235" t="s">
        <v>65</v>
      </c>
      <c r="O13" s="962"/>
      <c r="P13" s="904"/>
      <c r="Q13" s="904"/>
    </row>
    <row r="14" spans="1:18" x14ac:dyDescent="0.35">
      <c r="A14" s="181"/>
      <c r="B14" s="181"/>
      <c r="C14" s="177"/>
      <c r="D14" s="177"/>
      <c r="E14" s="177"/>
      <c r="F14" s="177"/>
      <c r="G14" s="177"/>
      <c r="H14" s="177"/>
      <c r="I14" s="177"/>
      <c r="J14" s="177"/>
      <c r="K14" s="177"/>
      <c r="L14" s="176"/>
      <c r="M14" s="176"/>
      <c r="N14" s="225"/>
      <c r="O14" s="225"/>
      <c r="P14" s="225"/>
      <c r="Q14" s="557"/>
    </row>
    <row r="15" spans="1:18" x14ac:dyDescent="0.35">
      <c r="A15" s="43">
        <v>0</v>
      </c>
      <c r="B15" s="184">
        <v>42004</v>
      </c>
      <c r="C15" s="178">
        <v>0</v>
      </c>
      <c r="D15" s="236">
        <f>VLOOKUP($B15,DTF!$B$9:$D$69,IF(Variables!$B$73=1,3,2),0)</f>
        <v>4.4999999999999998E-2</v>
      </c>
      <c r="E15" s="236">
        <f>(((1+D15)^(1/4)-1)/(1+((1+D15)^(1/4)-1)))*4</f>
        <v>4.3775585558297421E-2</v>
      </c>
      <c r="F15" s="236">
        <f t="shared" ref="F15:F46" si="0">$C$3</f>
        <v>0.05</v>
      </c>
      <c r="G15" s="236">
        <f>E15+F15</f>
        <v>9.3775585558297431E-2</v>
      </c>
      <c r="H15" s="236">
        <f>(G15/4)</f>
        <v>2.3443896389574358E-2</v>
      </c>
      <c r="I15" s="236">
        <f>H15/(1-H15)</f>
        <v>2.4006707144525467E-2</v>
      </c>
      <c r="J15" s="236">
        <f>((1+I15)^4)-1</f>
        <v>9.9540435025414542E-2</v>
      </c>
      <c r="K15" s="236">
        <f>((1+J15)^(1/12))-1</f>
        <v>7.9390405549930598E-3</v>
      </c>
      <c r="L15" s="175">
        <f>ROUND(K15*C15,0)</f>
        <v>0</v>
      </c>
      <c r="M15" s="175">
        <f>IF($C15=0,0,IF($C$7="Abono Fijo a Capital",IF($B15&gt;$C$9,ROUND(C15/($C$8-COUNTIF(M$14:M14,"&gt;0")),0),0),IF($C$7="Pago Único al Final",C15,IF($B15&gt;$C$9,ROUND(PMT(K15,($C$8-COUNTIF(M$14:M14,"&gt;0")),-C15)-L15,0),0))))</f>
        <v>0</v>
      </c>
      <c r="N15" s="175">
        <f>SUM(L15:M15)</f>
        <v>0</v>
      </c>
      <c r="O15" s="175">
        <f>IF($B15=$C$5,$C$2,0)</f>
        <v>214650000</v>
      </c>
      <c r="P15" s="175">
        <f>ROUND(C15-M15+O15,0)</f>
        <v>214650000</v>
      </c>
      <c r="Q15" s="175">
        <f>O15-N15</f>
        <v>214650000</v>
      </c>
    </row>
    <row r="16" spans="1:18" x14ac:dyDescent="0.35">
      <c r="A16" s="43">
        <v>1</v>
      </c>
      <c r="B16" s="184">
        <v>42035</v>
      </c>
      <c r="C16" s="178">
        <f>P15</f>
        <v>214650000</v>
      </c>
      <c r="D16" s="236">
        <f>VLOOKUP($B16,DTF!$B$9:$D$69,IF(Variables!$B$73=1,3,2),0)</f>
        <v>4.7500000000000001E-2</v>
      </c>
      <c r="E16" s="236">
        <f t="shared" ref="E16:E75" si="1">(((1+D16)^(1/4)-1)/(1+((1+D16)^(1/4)-1)))*4</f>
        <v>4.6138216898191912E-2</v>
      </c>
      <c r="F16" s="236">
        <f t="shared" si="0"/>
        <v>0.05</v>
      </c>
      <c r="G16" s="236">
        <f t="shared" ref="G16:G75" si="2">E16+F16</f>
        <v>9.6138216898191908E-2</v>
      </c>
      <c r="H16" s="236">
        <f t="shared" ref="H16:H75" si="3">(G16/4)</f>
        <v>2.4034554224547977E-2</v>
      </c>
      <c r="I16" s="236">
        <f t="shared" ref="I16:I75" si="4">H16/(1-H16)</f>
        <v>2.4626439725487774E-2</v>
      </c>
      <c r="J16" s="236">
        <f t="shared" ref="J16:J75" si="5">((1+I16)^4)-1</f>
        <v>0.10220463585246886</v>
      </c>
      <c r="K16" s="236">
        <f t="shared" ref="K16:K75" si="6">((1+J16)^(1/12))-1</f>
        <v>8.1423356724401597E-3</v>
      </c>
      <c r="L16" s="175">
        <f t="shared" ref="L16:L75" si="7">ROUND(K16*C16,0)</f>
        <v>1747752</v>
      </c>
      <c r="M16" s="175">
        <f>IF($C16=0,0,IF($C$7="Abono Fijo a Capital",IF($B16&gt;$C$9,ROUND(C16/($C$8-COUNTIF(M$14:M15,"&gt;0")),0),0),IF($C$7="Pago Único al Final",C16,IF($B16&gt;$C$9,ROUND(PMT(K16,($C$8-COUNTIF(M$14:M15,"&gt;0")),-C16)-L16,0),0))))</f>
        <v>0</v>
      </c>
      <c r="N16" s="175">
        <f t="shared" ref="N16:N75" si="8">SUM(L16:M16)</f>
        <v>1747752</v>
      </c>
      <c r="O16" s="175">
        <f t="shared" ref="O16:O75" si="9">IF($B16=$C$5,$C$2,0)</f>
        <v>0</v>
      </c>
      <c r="P16" s="175">
        <f t="shared" ref="P16:P75" si="10">ROUND(C16-M16+O16,0)</f>
        <v>214650000</v>
      </c>
      <c r="Q16" s="175">
        <f>O16-N16</f>
        <v>-1747752</v>
      </c>
      <c r="R16" s="15"/>
    </row>
    <row r="17" spans="1:20" x14ac:dyDescent="0.35">
      <c r="A17" s="43">
        <v>2</v>
      </c>
      <c r="B17" s="184">
        <v>42063</v>
      </c>
      <c r="C17" s="178">
        <f t="shared" ref="C17:C75" si="11">P16</f>
        <v>214650000</v>
      </c>
      <c r="D17" s="236">
        <f>VLOOKUP($B17,DTF!$B$9:$D$69,IF(Variables!$B$73=1,3,2),0)</f>
        <v>4.7500000000000001E-2</v>
      </c>
      <c r="E17" s="236">
        <f t="shared" si="1"/>
        <v>4.6138216898191912E-2</v>
      </c>
      <c r="F17" s="236">
        <f t="shared" si="0"/>
        <v>0.05</v>
      </c>
      <c r="G17" s="236">
        <f t="shared" si="2"/>
        <v>9.6138216898191908E-2</v>
      </c>
      <c r="H17" s="236">
        <f t="shared" si="3"/>
        <v>2.4034554224547977E-2</v>
      </c>
      <c r="I17" s="236">
        <f t="shared" si="4"/>
        <v>2.4626439725487774E-2</v>
      </c>
      <c r="J17" s="236">
        <f t="shared" si="5"/>
        <v>0.10220463585246886</v>
      </c>
      <c r="K17" s="236">
        <f t="shared" si="6"/>
        <v>8.1423356724401597E-3</v>
      </c>
      <c r="L17" s="175">
        <f t="shared" si="7"/>
        <v>1747752</v>
      </c>
      <c r="M17" s="175">
        <f>IF($C17=0,0,IF($C$7="Abono Fijo a Capital",IF($B17&gt;$C$9,ROUND(C17/($C$8-COUNTIF(M$14:M16,"&gt;0")),0),0),IF($C$7="Pago Único al Final",C17,IF($B17&gt;$C$9,ROUND(PMT(K17,($C$8-COUNTIF(M$14:M16,"&gt;0")),-C17)-L17,0),0))))</f>
        <v>0</v>
      </c>
      <c r="N17" s="175">
        <f t="shared" si="8"/>
        <v>1747752</v>
      </c>
      <c r="O17" s="175">
        <f t="shared" si="9"/>
        <v>0</v>
      </c>
      <c r="P17" s="175">
        <f t="shared" si="10"/>
        <v>214650000</v>
      </c>
      <c r="Q17" s="175">
        <f t="shared" ref="Q17:Q75" si="12">O17-N17</f>
        <v>-1747752</v>
      </c>
    </row>
    <row r="18" spans="1:20" x14ac:dyDescent="0.35">
      <c r="A18" s="43">
        <v>3</v>
      </c>
      <c r="B18" s="184">
        <v>42094</v>
      </c>
      <c r="C18" s="178">
        <f t="shared" si="11"/>
        <v>214650000</v>
      </c>
      <c r="D18" s="236">
        <f>VLOOKUP($B18,DTF!$B$9:$D$69,IF(Variables!$B$73=1,3,2),0)</f>
        <v>4.7500000000000001E-2</v>
      </c>
      <c r="E18" s="236">
        <f t="shared" si="1"/>
        <v>4.6138216898191912E-2</v>
      </c>
      <c r="F18" s="236">
        <f t="shared" si="0"/>
        <v>0.05</v>
      </c>
      <c r="G18" s="236">
        <f t="shared" si="2"/>
        <v>9.6138216898191908E-2</v>
      </c>
      <c r="H18" s="236">
        <f t="shared" si="3"/>
        <v>2.4034554224547977E-2</v>
      </c>
      <c r="I18" s="236">
        <f t="shared" si="4"/>
        <v>2.4626439725487774E-2</v>
      </c>
      <c r="J18" s="236">
        <f t="shared" si="5"/>
        <v>0.10220463585246886</v>
      </c>
      <c r="K18" s="236">
        <f t="shared" si="6"/>
        <v>8.1423356724401597E-3</v>
      </c>
      <c r="L18" s="175">
        <f t="shared" si="7"/>
        <v>1747752</v>
      </c>
      <c r="M18" s="175">
        <f>IF($C18=0,0,IF($C$7="Abono Fijo a Capital",IF($B18&gt;$C$9,ROUND(C18/($C$8-COUNTIF(M$14:M17,"&gt;0")),0),0),IF($C$7="Pago Único al Final",C18,IF($B18&gt;$C$9,ROUND(PMT(K18,($C$8-COUNTIF(M$14:M17,"&gt;0")),-C18)-L18,0),0))))</f>
        <v>0</v>
      </c>
      <c r="N18" s="175">
        <f t="shared" si="8"/>
        <v>1747752</v>
      </c>
      <c r="O18" s="175">
        <f t="shared" si="9"/>
        <v>0</v>
      </c>
      <c r="P18" s="175">
        <f t="shared" si="10"/>
        <v>214650000</v>
      </c>
      <c r="Q18" s="175">
        <f t="shared" si="12"/>
        <v>-1747752</v>
      </c>
    </row>
    <row r="19" spans="1:20" x14ac:dyDescent="0.35">
      <c r="A19" s="43">
        <v>4</v>
      </c>
      <c r="B19" s="184">
        <v>42124</v>
      </c>
      <c r="C19" s="178">
        <f t="shared" si="11"/>
        <v>214650000</v>
      </c>
      <c r="D19" s="236">
        <f>VLOOKUP($B19,DTF!$B$9:$D$69,IF(Variables!$B$73=1,3,2),0)</f>
        <v>0.05</v>
      </c>
      <c r="E19" s="236">
        <f t="shared" si="1"/>
        <v>4.8493810307703902E-2</v>
      </c>
      <c r="F19" s="236">
        <f t="shared" si="0"/>
        <v>0.05</v>
      </c>
      <c r="G19" s="236">
        <f t="shared" si="2"/>
        <v>9.8493810307703905E-2</v>
      </c>
      <c r="H19" s="236">
        <f t="shared" si="3"/>
        <v>2.4623452576925976E-2</v>
      </c>
      <c r="I19" s="236">
        <f t="shared" si="4"/>
        <v>2.5245073445717619E-2</v>
      </c>
      <c r="J19" s="236">
        <f t="shared" si="5"/>
        <v>0.10486893847936174</v>
      </c>
      <c r="K19" s="236">
        <f t="shared" si="6"/>
        <v>8.3451885837204642E-3</v>
      </c>
      <c r="L19" s="175">
        <f t="shared" si="7"/>
        <v>1791295</v>
      </c>
      <c r="M19" s="175">
        <f>IF($C19=0,0,IF($C$7="Abono Fijo a Capital",IF($B19&gt;$C$9,ROUND(C19/($C$8-COUNTIF(M$14:M18,"&gt;0")),0),0),IF($C$7="Pago Único al Final",C19,IF($B19&gt;$C$9,ROUND(PMT(K19,($C$8-COUNTIF(M$14:M18,"&gt;0")),-C19)-L19,0),0))))</f>
        <v>0</v>
      </c>
      <c r="N19" s="175">
        <f t="shared" si="8"/>
        <v>1791295</v>
      </c>
      <c r="O19" s="175">
        <f t="shared" si="9"/>
        <v>0</v>
      </c>
      <c r="P19" s="175">
        <f t="shared" si="10"/>
        <v>214650000</v>
      </c>
      <c r="Q19" s="175">
        <f t="shared" si="12"/>
        <v>-1791295</v>
      </c>
    </row>
    <row r="20" spans="1:20" x14ac:dyDescent="0.35">
      <c r="A20" s="43">
        <v>5</v>
      </c>
      <c r="B20" s="184">
        <v>42155</v>
      </c>
      <c r="C20" s="178">
        <f t="shared" si="11"/>
        <v>214650000</v>
      </c>
      <c r="D20" s="236">
        <f>VLOOKUP($B20,DTF!$B$9:$D$69,IF(Variables!$B$73=1,3,2),0)</f>
        <v>0.05</v>
      </c>
      <c r="E20" s="236">
        <f t="shared" si="1"/>
        <v>4.8493810307703902E-2</v>
      </c>
      <c r="F20" s="236">
        <f t="shared" si="0"/>
        <v>0.05</v>
      </c>
      <c r="G20" s="236">
        <f t="shared" si="2"/>
        <v>9.8493810307703905E-2</v>
      </c>
      <c r="H20" s="236">
        <f t="shared" si="3"/>
        <v>2.4623452576925976E-2</v>
      </c>
      <c r="I20" s="236">
        <f t="shared" si="4"/>
        <v>2.5245073445717619E-2</v>
      </c>
      <c r="J20" s="236">
        <f t="shared" si="5"/>
        <v>0.10486893847936174</v>
      </c>
      <c r="K20" s="236">
        <f t="shared" si="6"/>
        <v>8.3451885837204642E-3</v>
      </c>
      <c r="L20" s="175">
        <f t="shared" si="7"/>
        <v>1791295</v>
      </c>
      <c r="M20" s="175">
        <f>IF($C20=0,0,IF($C$7="Abono Fijo a Capital",IF($B20&gt;$C$9,ROUND(C20/($C$8-COUNTIF(M$14:M19,"&gt;0")),0),0),IF($C$7="Pago Único al Final",C20,IF($B20&gt;$C$9,ROUND(PMT(K20,($C$8-COUNTIF(M$14:M19,"&gt;0")),-C20)-L20,0),0))))</f>
        <v>0</v>
      </c>
      <c r="N20" s="175">
        <f t="shared" si="8"/>
        <v>1791295</v>
      </c>
      <c r="O20" s="175">
        <f t="shared" si="9"/>
        <v>0</v>
      </c>
      <c r="P20" s="175">
        <f t="shared" si="10"/>
        <v>214650000</v>
      </c>
      <c r="Q20" s="175">
        <f t="shared" si="12"/>
        <v>-1791295</v>
      </c>
    </row>
    <row r="21" spans="1:20" x14ac:dyDescent="0.35">
      <c r="A21" s="43">
        <v>6</v>
      </c>
      <c r="B21" s="184">
        <v>42185</v>
      </c>
      <c r="C21" s="178">
        <f t="shared" si="11"/>
        <v>214650000</v>
      </c>
      <c r="D21" s="236">
        <f>VLOOKUP($B21,DTF!$B$9:$D$69,IF(Variables!$B$73=1,3,2),0)</f>
        <v>0.05</v>
      </c>
      <c r="E21" s="236">
        <f t="shared" si="1"/>
        <v>4.8493810307703902E-2</v>
      </c>
      <c r="F21" s="236">
        <f t="shared" si="0"/>
        <v>0.05</v>
      </c>
      <c r="G21" s="236">
        <f t="shared" si="2"/>
        <v>9.8493810307703905E-2</v>
      </c>
      <c r="H21" s="236">
        <f t="shared" si="3"/>
        <v>2.4623452576925976E-2</v>
      </c>
      <c r="I21" s="236">
        <f t="shared" si="4"/>
        <v>2.5245073445717619E-2</v>
      </c>
      <c r="J21" s="236">
        <f t="shared" si="5"/>
        <v>0.10486893847936174</v>
      </c>
      <c r="K21" s="236">
        <f t="shared" si="6"/>
        <v>8.3451885837204642E-3</v>
      </c>
      <c r="L21" s="175">
        <f t="shared" si="7"/>
        <v>1791295</v>
      </c>
      <c r="M21" s="175">
        <f>IF($C21=0,0,IF($C$7="Abono Fijo a Capital",IF($B21&gt;$C$9,ROUND(C21/($C$8-COUNTIF(M$14:M20,"&gt;0")),0),0),IF($C$7="Pago Único al Final",C21,IF($B21&gt;$C$9,ROUND(PMT(K21,($C$8-COUNTIF(M$14:M20,"&gt;0")),-C21)-L21,0),0))))</f>
        <v>0</v>
      </c>
      <c r="N21" s="175">
        <f t="shared" si="8"/>
        <v>1791295</v>
      </c>
      <c r="O21" s="175">
        <f t="shared" si="9"/>
        <v>0</v>
      </c>
      <c r="P21" s="175">
        <f t="shared" si="10"/>
        <v>214650000</v>
      </c>
      <c r="Q21" s="175">
        <f t="shared" si="12"/>
        <v>-1791295</v>
      </c>
    </row>
    <row r="22" spans="1:20" x14ac:dyDescent="0.35">
      <c r="A22" s="43">
        <v>7</v>
      </c>
      <c r="B22" s="184">
        <v>42216</v>
      </c>
      <c r="C22" s="178">
        <f t="shared" si="11"/>
        <v>214650000</v>
      </c>
      <c r="D22" s="236">
        <f>VLOOKUP($B22,DTF!$B$9:$D$69,IF(Variables!$B$73=1,3,2),0)</f>
        <v>5.2500000000000005E-2</v>
      </c>
      <c r="E22" s="236">
        <f t="shared" si="1"/>
        <v>5.0842403434051039E-2</v>
      </c>
      <c r="F22" s="236">
        <f t="shared" si="0"/>
        <v>0.05</v>
      </c>
      <c r="G22" s="236">
        <f t="shared" si="2"/>
        <v>0.10084240343405104</v>
      </c>
      <c r="H22" s="236">
        <f t="shared" si="3"/>
        <v>2.5210600858512761E-2</v>
      </c>
      <c r="I22" s="236">
        <f t="shared" si="4"/>
        <v>2.586261286870389E-2</v>
      </c>
      <c r="J22" s="236">
        <f t="shared" si="5"/>
        <v>0.10753334272890536</v>
      </c>
      <c r="K22" s="236">
        <f t="shared" si="6"/>
        <v>8.547601301403418E-3</v>
      </c>
      <c r="L22" s="175">
        <f t="shared" si="7"/>
        <v>1834743</v>
      </c>
      <c r="M22" s="175">
        <f>IF($C22=0,0,IF($C$7="Abono Fijo a Capital",IF($B22&gt;$C$9,ROUND(C22/($C$8-COUNTIF(M$14:M21,"&gt;0")),0),0),IF($C$7="Pago Único al Final",C22,IF($B22&gt;$C$9,ROUND(PMT(K22,($C$8-COUNTIF(M$14:M21,"&gt;0")),-C22)-L22,0),0))))</f>
        <v>0</v>
      </c>
      <c r="N22" s="175">
        <f t="shared" si="8"/>
        <v>1834743</v>
      </c>
      <c r="O22" s="175">
        <f t="shared" si="9"/>
        <v>0</v>
      </c>
      <c r="P22" s="175">
        <f t="shared" si="10"/>
        <v>214650000</v>
      </c>
      <c r="Q22" s="175">
        <f t="shared" si="12"/>
        <v>-1834743</v>
      </c>
    </row>
    <row r="23" spans="1:20" x14ac:dyDescent="0.35">
      <c r="A23" s="43">
        <v>8</v>
      </c>
      <c r="B23" s="184">
        <v>42247</v>
      </c>
      <c r="C23" s="178">
        <f t="shared" si="11"/>
        <v>214650000</v>
      </c>
      <c r="D23" s="236">
        <f>VLOOKUP($B23,DTF!$B$9:$D$69,IF(Variables!$B$73=1,3,2),0)</f>
        <v>5.2500000000000005E-2</v>
      </c>
      <c r="E23" s="236">
        <f t="shared" si="1"/>
        <v>5.0842403434051039E-2</v>
      </c>
      <c r="F23" s="236">
        <f t="shared" si="0"/>
        <v>0.05</v>
      </c>
      <c r="G23" s="236">
        <f t="shared" si="2"/>
        <v>0.10084240343405104</v>
      </c>
      <c r="H23" s="236">
        <f t="shared" si="3"/>
        <v>2.5210600858512761E-2</v>
      </c>
      <c r="I23" s="236">
        <f t="shared" si="4"/>
        <v>2.586261286870389E-2</v>
      </c>
      <c r="J23" s="236">
        <f t="shared" si="5"/>
        <v>0.10753334272890536</v>
      </c>
      <c r="K23" s="236">
        <f t="shared" si="6"/>
        <v>8.547601301403418E-3</v>
      </c>
      <c r="L23" s="175">
        <f t="shared" si="7"/>
        <v>1834743</v>
      </c>
      <c r="M23" s="175">
        <f>IF($C23=0,0,IF($C$7="Abono Fijo a Capital",IF($B23&gt;$C$9,ROUND(C23/($C$8-COUNTIF(M$14:M22,"&gt;0")),0),0),IF($C$7="Pago Único al Final",C23,IF($B23&gt;$C$9,ROUND(PMT(K23,($C$8-COUNTIF(M$14:M22,"&gt;0")),-C23)-L23,0),0))))</f>
        <v>0</v>
      </c>
      <c r="N23" s="175">
        <f t="shared" si="8"/>
        <v>1834743</v>
      </c>
      <c r="O23" s="175">
        <f t="shared" si="9"/>
        <v>0</v>
      </c>
      <c r="P23" s="175">
        <f t="shared" si="10"/>
        <v>214650000</v>
      </c>
      <c r="Q23" s="175">
        <f t="shared" si="12"/>
        <v>-1834743</v>
      </c>
    </row>
    <row r="24" spans="1:20" x14ac:dyDescent="0.35">
      <c r="A24" s="43">
        <v>9</v>
      </c>
      <c r="B24" s="184">
        <v>42277</v>
      </c>
      <c r="C24" s="178">
        <f t="shared" si="11"/>
        <v>214650000</v>
      </c>
      <c r="D24" s="236">
        <f>VLOOKUP($B24,DTF!$B$9:$D$69,IF(Variables!$B$73=1,3,2),0)</f>
        <v>5.2500000000000005E-2</v>
      </c>
      <c r="E24" s="236">
        <f t="shared" si="1"/>
        <v>5.0842403434051039E-2</v>
      </c>
      <c r="F24" s="236">
        <f t="shared" si="0"/>
        <v>0.05</v>
      </c>
      <c r="G24" s="236">
        <f t="shared" si="2"/>
        <v>0.10084240343405104</v>
      </c>
      <c r="H24" s="236">
        <f t="shared" si="3"/>
        <v>2.5210600858512761E-2</v>
      </c>
      <c r="I24" s="236">
        <f t="shared" si="4"/>
        <v>2.586261286870389E-2</v>
      </c>
      <c r="J24" s="236">
        <f t="shared" si="5"/>
        <v>0.10753334272890536</v>
      </c>
      <c r="K24" s="236">
        <f t="shared" si="6"/>
        <v>8.547601301403418E-3</v>
      </c>
      <c r="L24" s="175">
        <f t="shared" si="7"/>
        <v>1834743</v>
      </c>
      <c r="M24" s="175">
        <f>IF($C24=0,0,IF($C$7="Abono Fijo a Capital",IF($B24&gt;$C$9,ROUND(C24/($C$8-COUNTIF(M$14:M23,"&gt;0")),0),0),IF($C$7="Pago Único al Final",C24,IF($B24&gt;$C$9,ROUND(PMT(K24,($C$8-COUNTIF(M$14:M23,"&gt;0")),-C24)-L24,0),0))))</f>
        <v>0</v>
      </c>
      <c r="N24" s="175">
        <f t="shared" si="8"/>
        <v>1834743</v>
      </c>
      <c r="O24" s="175">
        <f t="shared" si="9"/>
        <v>0</v>
      </c>
      <c r="P24" s="175">
        <f t="shared" si="10"/>
        <v>214650000</v>
      </c>
      <c r="Q24" s="175">
        <f t="shared" si="12"/>
        <v>-1834743</v>
      </c>
    </row>
    <row r="25" spans="1:20" x14ac:dyDescent="0.35">
      <c r="A25" s="43">
        <v>10</v>
      </c>
      <c r="B25" s="184">
        <v>42308</v>
      </c>
      <c r="C25" s="178">
        <f t="shared" si="11"/>
        <v>214650000</v>
      </c>
      <c r="D25" s="236">
        <f>VLOOKUP($B25,DTF!$B$9:$D$69,IF(Variables!$B$73=1,3,2),0)</f>
        <v>5.5000000000000007E-2</v>
      </c>
      <c r="E25" s="236">
        <f t="shared" si="1"/>
        <v>5.318403363425931E-2</v>
      </c>
      <c r="F25" s="236">
        <f t="shared" si="0"/>
        <v>0.05</v>
      </c>
      <c r="G25" s="236">
        <f t="shared" si="2"/>
        <v>0.10318403363425932</v>
      </c>
      <c r="H25" s="236">
        <f t="shared" si="3"/>
        <v>2.579600840856483E-2</v>
      </c>
      <c r="I25" s="236">
        <f t="shared" si="4"/>
        <v>2.6479062528193011E-2</v>
      </c>
      <c r="J25" s="236">
        <f t="shared" si="5"/>
        <v>0.11019784842465108</v>
      </c>
      <c r="K25" s="236">
        <f t="shared" si="6"/>
        <v>8.7495758241447064E-3</v>
      </c>
      <c r="L25" s="175">
        <f t="shared" si="7"/>
        <v>1878096</v>
      </c>
      <c r="M25" s="175">
        <f>IF($C25=0,0,IF($C$7="Abono Fijo a Capital",IF($B25&gt;$C$9,ROUND(C25/($C$8-COUNTIF(M$14:M24,"&gt;0")),0),0),IF($C$7="Pago Único al Final",C25,IF($B25&gt;$C$9,ROUND(PMT(K25,($C$8-COUNTIF(M$14:M24,"&gt;0")),-C25)-L25,0),0))))</f>
        <v>0</v>
      </c>
      <c r="N25" s="175">
        <f t="shared" si="8"/>
        <v>1878096</v>
      </c>
      <c r="O25" s="175">
        <f t="shared" si="9"/>
        <v>0</v>
      </c>
      <c r="P25" s="175">
        <f t="shared" si="10"/>
        <v>214650000</v>
      </c>
      <c r="Q25" s="175">
        <f t="shared" si="12"/>
        <v>-1878096</v>
      </c>
    </row>
    <row r="26" spans="1:20" x14ac:dyDescent="0.35">
      <c r="A26" s="43">
        <v>11</v>
      </c>
      <c r="B26" s="184">
        <v>42338</v>
      </c>
      <c r="C26" s="178">
        <f t="shared" si="11"/>
        <v>214650000</v>
      </c>
      <c r="D26" s="236">
        <f>VLOOKUP($B26,DTF!$B$9:$D$69,IF(Variables!$B$73=1,3,2),0)</f>
        <v>5.5000000000000007E-2</v>
      </c>
      <c r="E26" s="236">
        <f t="shared" si="1"/>
        <v>5.318403363425931E-2</v>
      </c>
      <c r="F26" s="236">
        <f t="shared" si="0"/>
        <v>0.05</v>
      </c>
      <c r="G26" s="236">
        <f t="shared" si="2"/>
        <v>0.10318403363425932</v>
      </c>
      <c r="H26" s="236">
        <f t="shared" si="3"/>
        <v>2.579600840856483E-2</v>
      </c>
      <c r="I26" s="236">
        <f t="shared" si="4"/>
        <v>2.6479062528193011E-2</v>
      </c>
      <c r="J26" s="236">
        <f t="shared" si="5"/>
        <v>0.11019784842465108</v>
      </c>
      <c r="K26" s="236">
        <f t="shared" si="6"/>
        <v>8.7495758241447064E-3</v>
      </c>
      <c r="L26" s="175">
        <f t="shared" si="7"/>
        <v>1878096</v>
      </c>
      <c r="M26" s="175">
        <f>IF($C26=0,0,IF($C$7="Abono Fijo a Capital",IF($B26&gt;$C$9,ROUND(C26/($C$8-COUNTIF(M$14:M25,"&gt;0")),0),0),IF($C$7="Pago Único al Final",C26,IF($B26&gt;$C$9,ROUND(PMT(K26,($C$8-COUNTIF(M$14:M25,"&gt;0")),-C26)-L26,0),0))))</f>
        <v>0</v>
      </c>
      <c r="N26" s="175">
        <f t="shared" si="8"/>
        <v>1878096</v>
      </c>
      <c r="O26" s="175">
        <f t="shared" si="9"/>
        <v>0</v>
      </c>
      <c r="P26" s="175">
        <f t="shared" si="10"/>
        <v>214650000</v>
      </c>
      <c r="Q26" s="175">
        <f t="shared" si="12"/>
        <v>-1878096</v>
      </c>
    </row>
    <row r="27" spans="1:20" x14ac:dyDescent="0.35">
      <c r="A27" s="43">
        <v>12</v>
      </c>
      <c r="B27" s="184">
        <v>42369</v>
      </c>
      <c r="C27" s="178">
        <f t="shared" si="11"/>
        <v>214650000</v>
      </c>
      <c r="D27" s="236">
        <f>VLOOKUP($B27,DTF!$B$9:$D$69,IF(Variables!$B$73=1,3,2),0)</f>
        <v>5.5000000000000007E-2</v>
      </c>
      <c r="E27" s="236">
        <f t="shared" si="1"/>
        <v>5.318403363425931E-2</v>
      </c>
      <c r="F27" s="236">
        <f t="shared" si="0"/>
        <v>0.05</v>
      </c>
      <c r="G27" s="236">
        <f t="shared" si="2"/>
        <v>0.10318403363425932</v>
      </c>
      <c r="H27" s="236">
        <f t="shared" si="3"/>
        <v>2.579600840856483E-2</v>
      </c>
      <c r="I27" s="236">
        <f t="shared" si="4"/>
        <v>2.6479062528193011E-2</v>
      </c>
      <c r="J27" s="236">
        <f t="shared" si="5"/>
        <v>0.11019784842465108</v>
      </c>
      <c r="K27" s="236">
        <f t="shared" si="6"/>
        <v>8.7495758241447064E-3</v>
      </c>
      <c r="L27" s="175">
        <f t="shared" si="7"/>
        <v>1878096</v>
      </c>
      <c r="M27" s="175">
        <f>IF($C27=0,0,IF($C$7="Abono Fijo a Capital",IF($B27&gt;$C$9,ROUND(C27/($C$8-COUNTIF(M$14:M26,"&gt;0")),0),0),IF($C$7="Pago Único al Final",C27,IF($B27&gt;$C$9,ROUND(PMT(K27,($C$8-COUNTIF(M$14:M26,"&gt;0")),-C27)-L27,0),0))))</f>
        <v>0</v>
      </c>
      <c r="N27" s="175">
        <f t="shared" si="8"/>
        <v>1878096</v>
      </c>
      <c r="O27" s="175">
        <f t="shared" si="9"/>
        <v>0</v>
      </c>
      <c r="P27" s="175">
        <f t="shared" si="10"/>
        <v>214650000</v>
      </c>
      <c r="Q27" s="175">
        <f t="shared" si="12"/>
        <v>-1878096</v>
      </c>
      <c r="T27" s="349">
        <f>P27</f>
        <v>214650000</v>
      </c>
    </row>
    <row r="28" spans="1:20" x14ac:dyDescent="0.35">
      <c r="A28" s="43">
        <v>13</v>
      </c>
      <c r="B28" s="184">
        <v>42400</v>
      </c>
      <c r="C28" s="178">
        <f t="shared" si="11"/>
        <v>214650000</v>
      </c>
      <c r="D28" s="236">
        <f>VLOOKUP($B28,DTF!$B$9:$D$69,IF(Variables!$B$73=1,3,2),0)</f>
        <v>5.7500000000000009E-2</v>
      </c>
      <c r="E28" s="236">
        <f t="shared" si="1"/>
        <v>5.5518737978073787E-2</v>
      </c>
      <c r="F28" s="236">
        <f t="shared" si="0"/>
        <v>0.05</v>
      </c>
      <c r="G28" s="236">
        <f t="shared" si="2"/>
        <v>0.10551873797807379</v>
      </c>
      <c r="H28" s="236">
        <f t="shared" si="3"/>
        <v>2.6379684494518447E-2</v>
      </c>
      <c r="I28" s="236">
        <f t="shared" si="4"/>
        <v>2.7094426928450762E-2</v>
      </c>
      <c r="J28" s="236">
        <f t="shared" si="5"/>
        <v>0.11286245539086859</v>
      </c>
      <c r="K28" s="236">
        <f t="shared" si="6"/>
        <v>8.951114136812155E-3</v>
      </c>
      <c r="L28" s="175">
        <f t="shared" si="7"/>
        <v>1921357</v>
      </c>
      <c r="M28" s="175">
        <f>IF($C28=0,0,IF($C$7="Abono Fijo a Capital",IF($B28&gt;$C$9,ROUND(C28/($C$8-COUNTIF(M$14:M27,"&gt;0")),0),0),IF($C$7="Pago Único al Final",C28,IF($B28&gt;$C$9,ROUND(PMT(K28,($C$8-COUNTIF(M$14:M27,"&gt;0")),-C28)-L28,0),0))))</f>
        <v>8943750</v>
      </c>
      <c r="N28" s="175">
        <f t="shared" si="8"/>
        <v>10865107</v>
      </c>
      <c r="O28" s="175">
        <f t="shared" si="9"/>
        <v>0</v>
      </c>
      <c r="P28" s="175">
        <f t="shared" si="10"/>
        <v>205706250</v>
      </c>
      <c r="Q28" s="175">
        <f t="shared" si="12"/>
        <v>-10865107</v>
      </c>
      <c r="R28" s="374"/>
      <c r="S28" s="374"/>
      <c r="T28" s="375"/>
    </row>
    <row r="29" spans="1:20" x14ac:dyDescent="0.35">
      <c r="A29" s="43">
        <v>14</v>
      </c>
      <c r="B29" s="184">
        <v>42429</v>
      </c>
      <c r="C29" s="178">
        <f t="shared" si="11"/>
        <v>205706250</v>
      </c>
      <c r="D29" s="236">
        <f>VLOOKUP($B29,DTF!$B$9:$D$69,IF(Variables!$B$73=1,3,2),0)</f>
        <v>5.7500000000000009E-2</v>
      </c>
      <c r="E29" s="236">
        <f t="shared" si="1"/>
        <v>5.5518737978073787E-2</v>
      </c>
      <c r="F29" s="236">
        <f t="shared" si="0"/>
        <v>0.05</v>
      </c>
      <c r="G29" s="236">
        <f t="shared" si="2"/>
        <v>0.10551873797807379</v>
      </c>
      <c r="H29" s="236">
        <f t="shared" si="3"/>
        <v>2.6379684494518447E-2</v>
      </c>
      <c r="I29" s="236">
        <f t="shared" si="4"/>
        <v>2.7094426928450762E-2</v>
      </c>
      <c r="J29" s="236">
        <f t="shared" si="5"/>
        <v>0.11286245539086859</v>
      </c>
      <c r="K29" s="236">
        <f t="shared" si="6"/>
        <v>8.951114136812155E-3</v>
      </c>
      <c r="L29" s="175">
        <f t="shared" si="7"/>
        <v>1841300</v>
      </c>
      <c r="M29" s="175">
        <f>IF($C29=0,0,IF($C$7="Abono Fijo a Capital",IF($B29&gt;$C$9,ROUND(C29/($C$8-COUNTIF(M$14:M28,"&gt;0")),0),0),IF($C$7="Pago Único al Final",C29,IF($B29&gt;$C$9,ROUND(PMT(K29,($C$8-COUNTIF(M$14:M28,"&gt;0")),-C29)-L29,0),0))))</f>
        <v>8943750</v>
      </c>
      <c r="N29" s="175">
        <f t="shared" si="8"/>
        <v>10785050</v>
      </c>
      <c r="O29" s="175">
        <f t="shared" si="9"/>
        <v>0</v>
      </c>
      <c r="P29" s="175">
        <f t="shared" si="10"/>
        <v>196762500</v>
      </c>
      <c r="Q29" s="175">
        <f t="shared" si="12"/>
        <v>-10785050</v>
      </c>
      <c r="R29" s="374"/>
      <c r="S29" s="374"/>
      <c r="T29" s="375"/>
    </row>
    <row r="30" spans="1:20" x14ac:dyDescent="0.35">
      <c r="A30" s="43">
        <v>15</v>
      </c>
      <c r="B30" s="184">
        <v>42460</v>
      </c>
      <c r="C30" s="178">
        <f t="shared" si="11"/>
        <v>196762500</v>
      </c>
      <c r="D30" s="236">
        <f>VLOOKUP($B30,DTF!$B$9:$D$69,IF(Variables!$B$73=1,3,2),0)</f>
        <v>5.7500000000000009E-2</v>
      </c>
      <c r="E30" s="236">
        <f t="shared" si="1"/>
        <v>5.5518737978073787E-2</v>
      </c>
      <c r="F30" s="236">
        <f t="shared" si="0"/>
        <v>0.05</v>
      </c>
      <c r="G30" s="236">
        <f t="shared" si="2"/>
        <v>0.10551873797807379</v>
      </c>
      <c r="H30" s="236">
        <f t="shared" si="3"/>
        <v>2.6379684494518447E-2</v>
      </c>
      <c r="I30" s="236">
        <f t="shared" si="4"/>
        <v>2.7094426928450762E-2</v>
      </c>
      <c r="J30" s="236">
        <f t="shared" si="5"/>
        <v>0.11286245539086859</v>
      </c>
      <c r="K30" s="236">
        <f t="shared" si="6"/>
        <v>8.951114136812155E-3</v>
      </c>
      <c r="L30" s="175">
        <f t="shared" si="7"/>
        <v>1761244</v>
      </c>
      <c r="M30" s="175">
        <f>IF($C30=0,0,IF($C$7="Abono Fijo a Capital",IF($B30&gt;$C$9,ROUND(C30/($C$8-COUNTIF(M$14:M29,"&gt;0")),0),0),IF($C$7="Pago Único al Final",C30,IF($B30&gt;$C$9,ROUND(PMT(K30,($C$8-COUNTIF(M$14:M29,"&gt;0")),-C30)-L30,0),0))))</f>
        <v>8943750</v>
      </c>
      <c r="N30" s="175">
        <f t="shared" si="8"/>
        <v>10704994</v>
      </c>
      <c r="O30" s="175">
        <f t="shared" si="9"/>
        <v>0</v>
      </c>
      <c r="P30" s="175">
        <f t="shared" si="10"/>
        <v>187818750</v>
      </c>
      <c r="Q30" s="175">
        <f t="shared" si="12"/>
        <v>-10704994</v>
      </c>
      <c r="R30" s="374"/>
      <c r="S30" s="374"/>
      <c r="T30" s="375"/>
    </row>
    <row r="31" spans="1:20" x14ac:dyDescent="0.35">
      <c r="A31" s="43">
        <v>16</v>
      </c>
      <c r="B31" s="184">
        <v>42490</v>
      </c>
      <c r="C31" s="178">
        <f t="shared" si="11"/>
        <v>187818750</v>
      </c>
      <c r="D31" s="236">
        <f>VLOOKUP($B31,DTF!$B$9:$D$69,IF(Variables!$B$73=1,3,2),0)</f>
        <v>5.5000000000000007E-2</v>
      </c>
      <c r="E31" s="236">
        <f t="shared" si="1"/>
        <v>5.318403363425931E-2</v>
      </c>
      <c r="F31" s="236">
        <f t="shared" si="0"/>
        <v>0.05</v>
      </c>
      <c r="G31" s="236">
        <f t="shared" si="2"/>
        <v>0.10318403363425932</v>
      </c>
      <c r="H31" s="236">
        <f t="shared" si="3"/>
        <v>2.579600840856483E-2</v>
      </c>
      <c r="I31" s="236">
        <f t="shared" si="4"/>
        <v>2.6479062528193011E-2</v>
      </c>
      <c r="J31" s="236">
        <f t="shared" si="5"/>
        <v>0.11019784842465108</v>
      </c>
      <c r="K31" s="236">
        <f t="shared" si="6"/>
        <v>8.7495758241447064E-3</v>
      </c>
      <c r="L31" s="175">
        <f t="shared" si="7"/>
        <v>1643334</v>
      </c>
      <c r="M31" s="175">
        <f>IF($C31=0,0,IF($C$7="Abono Fijo a Capital",IF($B31&gt;$C$9,ROUND(C31/($C$8-COUNTIF(M$14:M30,"&gt;0")),0),0),IF($C$7="Pago Único al Final",C31,IF($B31&gt;$C$9,ROUND(PMT(K31,($C$8-COUNTIF(M$14:M30,"&gt;0")),-C31)-L31,0),0))))</f>
        <v>8943750</v>
      </c>
      <c r="N31" s="175">
        <f t="shared" si="8"/>
        <v>10587084</v>
      </c>
      <c r="O31" s="175">
        <f t="shared" si="9"/>
        <v>0</v>
      </c>
      <c r="P31" s="175">
        <f t="shared" si="10"/>
        <v>178875000</v>
      </c>
      <c r="Q31" s="175">
        <f t="shared" si="12"/>
        <v>-10587084</v>
      </c>
      <c r="R31" s="374"/>
      <c r="S31" s="374"/>
      <c r="T31" s="375"/>
    </row>
    <row r="32" spans="1:20" x14ac:dyDescent="0.35">
      <c r="A32" s="43">
        <v>17</v>
      </c>
      <c r="B32" s="184">
        <v>42521</v>
      </c>
      <c r="C32" s="178">
        <f t="shared" si="11"/>
        <v>178875000</v>
      </c>
      <c r="D32" s="236">
        <f>VLOOKUP($B32,DTF!$B$9:$D$69,IF(Variables!$B$73=1,3,2),0)</f>
        <v>5.5000000000000007E-2</v>
      </c>
      <c r="E32" s="236">
        <f t="shared" si="1"/>
        <v>5.318403363425931E-2</v>
      </c>
      <c r="F32" s="236">
        <f t="shared" si="0"/>
        <v>0.05</v>
      </c>
      <c r="G32" s="236">
        <f t="shared" si="2"/>
        <v>0.10318403363425932</v>
      </c>
      <c r="H32" s="236">
        <f t="shared" si="3"/>
        <v>2.579600840856483E-2</v>
      </c>
      <c r="I32" s="236">
        <f t="shared" si="4"/>
        <v>2.6479062528193011E-2</v>
      </c>
      <c r="J32" s="236">
        <f t="shared" si="5"/>
        <v>0.11019784842465108</v>
      </c>
      <c r="K32" s="236">
        <f t="shared" si="6"/>
        <v>8.7495758241447064E-3</v>
      </c>
      <c r="L32" s="175">
        <f t="shared" si="7"/>
        <v>1565080</v>
      </c>
      <c r="M32" s="175">
        <f>IF($C32=0,0,IF($C$7="Abono Fijo a Capital",IF($B32&gt;$C$9,ROUND(C32/($C$8-COUNTIF(M$14:M31,"&gt;0")),0),0),IF($C$7="Pago Único al Final",C32,IF($B32&gt;$C$9,ROUND(PMT(K32,($C$8-COUNTIF(M$14:M31,"&gt;0")),-C32)-L32,0),0))))</f>
        <v>8943750</v>
      </c>
      <c r="N32" s="175">
        <f t="shared" si="8"/>
        <v>10508830</v>
      </c>
      <c r="O32" s="175">
        <f t="shared" si="9"/>
        <v>0</v>
      </c>
      <c r="P32" s="175">
        <f t="shared" si="10"/>
        <v>169931250</v>
      </c>
      <c r="Q32" s="175">
        <f t="shared" si="12"/>
        <v>-10508830</v>
      </c>
      <c r="R32" s="374"/>
      <c r="S32" s="374"/>
      <c r="T32" s="375"/>
    </row>
    <row r="33" spans="1:20" x14ac:dyDescent="0.35">
      <c r="A33" s="43">
        <v>18</v>
      </c>
      <c r="B33" s="184">
        <v>42551</v>
      </c>
      <c r="C33" s="178">
        <f t="shared" si="11"/>
        <v>169931250</v>
      </c>
      <c r="D33" s="236">
        <f>VLOOKUP($B33,DTF!$B$9:$D$69,IF(Variables!$B$73=1,3,2),0)</f>
        <v>5.5000000000000007E-2</v>
      </c>
      <c r="E33" s="236">
        <f t="shared" si="1"/>
        <v>5.318403363425931E-2</v>
      </c>
      <c r="F33" s="236">
        <f t="shared" si="0"/>
        <v>0.05</v>
      </c>
      <c r="G33" s="236">
        <f t="shared" si="2"/>
        <v>0.10318403363425932</v>
      </c>
      <c r="H33" s="236">
        <f t="shared" si="3"/>
        <v>2.579600840856483E-2</v>
      </c>
      <c r="I33" s="236">
        <f t="shared" si="4"/>
        <v>2.6479062528193011E-2</v>
      </c>
      <c r="J33" s="236">
        <f t="shared" si="5"/>
        <v>0.11019784842465108</v>
      </c>
      <c r="K33" s="236">
        <f t="shared" si="6"/>
        <v>8.7495758241447064E-3</v>
      </c>
      <c r="L33" s="175">
        <f t="shared" si="7"/>
        <v>1486826</v>
      </c>
      <c r="M33" s="175">
        <f>IF($C33=0,0,IF($C$7="Abono Fijo a Capital",IF($B33&gt;$C$9,ROUND(C33/($C$8-COUNTIF(M$14:M32,"&gt;0")),0),0),IF($C$7="Pago Único al Final",C33,IF($B33&gt;$C$9,ROUND(PMT(K33,($C$8-COUNTIF(M$14:M32,"&gt;0")),-C33)-L33,0),0))))</f>
        <v>8943750</v>
      </c>
      <c r="N33" s="175">
        <f t="shared" si="8"/>
        <v>10430576</v>
      </c>
      <c r="O33" s="175">
        <f t="shared" si="9"/>
        <v>0</v>
      </c>
      <c r="P33" s="175">
        <f t="shared" si="10"/>
        <v>160987500</v>
      </c>
      <c r="Q33" s="175">
        <f t="shared" si="12"/>
        <v>-10430576</v>
      </c>
      <c r="R33" s="374"/>
      <c r="S33" s="374"/>
      <c r="T33" s="375"/>
    </row>
    <row r="34" spans="1:20" x14ac:dyDescent="0.35">
      <c r="A34" s="43">
        <v>19</v>
      </c>
      <c r="B34" s="184">
        <v>42582</v>
      </c>
      <c r="C34" s="178">
        <f t="shared" si="11"/>
        <v>160987500</v>
      </c>
      <c r="D34" s="236">
        <f>VLOOKUP($B34,DTF!$B$9:$D$69,IF(Variables!$B$73=1,3,2),0)</f>
        <v>5.2500000000000005E-2</v>
      </c>
      <c r="E34" s="236">
        <f t="shared" si="1"/>
        <v>5.0842403434051039E-2</v>
      </c>
      <c r="F34" s="236">
        <f t="shared" si="0"/>
        <v>0.05</v>
      </c>
      <c r="G34" s="236">
        <f t="shared" si="2"/>
        <v>0.10084240343405104</v>
      </c>
      <c r="H34" s="236">
        <f t="shared" si="3"/>
        <v>2.5210600858512761E-2</v>
      </c>
      <c r="I34" s="236">
        <f t="shared" si="4"/>
        <v>2.586261286870389E-2</v>
      </c>
      <c r="J34" s="236">
        <f t="shared" si="5"/>
        <v>0.10753334272890536</v>
      </c>
      <c r="K34" s="236">
        <f t="shared" si="6"/>
        <v>8.547601301403418E-3</v>
      </c>
      <c r="L34" s="175">
        <f t="shared" si="7"/>
        <v>1376057</v>
      </c>
      <c r="M34" s="175">
        <f>IF($C34=0,0,IF($C$7="Abono Fijo a Capital",IF($B34&gt;$C$9,ROUND(C34/($C$8-COUNTIF(M$14:M33,"&gt;0")),0),0),IF($C$7="Pago Único al Final",C34,IF($B34&gt;$C$9,ROUND(PMT(K34,($C$8-COUNTIF(M$14:M33,"&gt;0")),-C34)-L34,0),0))))</f>
        <v>8943750</v>
      </c>
      <c r="N34" s="175">
        <f t="shared" si="8"/>
        <v>10319807</v>
      </c>
      <c r="O34" s="175">
        <f t="shared" si="9"/>
        <v>0</v>
      </c>
      <c r="P34" s="175">
        <f t="shared" si="10"/>
        <v>152043750</v>
      </c>
      <c r="Q34" s="175">
        <f t="shared" si="12"/>
        <v>-10319807</v>
      </c>
      <c r="R34" s="374"/>
      <c r="S34" s="374"/>
      <c r="T34" s="375"/>
    </row>
    <row r="35" spans="1:20" x14ac:dyDescent="0.35">
      <c r="A35" s="43">
        <v>20</v>
      </c>
      <c r="B35" s="184">
        <v>42613</v>
      </c>
      <c r="C35" s="178">
        <f t="shared" si="11"/>
        <v>152043750</v>
      </c>
      <c r="D35" s="236">
        <f>VLOOKUP($B35,DTF!$B$9:$D$69,IF(Variables!$B$73=1,3,2),0)</f>
        <v>5.2500000000000005E-2</v>
      </c>
      <c r="E35" s="236">
        <f t="shared" si="1"/>
        <v>5.0842403434051039E-2</v>
      </c>
      <c r="F35" s="236">
        <f t="shared" si="0"/>
        <v>0.05</v>
      </c>
      <c r="G35" s="236">
        <f t="shared" si="2"/>
        <v>0.10084240343405104</v>
      </c>
      <c r="H35" s="236">
        <f t="shared" si="3"/>
        <v>2.5210600858512761E-2</v>
      </c>
      <c r="I35" s="236">
        <f t="shared" si="4"/>
        <v>2.586261286870389E-2</v>
      </c>
      <c r="J35" s="236">
        <f t="shared" si="5"/>
        <v>0.10753334272890536</v>
      </c>
      <c r="K35" s="236">
        <f t="shared" si="6"/>
        <v>8.547601301403418E-3</v>
      </c>
      <c r="L35" s="175">
        <f t="shared" si="7"/>
        <v>1299609</v>
      </c>
      <c r="M35" s="175">
        <f>IF($C35=0,0,IF($C$7="Abono Fijo a Capital",IF($B35&gt;$C$9,ROUND(C35/($C$8-COUNTIF(M$14:M34,"&gt;0")),0),0),IF($C$7="Pago Único al Final",C35,IF($B35&gt;$C$9,ROUND(PMT(K35,($C$8-COUNTIF(M$14:M34,"&gt;0")),-C35)-L35,0),0))))</f>
        <v>8943750</v>
      </c>
      <c r="N35" s="175">
        <f t="shared" si="8"/>
        <v>10243359</v>
      </c>
      <c r="O35" s="175">
        <f t="shared" si="9"/>
        <v>0</v>
      </c>
      <c r="P35" s="175">
        <f t="shared" si="10"/>
        <v>143100000</v>
      </c>
      <c r="Q35" s="175">
        <f t="shared" si="12"/>
        <v>-10243359</v>
      </c>
      <c r="R35" s="374"/>
      <c r="S35" s="374"/>
      <c r="T35" s="375"/>
    </row>
    <row r="36" spans="1:20" x14ac:dyDescent="0.35">
      <c r="A36" s="43">
        <v>21</v>
      </c>
      <c r="B36" s="184">
        <v>42643</v>
      </c>
      <c r="C36" s="178">
        <f t="shared" si="11"/>
        <v>143100000</v>
      </c>
      <c r="D36" s="236">
        <f>VLOOKUP($B36,DTF!$B$9:$D$69,IF(Variables!$B$73=1,3,2),0)</f>
        <v>5.2500000000000005E-2</v>
      </c>
      <c r="E36" s="236">
        <f t="shared" si="1"/>
        <v>5.0842403434051039E-2</v>
      </c>
      <c r="F36" s="236">
        <f t="shared" si="0"/>
        <v>0.05</v>
      </c>
      <c r="G36" s="236">
        <f t="shared" si="2"/>
        <v>0.10084240343405104</v>
      </c>
      <c r="H36" s="236">
        <f t="shared" si="3"/>
        <v>2.5210600858512761E-2</v>
      </c>
      <c r="I36" s="236">
        <f t="shared" si="4"/>
        <v>2.586261286870389E-2</v>
      </c>
      <c r="J36" s="236">
        <f t="shared" si="5"/>
        <v>0.10753334272890536</v>
      </c>
      <c r="K36" s="236">
        <f t="shared" si="6"/>
        <v>8.547601301403418E-3</v>
      </c>
      <c r="L36" s="175">
        <f t="shared" si="7"/>
        <v>1223162</v>
      </c>
      <c r="M36" s="175">
        <f>IF($C36=0,0,IF($C$7="Abono Fijo a Capital",IF($B36&gt;$C$9,ROUND(C36/($C$8-COUNTIF(M$14:M35,"&gt;0")),0),0),IF($C$7="Pago Único al Final",C36,IF($B36&gt;$C$9,ROUND(PMT(K36,($C$8-COUNTIF(M$14:M35,"&gt;0")),-C36)-L36,0),0))))</f>
        <v>8943750</v>
      </c>
      <c r="N36" s="175">
        <f t="shared" si="8"/>
        <v>10166912</v>
      </c>
      <c r="O36" s="175">
        <f t="shared" si="9"/>
        <v>0</v>
      </c>
      <c r="P36" s="175">
        <f t="shared" si="10"/>
        <v>134156250</v>
      </c>
      <c r="Q36" s="175">
        <f t="shared" si="12"/>
        <v>-10166912</v>
      </c>
      <c r="R36" s="374"/>
      <c r="S36" s="374"/>
      <c r="T36" s="375"/>
    </row>
    <row r="37" spans="1:20" x14ac:dyDescent="0.35">
      <c r="A37" s="43">
        <v>22</v>
      </c>
      <c r="B37" s="184">
        <v>42674</v>
      </c>
      <c r="C37" s="178">
        <f t="shared" si="11"/>
        <v>134156250</v>
      </c>
      <c r="D37" s="236">
        <f>VLOOKUP($B37,DTF!$B$9:$D$69,IF(Variables!$B$73=1,3,2),0)</f>
        <v>0.05</v>
      </c>
      <c r="E37" s="236">
        <f t="shared" si="1"/>
        <v>4.8493810307703902E-2</v>
      </c>
      <c r="F37" s="236">
        <f t="shared" si="0"/>
        <v>0.05</v>
      </c>
      <c r="G37" s="236">
        <f t="shared" si="2"/>
        <v>9.8493810307703905E-2</v>
      </c>
      <c r="H37" s="236">
        <f t="shared" si="3"/>
        <v>2.4623452576925976E-2</v>
      </c>
      <c r="I37" s="236">
        <f t="shared" si="4"/>
        <v>2.5245073445717619E-2</v>
      </c>
      <c r="J37" s="236">
        <f t="shared" si="5"/>
        <v>0.10486893847936174</v>
      </c>
      <c r="K37" s="236">
        <f t="shared" si="6"/>
        <v>8.3451885837204642E-3</v>
      </c>
      <c r="L37" s="175">
        <f t="shared" si="7"/>
        <v>1119559</v>
      </c>
      <c r="M37" s="175">
        <f>IF($C37=0,0,IF($C$7="Abono Fijo a Capital",IF($B37&gt;$C$9,ROUND(C37/($C$8-COUNTIF(M$14:M36,"&gt;0")),0),0),IF($C$7="Pago Único al Final",C37,IF($B37&gt;$C$9,ROUND(PMT(K37,($C$8-COUNTIF(M$14:M36,"&gt;0")),-C37)-L37,0),0))))</f>
        <v>8943750</v>
      </c>
      <c r="N37" s="175">
        <f t="shared" si="8"/>
        <v>10063309</v>
      </c>
      <c r="O37" s="175">
        <f t="shared" si="9"/>
        <v>0</v>
      </c>
      <c r="P37" s="175">
        <f t="shared" si="10"/>
        <v>125212500</v>
      </c>
      <c r="Q37" s="175">
        <f t="shared" si="12"/>
        <v>-10063309</v>
      </c>
      <c r="R37" s="374"/>
      <c r="S37" s="374"/>
      <c r="T37" s="375"/>
    </row>
    <row r="38" spans="1:20" x14ac:dyDescent="0.35">
      <c r="A38" s="43">
        <v>23</v>
      </c>
      <c r="B38" s="184">
        <v>42704</v>
      </c>
      <c r="C38" s="178">
        <f t="shared" si="11"/>
        <v>125212500</v>
      </c>
      <c r="D38" s="236">
        <f>VLOOKUP($B38,DTF!$B$9:$D$69,IF(Variables!$B$73=1,3,2),0)</f>
        <v>0.05</v>
      </c>
      <c r="E38" s="236">
        <f t="shared" si="1"/>
        <v>4.8493810307703902E-2</v>
      </c>
      <c r="F38" s="236">
        <f t="shared" si="0"/>
        <v>0.05</v>
      </c>
      <c r="G38" s="236">
        <f t="shared" si="2"/>
        <v>9.8493810307703905E-2</v>
      </c>
      <c r="H38" s="236">
        <f t="shared" si="3"/>
        <v>2.4623452576925976E-2</v>
      </c>
      <c r="I38" s="236">
        <f t="shared" si="4"/>
        <v>2.5245073445717619E-2</v>
      </c>
      <c r="J38" s="236">
        <f t="shared" si="5"/>
        <v>0.10486893847936174</v>
      </c>
      <c r="K38" s="236">
        <f t="shared" si="6"/>
        <v>8.3451885837204642E-3</v>
      </c>
      <c r="L38" s="175">
        <f t="shared" si="7"/>
        <v>1044922</v>
      </c>
      <c r="M38" s="175">
        <f>IF($C38=0,0,IF($C$7="Abono Fijo a Capital",IF($B38&gt;$C$9,ROUND(C38/($C$8-COUNTIF(M$14:M37,"&gt;0")),0),0),IF($C$7="Pago Único al Final",C38,IF($B38&gt;$C$9,ROUND(PMT(K38,($C$8-COUNTIF(M$14:M37,"&gt;0")),-C38)-L38,0),0))))</f>
        <v>8943750</v>
      </c>
      <c r="N38" s="175">
        <f t="shared" si="8"/>
        <v>9988672</v>
      </c>
      <c r="O38" s="175">
        <f t="shared" si="9"/>
        <v>0</v>
      </c>
      <c r="P38" s="175">
        <f t="shared" si="10"/>
        <v>116268750</v>
      </c>
      <c r="Q38" s="175">
        <f t="shared" si="12"/>
        <v>-9988672</v>
      </c>
      <c r="R38" s="374"/>
      <c r="S38" s="374"/>
      <c r="T38" s="375"/>
    </row>
    <row r="39" spans="1:20" x14ac:dyDescent="0.35">
      <c r="A39" s="43">
        <v>24</v>
      </c>
      <c r="B39" s="184">
        <v>42735</v>
      </c>
      <c r="C39" s="178">
        <f t="shared" si="11"/>
        <v>116268750</v>
      </c>
      <c r="D39" s="236">
        <f>VLOOKUP($B39,DTF!$B$9:$D$69,IF(Variables!$B$73=1,3,2),0)</f>
        <v>0.05</v>
      </c>
      <c r="E39" s="236">
        <f t="shared" si="1"/>
        <v>4.8493810307703902E-2</v>
      </c>
      <c r="F39" s="236">
        <f t="shared" si="0"/>
        <v>0.05</v>
      </c>
      <c r="G39" s="236">
        <f t="shared" si="2"/>
        <v>9.8493810307703905E-2</v>
      </c>
      <c r="H39" s="236">
        <f t="shared" si="3"/>
        <v>2.4623452576925976E-2</v>
      </c>
      <c r="I39" s="236">
        <f t="shared" si="4"/>
        <v>2.5245073445717619E-2</v>
      </c>
      <c r="J39" s="236">
        <f t="shared" si="5"/>
        <v>0.10486893847936174</v>
      </c>
      <c r="K39" s="236">
        <f t="shared" si="6"/>
        <v>8.3451885837204642E-3</v>
      </c>
      <c r="L39" s="175">
        <f t="shared" si="7"/>
        <v>970285</v>
      </c>
      <c r="M39" s="175">
        <f>IF($C39=0,0,IF($C$7="Abono Fijo a Capital",IF($B39&gt;$C$9,ROUND(C39/($C$8-COUNTIF(M$14:M38,"&gt;0")),0),0),IF($C$7="Pago Único al Final",C39,IF($B39&gt;$C$9,ROUND(PMT(K39,($C$8-COUNTIF(M$14:M38,"&gt;0")),-C39)-L39,0),0))))</f>
        <v>8943750</v>
      </c>
      <c r="N39" s="175">
        <f t="shared" si="8"/>
        <v>9914035</v>
      </c>
      <c r="O39" s="175">
        <f t="shared" si="9"/>
        <v>0</v>
      </c>
      <c r="P39" s="175">
        <f t="shared" si="10"/>
        <v>107325000</v>
      </c>
      <c r="Q39" s="175">
        <f t="shared" si="12"/>
        <v>-9914035</v>
      </c>
      <c r="R39" s="374"/>
      <c r="S39" s="374"/>
      <c r="T39" s="375"/>
    </row>
    <row r="40" spans="1:20" x14ac:dyDescent="0.35">
      <c r="A40" s="43">
        <v>25</v>
      </c>
      <c r="B40" s="184">
        <v>42766</v>
      </c>
      <c r="C40" s="178">
        <f t="shared" si="11"/>
        <v>107325000</v>
      </c>
      <c r="D40" s="236">
        <f>VLOOKUP($B40,DTF!$B$9:$D$69,IF(Variables!$B$73=1,3,2),0)</f>
        <v>5.2500000000000005E-2</v>
      </c>
      <c r="E40" s="236">
        <f t="shared" si="1"/>
        <v>5.0842403434051039E-2</v>
      </c>
      <c r="F40" s="236">
        <f t="shared" si="0"/>
        <v>0.05</v>
      </c>
      <c r="G40" s="236">
        <f t="shared" si="2"/>
        <v>0.10084240343405104</v>
      </c>
      <c r="H40" s="236">
        <f t="shared" si="3"/>
        <v>2.5210600858512761E-2</v>
      </c>
      <c r="I40" s="236">
        <f t="shared" si="4"/>
        <v>2.586261286870389E-2</v>
      </c>
      <c r="J40" s="236">
        <f t="shared" si="5"/>
        <v>0.10753334272890536</v>
      </c>
      <c r="K40" s="236">
        <f t="shared" si="6"/>
        <v>8.547601301403418E-3</v>
      </c>
      <c r="L40" s="175">
        <f t="shared" si="7"/>
        <v>917371</v>
      </c>
      <c r="M40" s="175">
        <f>IF($C40=0,0,IF($C$7="Abono Fijo a Capital",IF($B40&gt;$C$9,ROUND(C40/($C$8-COUNTIF(M$14:M39,"&gt;0")),0),0),IF($C$7="Pago Único al Final",C40,IF($B40&gt;$C$9,ROUND(PMT(K40,($C$8-COUNTIF(M$14:M39,"&gt;0")),-C40)-L40,0),0))))</f>
        <v>8943750</v>
      </c>
      <c r="N40" s="175">
        <f t="shared" si="8"/>
        <v>9861121</v>
      </c>
      <c r="O40" s="175">
        <f t="shared" si="9"/>
        <v>0</v>
      </c>
      <c r="P40" s="175">
        <f t="shared" si="10"/>
        <v>98381250</v>
      </c>
      <c r="Q40" s="175">
        <f t="shared" si="12"/>
        <v>-9861121</v>
      </c>
      <c r="R40" s="374"/>
      <c r="S40" s="374"/>
      <c r="T40" s="375"/>
    </row>
    <row r="41" spans="1:20" x14ac:dyDescent="0.35">
      <c r="A41" s="43">
        <v>26</v>
      </c>
      <c r="B41" s="184">
        <v>42794</v>
      </c>
      <c r="C41" s="178">
        <f t="shared" si="11"/>
        <v>98381250</v>
      </c>
      <c r="D41" s="236">
        <f>VLOOKUP($B41,DTF!$B$9:$D$69,IF(Variables!$B$73=1,3,2),0)</f>
        <v>5.2500000000000005E-2</v>
      </c>
      <c r="E41" s="236">
        <f t="shared" si="1"/>
        <v>5.0842403434051039E-2</v>
      </c>
      <c r="F41" s="236">
        <f t="shared" si="0"/>
        <v>0.05</v>
      </c>
      <c r="G41" s="236">
        <f t="shared" si="2"/>
        <v>0.10084240343405104</v>
      </c>
      <c r="H41" s="236">
        <f t="shared" si="3"/>
        <v>2.5210600858512761E-2</v>
      </c>
      <c r="I41" s="236">
        <f t="shared" si="4"/>
        <v>2.586261286870389E-2</v>
      </c>
      <c r="J41" s="236">
        <f t="shared" si="5"/>
        <v>0.10753334272890536</v>
      </c>
      <c r="K41" s="236">
        <f t="shared" si="6"/>
        <v>8.547601301403418E-3</v>
      </c>
      <c r="L41" s="175">
        <f t="shared" si="7"/>
        <v>840924</v>
      </c>
      <c r="M41" s="175">
        <f>IF($C41=0,0,IF($C$7="Abono Fijo a Capital",IF($B41&gt;$C$9,ROUND(C41/($C$8-COUNTIF(M$14:M40,"&gt;0")),0),0),IF($C$7="Pago Único al Final",C41,IF($B41&gt;$C$9,ROUND(PMT(K41,($C$8-COUNTIF(M$14:M40,"&gt;0")),-C41)-L41,0),0))))</f>
        <v>8943750</v>
      </c>
      <c r="N41" s="175">
        <f t="shared" si="8"/>
        <v>9784674</v>
      </c>
      <c r="O41" s="175">
        <f t="shared" si="9"/>
        <v>0</v>
      </c>
      <c r="P41" s="175">
        <f t="shared" si="10"/>
        <v>89437500</v>
      </c>
      <c r="Q41" s="175">
        <f t="shared" si="12"/>
        <v>-9784674</v>
      </c>
      <c r="R41" s="374"/>
      <c r="S41" s="374"/>
      <c r="T41" s="375"/>
    </row>
    <row r="42" spans="1:20" x14ac:dyDescent="0.35">
      <c r="A42" s="43">
        <v>27</v>
      </c>
      <c r="B42" s="184">
        <v>42825</v>
      </c>
      <c r="C42" s="178">
        <f t="shared" si="11"/>
        <v>89437500</v>
      </c>
      <c r="D42" s="236">
        <f>VLOOKUP($B42,DTF!$B$9:$D$69,IF(Variables!$B$73=1,3,2),0)</f>
        <v>5.2500000000000005E-2</v>
      </c>
      <c r="E42" s="236">
        <f t="shared" si="1"/>
        <v>5.0842403434051039E-2</v>
      </c>
      <c r="F42" s="236">
        <f t="shared" si="0"/>
        <v>0.05</v>
      </c>
      <c r="G42" s="236">
        <f t="shared" si="2"/>
        <v>0.10084240343405104</v>
      </c>
      <c r="H42" s="236">
        <f t="shared" si="3"/>
        <v>2.5210600858512761E-2</v>
      </c>
      <c r="I42" s="236">
        <f t="shared" si="4"/>
        <v>2.586261286870389E-2</v>
      </c>
      <c r="J42" s="236">
        <f t="shared" si="5"/>
        <v>0.10753334272890536</v>
      </c>
      <c r="K42" s="236">
        <f t="shared" si="6"/>
        <v>8.547601301403418E-3</v>
      </c>
      <c r="L42" s="175">
        <f t="shared" si="7"/>
        <v>764476</v>
      </c>
      <c r="M42" s="175">
        <f>IF($C42=0,0,IF($C$7="Abono Fijo a Capital",IF($B42&gt;$C$9,ROUND(C42/($C$8-COUNTIF(M$14:M41,"&gt;0")),0),0),IF($C$7="Pago Único al Final",C42,IF($B42&gt;$C$9,ROUND(PMT(K42,($C$8-COUNTIF(M$14:M41,"&gt;0")),-C42)-L42,0),0))))</f>
        <v>8943750</v>
      </c>
      <c r="N42" s="175">
        <f t="shared" si="8"/>
        <v>9708226</v>
      </c>
      <c r="O42" s="175">
        <f t="shared" si="9"/>
        <v>0</v>
      </c>
      <c r="P42" s="175">
        <f t="shared" si="10"/>
        <v>80493750</v>
      </c>
      <c r="Q42" s="175">
        <f t="shared" si="12"/>
        <v>-9708226</v>
      </c>
      <c r="R42" s="374"/>
      <c r="S42" s="374"/>
      <c r="T42" s="375"/>
    </row>
    <row r="43" spans="1:20" x14ac:dyDescent="0.35">
      <c r="A43" s="43">
        <v>28</v>
      </c>
      <c r="B43" s="184">
        <v>42855</v>
      </c>
      <c r="C43" s="178">
        <f t="shared" si="11"/>
        <v>80493750</v>
      </c>
      <c r="D43" s="236">
        <f>VLOOKUP($B43,DTF!$B$9:$D$69,IF(Variables!$B$73=1,3,2),0)</f>
        <v>0.05</v>
      </c>
      <c r="E43" s="236">
        <f t="shared" si="1"/>
        <v>4.8493810307703902E-2</v>
      </c>
      <c r="F43" s="236">
        <f t="shared" si="0"/>
        <v>0.05</v>
      </c>
      <c r="G43" s="236">
        <f t="shared" si="2"/>
        <v>9.8493810307703905E-2</v>
      </c>
      <c r="H43" s="236">
        <f t="shared" si="3"/>
        <v>2.4623452576925976E-2</v>
      </c>
      <c r="I43" s="236">
        <f t="shared" si="4"/>
        <v>2.5245073445717619E-2</v>
      </c>
      <c r="J43" s="236">
        <f t="shared" si="5"/>
        <v>0.10486893847936174</v>
      </c>
      <c r="K43" s="236">
        <f t="shared" si="6"/>
        <v>8.3451885837204642E-3</v>
      </c>
      <c r="L43" s="175">
        <f t="shared" si="7"/>
        <v>671736</v>
      </c>
      <c r="M43" s="175">
        <f>IF($C43=0,0,IF($C$7="Abono Fijo a Capital",IF($B43&gt;$C$9,ROUND(C43/($C$8-COUNTIF(M$14:M42,"&gt;0")),0),0),IF($C$7="Pago Único al Final",C43,IF($B43&gt;$C$9,ROUND(PMT(K43,($C$8-COUNTIF(M$14:M42,"&gt;0")),-C43)-L43,0),0))))</f>
        <v>8943750</v>
      </c>
      <c r="N43" s="175">
        <f t="shared" si="8"/>
        <v>9615486</v>
      </c>
      <c r="O43" s="175">
        <f t="shared" si="9"/>
        <v>0</v>
      </c>
      <c r="P43" s="175">
        <f t="shared" si="10"/>
        <v>71550000</v>
      </c>
      <c r="Q43" s="175">
        <f t="shared" si="12"/>
        <v>-9615486</v>
      </c>
      <c r="R43" s="374"/>
      <c r="S43" s="374"/>
      <c r="T43" s="375"/>
    </row>
    <row r="44" spans="1:20" x14ac:dyDescent="0.35">
      <c r="A44" s="43">
        <v>29</v>
      </c>
      <c r="B44" s="184">
        <v>42886</v>
      </c>
      <c r="C44" s="178">
        <f t="shared" si="11"/>
        <v>71550000</v>
      </c>
      <c r="D44" s="236">
        <f>VLOOKUP($B44,DTF!$B$9:$D$69,IF(Variables!$B$73=1,3,2),0)</f>
        <v>0.05</v>
      </c>
      <c r="E44" s="236">
        <f t="shared" si="1"/>
        <v>4.8493810307703902E-2</v>
      </c>
      <c r="F44" s="236">
        <f t="shared" si="0"/>
        <v>0.05</v>
      </c>
      <c r="G44" s="236">
        <f t="shared" si="2"/>
        <v>9.8493810307703905E-2</v>
      </c>
      <c r="H44" s="236">
        <f t="shared" si="3"/>
        <v>2.4623452576925976E-2</v>
      </c>
      <c r="I44" s="236">
        <f t="shared" si="4"/>
        <v>2.5245073445717619E-2</v>
      </c>
      <c r="J44" s="236">
        <f t="shared" si="5"/>
        <v>0.10486893847936174</v>
      </c>
      <c r="K44" s="236">
        <f t="shared" si="6"/>
        <v>8.3451885837204642E-3</v>
      </c>
      <c r="L44" s="175">
        <f t="shared" si="7"/>
        <v>597098</v>
      </c>
      <c r="M44" s="175">
        <f>IF($C44=0,0,IF($C$7="Abono Fijo a Capital",IF($B44&gt;$C$9,ROUND(C44/($C$8-COUNTIF(M$14:M43,"&gt;0")),0),0),IF($C$7="Pago Único al Final",C44,IF($B44&gt;$C$9,ROUND(PMT(K44,($C$8-COUNTIF(M$14:M43,"&gt;0")),-C44)-L44,0),0))))</f>
        <v>8943750</v>
      </c>
      <c r="N44" s="175">
        <f t="shared" si="8"/>
        <v>9540848</v>
      </c>
      <c r="O44" s="175">
        <f t="shared" si="9"/>
        <v>0</v>
      </c>
      <c r="P44" s="175">
        <f t="shared" si="10"/>
        <v>62606250</v>
      </c>
      <c r="Q44" s="175">
        <f t="shared" si="12"/>
        <v>-9540848</v>
      </c>
      <c r="R44" s="374"/>
      <c r="S44" s="374"/>
      <c r="T44" s="375"/>
    </row>
    <row r="45" spans="1:20" x14ac:dyDescent="0.35">
      <c r="A45" s="43">
        <v>30</v>
      </c>
      <c r="B45" s="184">
        <v>42916</v>
      </c>
      <c r="C45" s="178">
        <f t="shared" si="11"/>
        <v>62606250</v>
      </c>
      <c r="D45" s="236">
        <f>VLOOKUP($B45,DTF!$B$9:$D$69,IF(Variables!$B$73=1,3,2),0)</f>
        <v>0.05</v>
      </c>
      <c r="E45" s="236">
        <f t="shared" si="1"/>
        <v>4.8493810307703902E-2</v>
      </c>
      <c r="F45" s="236">
        <f t="shared" si="0"/>
        <v>0.05</v>
      </c>
      <c r="G45" s="236">
        <f t="shared" si="2"/>
        <v>9.8493810307703905E-2</v>
      </c>
      <c r="H45" s="236">
        <f t="shared" si="3"/>
        <v>2.4623452576925976E-2</v>
      </c>
      <c r="I45" s="236">
        <f t="shared" si="4"/>
        <v>2.5245073445717619E-2</v>
      </c>
      <c r="J45" s="236">
        <f t="shared" si="5"/>
        <v>0.10486893847936174</v>
      </c>
      <c r="K45" s="236">
        <f t="shared" si="6"/>
        <v>8.3451885837204642E-3</v>
      </c>
      <c r="L45" s="175">
        <f t="shared" si="7"/>
        <v>522461</v>
      </c>
      <c r="M45" s="175">
        <f>IF($C45=0,0,IF($C$7="Abono Fijo a Capital",IF($B45&gt;$C$9,ROUND(C45/($C$8-COUNTIF(M$14:M44,"&gt;0")),0),0),IF($C$7="Pago Único al Final",C45,IF($B45&gt;$C$9,ROUND(PMT(K45,($C$8-COUNTIF(M$14:M44,"&gt;0")),-C45)-L45,0),0))))</f>
        <v>8943750</v>
      </c>
      <c r="N45" s="175">
        <f t="shared" si="8"/>
        <v>9466211</v>
      </c>
      <c r="O45" s="175">
        <f t="shared" si="9"/>
        <v>0</v>
      </c>
      <c r="P45" s="175">
        <f t="shared" si="10"/>
        <v>53662500</v>
      </c>
      <c r="Q45" s="175">
        <f t="shared" si="12"/>
        <v>-9466211</v>
      </c>
      <c r="R45" s="374"/>
      <c r="S45" s="374"/>
      <c r="T45" s="375"/>
    </row>
    <row r="46" spans="1:20" x14ac:dyDescent="0.35">
      <c r="A46" s="43">
        <v>31</v>
      </c>
      <c r="B46" s="184">
        <v>42947</v>
      </c>
      <c r="C46" s="178">
        <f t="shared" si="11"/>
        <v>53662500</v>
      </c>
      <c r="D46" s="236">
        <f>VLOOKUP($B46,DTF!$B$9:$D$69,IF(Variables!$B$73=1,3,2),0)</f>
        <v>4.7500000000000001E-2</v>
      </c>
      <c r="E46" s="236">
        <f t="shared" si="1"/>
        <v>4.6138216898191912E-2</v>
      </c>
      <c r="F46" s="236">
        <f t="shared" si="0"/>
        <v>0.05</v>
      </c>
      <c r="G46" s="236">
        <f t="shared" si="2"/>
        <v>9.6138216898191908E-2</v>
      </c>
      <c r="H46" s="236">
        <f t="shared" si="3"/>
        <v>2.4034554224547977E-2</v>
      </c>
      <c r="I46" s="236">
        <f t="shared" si="4"/>
        <v>2.4626439725487774E-2</v>
      </c>
      <c r="J46" s="236">
        <f t="shared" si="5"/>
        <v>0.10220463585246886</v>
      </c>
      <c r="K46" s="236">
        <f t="shared" si="6"/>
        <v>8.1423356724401597E-3</v>
      </c>
      <c r="L46" s="175">
        <f t="shared" si="7"/>
        <v>436938</v>
      </c>
      <c r="M46" s="175">
        <f>IF($C46=0,0,IF($C$7="Abono Fijo a Capital",IF($B46&gt;$C$9,ROUND(C46/($C$8-COUNTIF(M$14:M45,"&gt;0")),0),0),IF($C$7="Pago Único al Final",C46,IF($B46&gt;$C$9,ROUND(PMT(K46,($C$8-COUNTIF(M$14:M45,"&gt;0")),-C46)-L46,0),0))))</f>
        <v>8943750</v>
      </c>
      <c r="N46" s="175">
        <f t="shared" si="8"/>
        <v>9380688</v>
      </c>
      <c r="O46" s="175">
        <f t="shared" si="9"/>
        <v>0</v>
      </c>
      <c r="P46" s="175">
        <f t="shared" si="10"/>
        <v>44718750</v>
      </c>
      <c r="Q46" s="175">
        <f t="shared" si="12"/>
        <v>-9380688</v>
      </c>
      <c r="R46" s="374"/>
      <c r="S46" s="374"/>
      <c r="T46" s="375"/>
    </row>
    <row r="47" spans="1:20" x14ac:dyDescent="0.35">
      <c r="A47" s="43">
        <v>32</v>
      </c>
      <c r="B47" s="184">
        <v>42978</v>
      </c>
      <c r="C47" s="178">
        <f t="shared" si="11"/>
        <v>44718750</v>
      </c>
      <c r="D47" s="236">
        <f>VLOOKUP($B47,DTF!$B$9:$D$69,IF(Variables!$B$73=1,3,2),0)</f>
        <v>4.7500000000000001E-2</v>
      </c>
      <c r="E47" s="236">
        <f t="shared" si="1"/>
        <v>4.6138216898191912E-2</v>
      </c>
      <c r="F47" s="236">
        <f t="shared" ref="F47:F75" si="13">$C$3</f>
        <v>0.05</v>
      </c>
      <c r="G47" s="236">
        <f t="shared" si="2"/>
        <v>9.6138216898191908E-2</v>
      </c>
      <c r="H47" s="236">
        <f t="shared" si="3"/>
        <v>2.4034554224547977E-2</v>
      </c>
      <c r="I47" s="236">
        <f t="shared" si="4"/>
        <v>2.4626439725487774E-2</v>
      </c>
      <c r="J47" s="236">
        <f t="shared" si="5"/>
        <v>0.10220463585246886</v>
      </c>
      <c r="K47" s="236">
        <f t="shared" si="6"/>
        <v>8.1423356724401597E-3</v>
      </c>
      <c r="L47" s="175">
        <f t="shared" si="7"/>
        <v>364115</v>
      </c>
      <c r="M47" s="175">
        <f>IF($C47=0,0,IF($C$7="Abono Fijo a Capital",IF($B47&gt;$C$9,ROUND(C47/($C$8-COUNTIF(M$14:M46,"&gt;0")),0),0),IF($C$7="Pago Único al Final",C47,IF($B47&gt;$C$9,ROUND(PMT(K47,($C$8-COUNTIF(M$14:M46,"&gt;0")),-C47)-L47,0),0))))</f>
        <v>8943750</v>
      </c>
      <c r="N47" s="175">
        <f t="shared" si="8"/>
        <v>9307865</v>
      </c>
      <c r="O47" s="175">
        <f t="shared" si="9"/>
        <v>0</v>
      </c>
      <c r="P47" s="175">
        <f t="shared" si="10"/>
        <v>35775000</v>
      </c>
      <c r="Q47" s="175">
        <f t="shared" si="12"/>
        <v>-9307865</v>
      </c>
      <c r="R47" s="374"/>
      <c r="S47" s="374"/>
      <c r="T47" s="375"/>
    </row>
    <row r="48" spans="1:20" x14ac:dyDescent="0.35">
      <c r="A48" s="43">
        <v>33</v>
      </c>
      <c r="B48" s="184">
        <v>43008</v>
      </c>
      <c r="C48" s="178">
        <f t="shared" si="11"/>
        <v>35775000</v>
      </c>
      <c r="D48" s="236">
        <f>VLOOKUP($B48,DTF!$B$9:$D$69,IF(Variables!$B$73=1,3,2),0)</f>
        <v>4.7500000000000001E-2</v>
      </c>
      <c r="E48" s="236">
        <f t="shared" si="1"/>
        <v>4.6138216898191912E-2</v>
      </c>
      <c r="F48" s="236">
        <f t="shared" si="13"/>
        <v>0.05</v>
      </c>
      <c r="G48" s="236">
        <f t="shared" si="2"/>
        <v>9.6138216898191908E-2</v>
      </c>
      <c r="H48" s="236">
        <f t="shared" si="3"/>
        <v>2.4034554224547977E-2</v>
      </c>
      <c r="I48" s="236">
        <f t="shared" si="4"/>
        <v>2.4626439725487774E-2</v>
      </c>
      <c r="J48" s="236">
        <f t="shared" si="5"/>
        <v>0.10220463585246886</v>
      </c>
      <c r="K48" s="236">
        <f t="shared" si="6"/>
        <v>8.1423356724401597E-3</v>
      </c>
      <c r="L48" s="175">
        <f t="shared" si="7"/>
        <v>291292</v>
      </c>
      <c r="M48" s="175">
        <f>IF($C48=0,0,IF($C$7="Abono Fijo a Capital",IF($B48&gt;$C$9,ROUND(C48/($C$8-COUNTIF(M$14:M47,"&gt;0")),0),0),IF($C$7="Pago Único al Final",C48,IF($B48&gt;$C$9,ROUND(PMT(K48,($C$8-COUNTIF(M$14:M47,"&gt;0")),-C48)-L48,0),0))))</f>
        <v>8943750</v>
      </c>
      <c r="N48" s="175">
        <f t="shared" si="8"/>
        <v>9235042</v>
      </c>
      <c r="O48" s="175">
        <f t="shared" si="9"/>
        <v>0</v>
      </c>
      <c r="P48" s="175">
        <f t="shared" si="10"/>
        <v>26831250</v>
      </c>
      <c r="Q48" s="175">
        <f t="shared" si="12"/>
        <v>-9235042</v>
      </c>
      <c r="R48" s="374"/>
      <c r="S48" s="374"/>
      <c r="T48" s="375"/>
    </row>
    <row r="49" spans="1:20" x14ac:dyDescent="0.35">
      <c r="A49" s="43">
        <v>34</v>
      </c>
      <c r="B49" s="184">
        <v>43039</v>
      </c>
      <c r="C49" s="178">
        <f t="shared" si="11"/>
        <v>26831250</v>
      </c>
      <c r="D49" s="236">
        <f>VLOOKUP($B49,DTF!$B$9:$D$69,IF(Variables!$B$73=1,3,2),0)</f>
        <v>4.4999999999999998E-2</v>
      </c>
      <c r="E49" s="236">
        <f t="shared" si="1"/>
        <v>4.3775585558297421E-2</v>
      </c>
      <c r="F49" s="236">
        <f t="shared" si="13"/>
        <v>0.05</v>
      </c>
      <c r="G49" s="236">
        <f t="shared" si="2"/>
        <v>9.3775585558297431E-2</v>
      </c>
      <c r="H49" s="236">
        <f t="shared" si="3"/>
        <v>2.3443896389574358E-2</v>
      </c>
      <c r="I49" s="236">
        <f t="shared" si="4"/>
        <v>2.4006707144525467E-2</v>
      </c>
      <c r="J49" s="236">
        <f t="shared" si="5"/>
        <v>9.9540435025414542E-2</v>
      </c>
      <c r="K49" s="236">
        <f t="shared" si="6"/>
        <v>7.9390405549930598E-3</v>
      </c>
      <c r="L49" s="175">
        <f t="shared" si="7"/>
        <v>213014</v>
      </c>
      <c r="M49" s="175">
        <f>IF($C49=0,0,IF($C$7="Abono Fijo a Capital",IF($B49&gt;$C$9,ROUND(C49/($C$8-COUNTIF(M$14:M48,"&gt;0")),0),0),IF($C$7="Pago Único al Final",C49,IF($B49&gt;$C$9,ROUND(PMT(K49,($C$8-COUNTIF(M$14:M48,"&gt;0")),-C49)-L49,0),0))))</f>
        <v>8943750</v>
      </c>
      <c r="N49" s="175">
        <f t="shared" si="8"/>
        <v>9156764</v>
      </c>
      <c r="O49" s="175">
        <f t="shared" si="9"/>
        <v>0</v>
      </c>
      <c r="P49" s="175">
        <f t="shared" si="10"/>
        <v>17887500</v>
      </c>
      <c r="Q49" s="175">
        <f t="shared" si="12"/>
        <v>-9156764</v>
      </c>
      <c r="R49" s="374"/>
      <c r="S49" s="374"/>
      <c r="T49" s="375"/>
    </row>
    <row r="50" spans="1:20" x14ac:dyDescent="0.35">
      <c r="A50" s="43">
        <v>35</v>
      </c>
      <c r="B50" s="184">
        <v>43069</v>
      </c>
      <c r="C50" s="178">
        <f t="shared" si="11"/>
        <v>17887500</v>
      </c>
      <c r="D50" s="236">
        <f>VLOOKUP($B50,DTF!$B$9:$D$69,IF(Variables!$B$73=1,3,2),0)</f>
        <v>4.4999999999999998E-2</v>
      </c>
      <c r="E50" s="236">
        <f t="shared" si="1"/>
        <v>4.3775585558297421E-2</v>
      </c>
      <c r="F50" s="236">
        <f t="shared" si="13"/>
        <v>0.05</v>
      </c>
      <c r="G50" s="236">
        <f t="shared" si="2"/>
        <v>9.3775585558297431E-2</v>
      </c>
      <c r="H50" s="236">
        <f t="shared" si="3"/>
        <v>2.3443896389574358E-2</v>
      </c>
      <c r="I50" s="236">
        <f t="shared" si="4"/>
        <v>2.4006707144525467E-2</v>
      </c>
      <c r="J50" s="236">
        <f t="shared" si="5"/>
        <v>9.9540435025414542E-2</v>
      </c>
      <c r="K50" s="236">
        <f t="shared" si="6"/>
        <v>7.9390405549930598E-3</v>
      </c>
      <c r="L50" s="175">
        <f t="shared" si="7"/>
        <v>142010</v>
      </c>
      <c r="M50" s="175">
        <f>IF($C50=0,0,IF($C$7="Abono Fijo a Capital",IF($B50&gt;$C$9,ROUND(C50/($C$8-COUNTIF(M$14:M49,"&gt;0")),0),0),IF($C$7="Pago Único al Final",C50,IF($B50&gt;$C$9,ROUND(PMT(K50,($C$8-COUNTIF(M$14:M49,"&gt;0")),-C50)-L50,0),0))))</f>
        <v>8943750</v>
      </c>
      <c r="N50" s="175">
        <f t="shared" si="8"/>
        <v>9085760</v>
      </c>
      <c r="O50" s="175">
        <f t="shared" si="9"/>
        <v>0</v>
      </c>
      <c r="P50" s="175">
        <f t="shared" si="10"/>
        <v>8943750</v>
      </c>
      <c r="Q50" s="175">
        <f t="shared" si="12"/>
        <v>-9085760</v>
      </c>
      <c r="R50" s="374"/>
      <c r="S50" s="374"/>
      <c r="T50" s="375"/>
    </row>
    <row r="51" spans="1:20" x14ac:dyDescent="0.35">
      <c r="A51" s="43">
        <v>36</v>
      </c>
      <c r="B51" s="184">
        <v>43100</v>
      </c>
      <c r="C51" s="178">
        <f t="shared" si="11"/>
        <v>8943750</v>
      </c>
      <c r="D51" s="236">
        <f>VLOOKUP($B51,DTF!$B$9:$D$69,IF(Variables!$B$73=1,3,2),0)</f>
        <v>4.4999999999999998E-2</v>
      </c>
      <c r="E51" s="236">
        <f t="shared" si="1"/>
        <v>4.3775585558297421E-2</v>
      </c>
      <c r="F51" s="236">
        <f t="shared" si="13"/>
        <v>0.05</v>
      </c>
      <c r="G51" s="236">
        <f t="shared" si="2"/>
        <v>9.3775585558297431E-2</v>
      </c>
      <c r="H51" s="236">
        <f t="shared" si="3"/>
        <v>2.3443896389574358E-2</v>
      </c>
      <c r="I51" s="236">
        <f t="shared" si="4"/>
        <v>2.4006707144525467E-2</v>
      </c>
      <c r="J51" s="236">
        <f t="shared" si="5"/>
        <v>9.9540435025414542E-2</v>
      </c>
      <c r="K51" s="236">
        <f t="shared" si="6"/>
        <v>7.9390405549930598E-3</v>
      </c>
      <c r="L51" s="175">
        <f t="shared" si="7"/>
        <v>71005</v>
      </c>
      <c r="M51" s="175">
        <f>IF($C51=0,0,IF($C$7="Abono Fijo a Capital",IF($B51&gt;$C$9,ROUND(C51/($C$8-COUNTIF(M$14:M50,"&gt;0")),0),0),IF($C$7="Pago Único al Final",C51,IF($B51&gt;$C$9,ROUND(PMT(K51,($C$8-COUNTIF(M$14:M50,"&gt;0")),-C51)-L51,0),0))))</f>
        <v>8943750</v>
      </c>
      <c r="N51" s="175">
        <f t="shared" si="8"/>
        <v>9014755</v>
      </c>
      <c r="O51" s="175">
        <f t="shared" si="9"/>
        <v>0</v>
      </c>
      <c r="P51" s="175">
        <f t="shared" si="10"/>
        <v>0</v>
      </c>
      <c r="Q51" s="175">
        <f t="shared" si="12"/>
        <v>-9014755</v>
      </c>
      <c r="R51" s="374"/>
      <c r="S51" s="374"/>
      <c r="T51" s="375"/>
    </row>
    <row r="52" spans="1:20" x14ac:dyDescent="0.35">
      <c r="A52" s="43">
        <v>37</v>
      </c>
      <c r="B52" s="184">
        <v>43131</v>
      </c>
      <c r="C52" s="178">
        <f t="shared" si="11"/>
        <v>0</v>
      </c>
      <c r="D52" s="236">
        <f>VLOOKUP($B52,DTF!$B$9:$D$69,IF(Variables!$B$73=1,3,2),0)</f>
        <v>4.7500000000000001E-2</v>
      </c>
      <c r="E52" s="236">
        <f t="shared" si="1"/>
        <v>4.6138216898191912E-2</v>
      </c>
      <c r="F52" s="236">
        <f t="shared" si="13"/>
        <v>0.05</v>
      </c>
      <c r="G52" s="236">
        <f t="shared" si="2"/>
        <v>9.6138216898191908E-2</v>
      </c>
      <c r="H52" s="236">
        <f t="shared" si="3"/>
        <v>2.4034554224547977E-2</v>
      </c>
      <c r="I52" s="236">
        <f t="shared" si="4"/>
        <v>2.4626439725487774E-2</v>
      </c>
      <c r="J52" s="236">
        <f t="shared" si="5"/>
        <v>0.10220463585246886</v>
      </c>
      <c r="K52" s="236">
        <f t="shared" si="6"/>
        <v>8.1423356724401597E-3</v>
      </c>
      <c r="L52" s="175">
        <f t="shared" si="7"/>
        <v>0</v>
      </c>
      <c r="M52" s="175">
        <f>IF($C52=0,0,IF($C$7="Abono Fijo a Capital",IF($B52&gt;$C$9,ROUND(C52/($C$8-COUNTIF(M$14:M51,"&gt;0")),0),0),IF($C$7="Pago Único al Final",C52,IF($B52&gt;$C$9,ROUND(PMT(K52,($C$8-COUNTIF(M$14:M51,"&gt;0")),-C52)-L52,0),0))))</f>
        <v>0</v>
      </c>
      <c r="N52" s="175">
        <f t="shared" si="8"/>
        <v>0</v>
      </c>
      <c r="O52" s="175">
        <f t="shared" si="9"/>
        <v>0</v>
      </c>
      <c r="P52" s="175">
        <f t="shared" si="10"/>
        <v>0</v>
      </c>
      <c r="Q52" s="175">
        <f t="shared" si="12"/>
        <v>0</v>
      </c>
      <c r="R52" s="374"/>
      <c r="S52" s="374"/>
      <c r="T52" s="375"/>
    </row>
    <row r="53" spans="1:20" x14ac:dyDescent="0.35">
      <c r="A53" s="43">
        <v>38</v>
      </c>
      <c r="B53" s="184">
        <v>43159</v>
      </c>
      <c r="C53" s="178">
        <f t="shared" si="11"/>
        <v>0</v>
      </c>
      <c r="D53" s="236">
        <f>VLOOKUP($B53,DTF!$B$9:$D$69,IF(Variables!$B$73=1,3,2),0)</f>
        <v>4.7500000000000001E-2</v>
      </c>
      <c r="E53" s="236">
        <f t="shared" si="1"/>
        <v>4.6138216898191912E-2</v>
      </c>
      <c r="F53" s="236">
        <f t="shared" si="13"/>
        <v>0.05</v>
      </c>
      <c r="G53" s="236">
        <f t="shared" si="2"/>
        <v>9.6138216898191908E-2</v>
      </c>
      <c r="H53" s="236">
        <f t="shared" si="3"/>
        <v>2.4034554224547977E-2</v>
      </c>
      <c r="I53" s="236">
        <f t="shared" si="4"/>
        <v>2.4626439725487774E-2</v>
      </c>
      <c r="J53" s="236">
        <f t="shared" si="5"/>
        <v>0.10220463585246886</v>
      </c>
      <c r="K53" s="236">
        <f t="shared" si="6"/>
        <v>8.1423356724401597E-3</v>
      </c>
      <c r="L53" s="175">
        <f t="shared" si="7"/>
        <v>0</v>
      </c>
      <c r="M53" s="175">
        <f>IF($C53=0,0,IF($C$7="Abono Fijo a Capital",IF($B53&gt;$C$9,ROUND(C53/($C$8-COUNTIF(M$14:M52,"&gt;0")),0),0),IF($C$7="Pago Único al Final",C53,IF($B53&gt;$C$9,ROUND(PMT(K53,($C$8-COUNTIF(M$14:M52,"&gt;0")),-C53)-L53,0),0))))</f>
        <v>0</v>
      </c>
      <c r="N53" s="175">
        <f t="shared" si="8"/>
        <v>0</v>
      </c>
      <c r="O53" s="175">
        <f t="shared" si="9"/>
        <v>0</v>
      </c>
      <c r="P53" s="175">
        <f t="shared" si="10"/>
        <v>0</v>
      </c>
      <c r="Q53" s="175">
        <f t="shared" si="12"/>
        <v>0</v>
      </c>
      <c r="R53" s="374"/>
      <c r="S53" s="374"/>
      <c r="T53" s="375"/>
    </row>
    <row r="54" spans="1:20" x14ac:dyDescent="0.35">
      <c r="A54" s="43">
        <v>39</v>
      </c>
      <c r="B54" s="184">
        <v>43190</v>
      </c>
      <c r="C54" s="178">
        <f t="shared" si="11"/>
        <v>0</v>
      </c>
      <c r="D54" s="236">
        <f>VLOOKUP($B54,DTF!$B$9:$D$69,IF(Variables!$B$73=1,3,2),0)</f>
        <v>4.7500000000000001E-2</v>
      </c>
      <c r="E54" s="236">
        <f t="shared" si="1"/>
        <v>4.6138216898191912E-2</v>
      </c>
      <c r="F54" s="236">
        <f t="shared" si="13"/>
        <v>0.05</v>
      </c>
      <c r="G54" s="236">
        <f t="shared" si="2"/>
        <v>9.6138216898191908E-2</v>
      </c>
      <c r="H54" s="236">
        <f t="shared" si="3"/>
        <v>2.4034554224547977E-2</v>
      </c>
      <c r="I54" s="236">
        <f t="shared" si="4"/>
        <v>2.4626439725487774E-2</v>
      </c>
      <c r="J54" s="236">
        <f t="shared" si="5"/>
        <v>0.10220463585246886</v>
      </c>
      <c r="K54" s="236">
        <f t="shared" si="6"/>
        <v>8.1423356724401597E-3</v>
      </c>
      <c r="L54" s="175">
        <f t="shared" si="7"/>
        <v>0</v>
      </c>
      <c r="M54" s="175">
        <f>IF($C54=0,0,IF($C$7="Abono Fijo a Capital",IF($B54&gt;$C$9,ROUND(C54/($C$8-COUNTIF(M$14:M53,"&gt;0")),0),0),IF($C$7="Pago Único al Final",C54,IF($B54&gt;$C$9,ROUND(PMT(K54,($C$8-COUNTIF(M$14:M53,"&gt;0")),-C54)-L54,0),0))))</f>
        <v>0</v>
      </c>
      <c r="N54" s="175">
        <f t="shared" si="8"/>
        <v>0</v>
      </c>
      <c r="O54" s="175">
        <f t="shared" si="9"/>
        <v>0</v>
      </c>
      <c r="P54" s="175">
        <f t="shared" si="10"/>
        <v>0</v>
      </c>
      <c r="Q54" s="175">
        <f t="shared" si="12"/>
        <v>0</v>
      </c>
      <c r="R54" s="374"/>
      <c r="S54" s="374"/>
      <c r="T54" s="375"/>
    </row>
    <row r="55" spans="1:20" x14ac:dyDescent="0.35">
      <c r="A55" s="43">
        <v>40</v>
      </c>
      <c r="B55" s="184">
        <v>43220</v>
      </c>
      <c r="C55" s="178">
        <f t="shared" si="11"/>
        <v>0</v>
      </c>
      <c r="D55" s="236">
        <f>VLOOKUP($B55,DTF!$B$9:$D$69,IF(Variables!$B$73=1,3,2),0)</f>
        <v>4.4999999999999998E-2</v>
      </c>
      <c r="E55" s="236">
        <f t="shared" si="1"/>
        <v>4.3775585558297421E-2</v>
      </c>
      <c r="F55" s="236">
        <f t="shared" si="13"/>
        <v>0.05</v>
      </c>
      <c r="G55" s="236">
        <f t="shared" si="2"/>
        <v>9.3775585558297431E-2</v>
      </c>
      <c r="H55" s="236">
        <f t="shared" si="3"/>
        <v>2.3443896389574358E-2</v>
      </c>
      <c r="I55" s="236">
        <f t="shared" si="4"/>
        <v>2.4006707144525467E-2</v>
      </c>
      <c r="J55" s="236">
        <f t="shared" si="5"/>
        <v>9.9540435025414542E-2</v>
      </c>
      <c r="K55" s="236">
        <f t="shared" si="6"/>
        <v>7.9390405549930598E-3</v>
      </c>
      <c r="L55" s="175">
        <f t="shared" si="7"/>
        <v>0</v>
      </c>
      <c r="M55" s="175">
        <f>IF($C55=0,0,IF($C$7="Abono Fijo a Capital",IF($B55&gt;$C$9,ROUND(C55/($C$8-COUNTIF(M$14:M54,"&gt;0")),0),0),IF($C$7="Pago Único al Final",C55,IF($B55&gt;$C$9,ROUND(PMT(K55,($C$8-COUNTIF(M$14:M54,"&gt;0")),-C55)-L55,0),0))))</f>
        <v>0</v>
      </c>
      <c r="N55" s="175">
        <f t="shared" si="8"/>
        <v>0</v>
      </c>
      <c r="O55" s="175">
        <f t="shared" si="9"/>
        <v>0</v>
      </c>
      <c r="P55" s="175">
        <f t="shared" si="10"/>
        <v>0</v>
      </c>
      <c r="Q55" s="175">
        <f t="shared" si="12"/>
        <v>0</v>
      </c>
      <c r="R55" s="374"/>
      <c r="S55" s="374"/>
      <c r="T55" s="375"/>
    </row>
    <row r="56" spans="1:20" x14ac:dyDescent="0.35">
      <c r="A56" s="43">
        <v>41</v>
      </c>
      <c r="B56" s="184">
        <v>43251</v>
      </c>
      <c r="C56" s="178">
        <f t="shared" si="11"/>
        <v>0</v>
      </c>
      <c r="D56" s="236">
        <f>VLOOKUP($B56,DTF!$B$9:$D$69,IF(Variables!$B$73=1,3,2),0)</f>
        <v>4.4999999999999998E-2</v>
      </c>
      <c r="E56" s="236">
        <f t="shared" si="1"/>
        <v>4.3775585558297421E-2</v>
      </c>
      <c r="F56" s="236">
        <f t="shared" si="13"/>
        <v>0.05</v>
      </c>
      <c r="G56" s="236">
        <f t="shared" si="2"/>
        <v>9.3775585558297431E-2</v>
      </c>
      <c r="H56" s="236">
        <f t="shared" si="3"/>
        <v>2.3443896389574358E-2</v>
      </c>
      <c r="I56" s="236">
        <f t="shared" si="4"/>
        <v>2.4006707144525467E-2</v>
      </c>
      <c r="J56" s="236">
        <f t="shared" si="5"/>
        <v>9.9540435025414542E-2</v>
      </c>
      <c r="K56" s="236">
        <f t="shared" si="6"/>
        <v>7.9390405549930598E-3</v>
      </c>
      <c r="L56" s="175">
        <f t="shared" si="7"/>
        <v>0</v>
      </c>
      <c r="M56" s="175">
        <f>IF($C56=0,0,IF($C$7="Abono Fijo a Capital",IF($B56&gt;$C$9,ROUND(C56/($C$8-COUNTIF(M$14:M55,"&gt;0")),0),0),IF($C$7="Pago Único al Final",C56,IF($B56&gt;$C$9,ROUND(PMT(K56,($C$8-COUNTIF(M$14:M55,"&gt;0")),-C56)-L56,0),0))))</f>
        <v>0</v>
      </c>
      <c r="N56" s="175">
        <f t="shared" si="8"/>
        <v>0</v>
      </c>
      <c r="O56" s="175">
        <f t="shared" si="9"/>
        <v>0</v>
      </c>
      <c r="P56" s="175">
        <f t="shared" si="10"/>
        <v>0</v>
      </c>
      <c r="Q56" s="175">
        <f t="shared" si="12"/>
        <v>0</v>
      </c>
      <c r="R56" s="374"/>
      <c r="S56" s="374"/>
      <c r="T56" s="375"/>
    </row>
    <row r="57" spans="1:20" x14ac:dyDescent="0.35">
      <c r="A57" s="43">
        <v>42</v>
      </c>
      <c r="B57" s="184">
        <v>43281</v>
      </c>
      <c r="C57" s="178">
        <f t="shared" si="11"/>
        <v>0</v>
      </c>
      <c r="D57" s="236">
        <f>VLOOKUP($B57,DTF!$B$9:$D$69,IF(Variables!$B$73=1,3,2),0)</f>
        <v>4.4999999999999998E-2</v>
      </c>
      <c r="E57" s="236">
        <f t="shared" si="1"/>
        <v>4.3775585558297421E-2</v>
      </c>
      <c r="F57" s="236">
        <f t="shared" si="13"/>
        <v>0.05</v>
      </c>
      <c r="G57" s="236">
        <f t="shared" si="2"/>
        <v>9.3775585558297431E-2</v>
      </c>
      <c r="H57" s="236">
        <f t="shared" si="3"/>
        <v>2.3443896389574358E-2</v>
      </c>
      <c r="I57" s="236">
        <f t="shared" si="4"/>
        <v>2.4006707144525467E-2</v>
      </c>
      <c r="J57" s="236">
        <f t="shared" si="5"/>
        <v>9.9540435025414542E-2</v>
      </c>
      <c r="K57" s="236">
        <f t="shared" si="6"/>
        <v>7.9390405549930598E-3</v>
      </c>
      <c r="L57" s="175">
        <f t="shared" si="7"/>
        <v>0</v>
      </c>
      <c r="M57" s="175">
        <f>IF($C57=0,0,IF($C$7="Abono Fijo a Capital",IF($B57&gt;$C$9,ROUND(C57/($C$8-COUNTIF(M$14:M56,"&gt;0")),0),0),IF($C$7="Pago Único al Final",C57,IF($B57&gt;$C$9,ROUND(PMT(K57,($C$8-COUNTIF(M$14:M56,"&gt;0")),-C57)-L57,0),0))))</f>
        <v>0</v>
      </c>
      <c r="N57" s="175">
        <f t="shared" si="8"/>
        <v>0</v>
      </c>
      <c r="O57" s="175">
        <f t="shared" si="9"/>
        <v>0</v>
      </c>
      <c r="P57" s="175">
        <f t="shared" si="10"/>
        <v>0</v>
      </c>
      <c r="Q57" s="175">
        <f t="shared" si="12"/>
        <v>0</v>
      </c>
      <c r="R57" s="374"/>
      <c r="S57" s="374"/>
      <c r="T57" s="375"/>
    </row>
    <row r="58" spans="1:20" x14ac:dyDescent="0.35">
      <c r="A58" s="43">
        <v>43</v>
      </c>
      <c r="B58" s="184">
        <v>43312</v>
      </c>
      <c r="C58" s="178">
        <f t="shared" si="11"/>
        <v>0</v>
      </c>
      <c r="D58" s="236">
        <f>VLOOKUP($B58,DTF!$B$9:$D$69,IF(Variables!$B$73=1,3,2),0)</f>
        <v>4.4999999999999998E-2</v>
      </c>
      <c r="E58" s="236">
        <f t="shared" si="1"/>
        <v>4.3775585558297421E-2</v>
      </c>
      <c r="F58" s="236">
        <f t="shared" si="13"/>
        <v>0.05</v>
      </c>
      <c r="G58" s="236">
        <f t="shared" si="2"/>
        <v>9.3775585558297431E-2</v>
      </c>
      <c r="H58" s="236">
        <f t="shared" si="3"/>
        <v>2.3443896389574358E-2</v>
      </c>
      <c r="I58" s="236">
        <f t="shared" si="4"/>
        <v>2.4006707144525467E-2</v>
      </c>
      <c r="J58" s="236">
        <f t="shared" si="5"/>
        <v>9.9540435025414542E-2</v>
      </c>
      <c r="K58" s="236">
        <f t="shared" si="6"/>
        <v>7.9390405549930598E-3</v>
      </c>
      <c r="L58" s="175">
        <f t="shared" si="7"/>
        <v>0</v>
      </c>
      <c r="M58" s="175">
        <f>IF($C58=0,0,IF($C$7="Abono Fijo a Capital",IF($B58&gt;$C$9,ROUND(C58/($C$8-COUNTIF(M$14:M57,"&gt;0")),0),0),IF($C$7="Pago Único al Final",C58,IF($B58&gt;$C$9,ROUND(PMT(K58,($C$8-COUNTIF(M$14:M57,"&gt;0")),-C58)-L58,0),0))))</f>
        <v>0</v>
      </c>
      <c r="N58" s="175">
        <f t="shared" si="8"/>
        <v>0</v>
      </c>
      <c r="O58" s="175">
        <f t="shared" si="9"/>
        <v>0</v>
      </c>
      <c r="P58" s="175">
        <f t="shared" si="10"/>
        <v>0</v>
      </c>
      <c r="Q58" s="175">
        <f t="shared" si="12"/>
        <v>0</v>
      </c>
      <c r="R58" s="374"/>
      <c r="S58" s="374"/>
      <c r="T58" s="375"/>
    </row>
    <row r="59" spans="1:20" x14ac:dyDescent="0.35">
      <c r="A59" s="43">
        <v>44</v>
      </c>
      <c r="B59" s="184">
        <v>43343</v>
      </c>
      <c r="C59" s="178">
        <f t="shared" si="11"/>
        <v>0</v>
      </c>
      <c r="D59" s="236">
        <f>VLOOKUP($B59,DTF!$B$9:$D$69,IF(Variables!$B$73=1,3,2),0)</f>
        <v>4.4999999999999998E-2</v>
      </c>
      <c r="E59" s="236">
        <f t="shared" si="1"/>
        <v>4.3775585558297421E-2</v>
      </c>
      <c r="F59" s="236">
        <f t="shared" si="13"/>
        <v>0.05</v>
      </c>
      <c r="G59" s="236">
        <f t="shared" si="2"/>
        <v>9.3775585558297431E-2</v>
      </c>
      <c r="H59" s="236">
        <f t="shared" si="3"/>
        <v>2.3443896389574358E-2</v>
      </c>
      <c r="I59" s="236">
        <f t="shared" si="4"/>
        <v>2.4006707144525467E-2</v>
      </c>
      <c r="J59" s="236">
        <f t="shared" si="5"/>
        <v>9.9540435025414542E-2</v>
      </c>
      <c r="K59" s="236">
        <f t="shared" si="6"/>
        <v>7.9390405549930598E-3</v>
      </c>
      <c r="L59" s="175">
        <f t="shared" si="7"/>
        <v>0</v>
      </c>
      <c r="M59" s="175">
        <f>IF($C59=0,0,IF($C$7="Abono Fijo a Capital",IF($B59&gt;$C$9,ROUND(C59/($C$8-COUNTIF(M$14:M58,"&gt;0")),0),0),IF($C$7="Pago Único al Final",C59,IF($B59&gt;$C$9,ROUND(PMT(K59,($C$8-COUNTIF(M$14:M58,"&gt;0")),-C59)-L59,0),0))))</f>
        <v>0</v>
      </c>
      <c r="N59" s="175">
        <f t="shared" si="8"/>
        <v>0</v>
      </c>
      <c r="O59" s="175">
        <f t="shared" si="9"/>
        <v>0</v>
      </c>
      <c r="P59" s="175">
        <f t="shared" si="10"/>
        <v>0</v>
      </c>
      <c r="Q59" s="175">
        <f t="shared" si="12"/>
        <v>0</v>
      </c>
      <c r="R59" s="374"/>
      <c r="S59" s="374"/>
      <c r="T59" s="375"/>
    </row>
    <row r="60" spans="1:20" x14ac:dyDescent="0.35">
      <c r="A60" s="43">
        <v>45</v>
      </c>
      <c r="B60" s="184">
        <v>43373</v>
      </c>
      <c r="C60" s="178">
        <f t="shared" si="11"/>
        <v>0</v>
      </c>
      <c r="D60" s="236">
        <f>VLOOKUP($B60,DTF!$B$9:$D$69,IF(Variables!$B$73=1,3,2),0)</f>
        <v>4.4999999999999998E-2</v>
      </c>
      <c r="E60" s="236">
        <f t="shared" si="1"/>
        <v>4.3775585558297421E-2</v>
      </c>
      <c r="F60" s="236">
        <f t="shared" si="13"/>
        <v>0.05</v>
      </c>
      <c r="G60" s="236">
        <f t="shared" si="2"/>
        <v>9.3775585558297431E-2</v>
      </c>
      <c r="H60" s="236">
        <f t="shared" si="3"/>
        <v>2.3443896389574358E-2</v>
      </c>
      <c r="I60" s="236">
        <f t="shared" si="4"/>
        <v>2.4006707144525467E-2</v>
      </c>
      <c r="J60" s="236">
        <f t="shared" si="5"/>
        <v>9.9540435025414542E-2</v>
      </c>
      <c r="K60" s="236">
        <f t="shared" si="6"/>
        <v>7.9390405549930598E-3</v>
      </c>
      <c r="L60" s="175">
        <f t="shared" si="7"/>
        <v>0</v>
      </c>
      <c r="M60" s="175">
        <f>IF($C60=0,0,IF($C$7="Abono Fijo a Capital",IF($B60&gt;$C$9,ROUND(C60/($C$8-COUNTIF(M$14:M59,"&gt;0")),0),0),IF($C$7="Pago Único al Final",C60,IF($B60&gt;$C$9,ROUND(PMT(K60,($C$8-COUNTIF(M$14:M59,"&gt;0")),-C60)-L60,0),0))))</f>
        <v>0</v>
      </c>
      <c r="N60" s="175">
        <f t="shared" si="8"/>
        <v>0</v>
      </c>
      <c r="O60" s="175">
        <f t="shared" si="9"/>
        <v>0</v>
      </c>
      <c r="P60" s="175">
        <f t="shared" si="10"/>
        <v>0</v>
      </c>
      <c r="Q60" s="175">
        <f t="shared" si="12"/>
        <v>0</v>
      </c>
      <c r="R60" s="374"/>
      <c r="S60" s="374"/>
      <c r="T60" s="375"/>
    </row>
    <row r="61" spans="1:20" x14ac:dyDescent="0.35">
      <c r="A61" s="43">
        <v>46</v>
      </c>
      <c r="B61" s="184">
        <v>43404</v>
      </c>
      <c r="C61" s="178">
        <f t="shared" si="11"/>
        <v>0</v>
      </c>
      <c r="D61" s="236">
        <f>VLOOKUP($B61,DTF!$B$9:$D$69,IF(Variables!$B$73=1,3,2),0)</f>
        <v>4.4999999999999998E-2</v>
      </c>
      <c r="E61" s="236">
        <f t="shared" si="1"/>
        <v>4.3775585558297421E-2</v>
      </c>
      <c r="F61" s="236">
        <f t="shared" si="13"/>
        <v>0.05</v>
      </c>
      <c r="G61" s="236">
        <f t="shared" si="2"/>
        <v>9.3775585558297431E-2</v>
      </c>
      <c r="H61" s="236">
        <f t="shared" si="3"/>
        <v>2.3443896389574358E-2</v>
      </c>
      <c r="I61" s="236">
        <f t="shared" si="4"/>
        <v>2.4006707144525467E-2</v>
      </c>
      <c r="J61" s="236">
        <f t="shared" si="5"/>
        <v>9.9540435025414542E-2</v>
      </c>
      <c r="K61" s="236">
        <f t="shared" si="6"/>
        <v>7.9390405549930598E-3</v>
      </c>
      <c r="L61" s="175">
        <f t="shared" si="7"/>
        <v>0</v>
      </c>
      <c r="M61" s="175">
        <f>IF($C61=0,0,IF($C$7="Abono Fijo a Capital",IF($B61&gt;$C$9,ROUND(C61/($C$8-COUNTIF(M$14:M60,"&gt;0")),0),0),IF($C$7="Pago Único al Final",C61,IF($B61&gt;$C$9,ROUND(PMT(K61,($C$8-COUNTIF(M$14:M60,"&gt;0")),-C61)-L61,0),0))))</f>
        <v>0</v>
      </c>
      <c r="N61" s="175">
        <f t="shared" si="8"/>
        <v>0</v>
      </c>
      <c r="O61" s="175">
        <f t="shared" si="9"/>
        <v>0</v>
      </c>
      <c r="P61" s="175">
        <f t="shared" si="10"/>
        <v>0</v>
      </c>
      <c r="Q61" s="175">
        <f t="shared" si="12"/>
        <v>0</v>
      </c>
      <c r="R61" s="374"/>
      <c r="S61" s="374"/>
      <c r="T61" s="375"/>
    </row>
    <row r="62" spans="1:20" x14ac:dyDescent="0.35">
      <c r="A62" s="43">
        <v>47</v>
      </c>
      <c r="B62" s="184">
        <v>43434</v>
      </c>
      <c r="C62" s="178">
        <f t="shared" si="11"/>
        <v>0</v>
      </c>
      <c r="D62" s="236">
        <f>VLOOKUP($B62,DTF!$B$9:$D$69,IF(Variables!$B$73=1,3,2),0)</f>
        <v>4.4999999999999998E-2</v>
      </c>
      <c r="E62" s="236">
        <f t="shared" si="1"/>
        <v>4.3775585558297421E-2</v>
      </c>
      <c r="F62" s="236">
        <f t="shared" si="13"/>
        <v>0.05</v>
      </c>
      <c r="G62" s="236">
        <f t="shared" si="2"/>
        <v>9.3775585558297431E-2</v>
      </c>
      <c r="H62" s="236">
        <f t="shared" si="3"/>
        <v>2.3443896389574358E-2</v>
      </c>
      <c r="I62" s="236">
        <f t="shared" si="4"/>
        <v>2.4006707144525467E-2</v>
      </c>
      <c r="J62" s="236">
        <f t="shared" si="5"/>
        <v>9.9540435025414542E-2</v>
      </c>
      <c r="K62" s="236">
        <f t="shared" si="6"/>
        <v>7.9390405549930598E-3</v>
      </c>
      <c r="L62" s="175">
        <f t="shared" si="7"/>
        <v>0</v>
      </c>
      <c r="M62" s="175">
        <f>IF($C62=0,0,IF($C$7="Abono Fijo a Capital",IF($B62&gt;$C$9,ROUND(C62/($C$8-COUNTIF(M$14:M61,"&gt;0")),0),0),IF($C$7="Pago Único al Final",C62,IF($B62&gt;$C$9,ROUND(PMT(K62,($C$8-COUNTIF(M$14:M61,"&gt;0")),-C62)-L62,0),0))))</f>
        <v>0</v>
      </c>
      <c r="N62" s="175">
        <f t="shared" si="8"/>
        <v>0</v>
      </c>
      <c r="O62" s="175">
        <f t="shared" si="9"/>
        <v>0</v>
      </c>
      <c r="P62" s="175">
        <f t="shared" si="10"/>
        <v>0</v>
      </c>
      <c r="Q62" s="175">
        <f t="shared" si="12"/>
        <v>0</v>
      </c>
      <c r="R62" s="374"/>
      <c r="S62" s="374"/>
      <c r="T62" s="375"/>
    </row>
    <row r="63" spans="1:20" x14ac:dyDescent="0.35">
      <c r="A63" s="43">
        <v>48</v>
      </c>
      <c r="B63" s="184">
        <v>43465</v>
      </c>
      <c r="C63" s="178">
        <f t="shared" si="11"/>
        <v>0</v>
      </c>
      <c r="D63" s="236">
        <f>VLOOKUP($B63,DTF!$B$9:$D$69,IF(Variables!$B$73=1,3,2),0)</f>
        <v>4.4999999999999998E-2</v>
      </c>
      <c r="E63" s="236">
        <f t="shared" si="1"/>
        <v>4.3775585558297421E-2</v>
      </c>
      <c r="F63" s="236">
        <f t="shared" si="13"/>
        <v>0.05</v>
      </c>
      <c r="G63" s="236">
        <f t="shared" si="2"/>
        <v>9.3775585558297431E-2</v>
      </c>
      <c r="H63" s="236">
        <f t="shared" si="3"/>
        <v>2.3443896389574358E-2</v>
      </c>
      <c r="I63" s="236">
        <f t="shared" si="4"/>
        <v>2.4006707144525467E-2</v>
      </c>
      <c r="J63" s="236">
        <f t="shared" si="5"/>
        <v>9.9540435025414542E-2</v>
      </c>
      <c r="K63" s="236">
        <f t="shared" si="6"/>
        <v>7.9390405549930598E-3</v>
      </c>
      <c r="L63" s="175">
        <f t="shared" si="7"/>
        <v>0</v>
      </c>
      <c r="M63" s="175">
        <f>IF($C63=0,0,IF($C$7="Abono Fijo a Capital",IF($B63&gt;$C$9,ROUND(C63/($C$8-COUNTIF(M$14:M62,"&gt;0")),0),0),IF($C$7="Pago Único al Final",C63,IF($B63&gt;$C$9,ROUND(PMT(K63,($C$8-COUNTIF(M$14:M62,"&gt;0")),-C63)-L63,0),0))))</f>
        <v>0</v>
      </c>
      <c r="N63" s="175">
        <f t="shared" si="8"/>
        <v>0</v>
      </c>
      <c r="O63" s="175">
        <f t="shared" si="9"/>
        <v>0</v>
      </c>
      <c r="P63" s="175">
        <f t="shared" si="10"/>
        <v>0</v>
      </c>
      <c r="Q63" s="175">
        <f t="shared" si="12"/>
        <v>0</v>
      </c>
      <c r="R63" s="374"/>
      <c r="S63" s="374"/>
      <c r="T63" s="375"/>
    </row>
    <row r="64" spans="1:20" x14ac:dyDescent="0.35">
      <c r="A64" s="43">
        <v>49</v>
      </c>
      <c r="B64" s="184">
        <v>43496</v>
      </c>
      <c r="C64" s="178">
        <f t="shared" si="11"/>
        <v>0</v>
      </c>
      <c r="D64" s="236">
        <f>VLOOKUP($B64,DTF!$B$9:$D$69,IF(Variables!$B$73=1,3,2),0)</f>
        <v>4.4999999999999998E-2</v>
      </c>
      <c r="E64" s="236">
        <f t="shared" si="1"/>
        <v>4.3775585558297421E-2</v>
      </c>
      <c r="F64" s="236">
        <f t="shared" si="13"/>
        <v>0.05</v>
      </c>
      <c r="G64" s="236">
        <f t="shared" si="2"/>
        <v>9.3775585558297431E-2</v>
      </c>
      <c r="H64" s="236">
        <f t="shared" si="3"/>
        <v>2.3443896389574358E-2</v>
      </c>
      <c r="I64" s="236">
        <f t="shared" si="4"/>
        <v>2.4006707144525467E-2</v>
      </c>
      <c r="J64" s="236">
        <f t="shared" si="5"/>
        <v>9.9540435025414542E-2</v>
      </c>
      <c r="K64" s="236">
        <f t="shared" si="6"/>
        <v>7.9390405549930598E-3</v>
      </c>
      <c r="L64" s="175">
        <f t="shared" si="7"/>
        <v>0</v>
      </c>
      <c r="M64" s="175">
        <f>IF($C64=0,0,IF($C$7="Abono Fijo a Capital",IF($B64&gt;$C$9,ROUND(C64/($C$8-COUNTIF(M$14:M63,"&gt;0")),0),0),IF($C$7="Pago Único al Final",C64,IF($B64&gt;$C$9,ROUND(PMT(K64,($C$8-COUNTIF(M$14:M63,"&gt;0")),-C64)-L64,0),0))))</f>
        <v>0</v>
      </c>
      <c r="N64" s="175">
        <f t="shared" si="8"/>
        <v>0</v>
      </c>
      <c r="O64" s="175">
        <f t="shared" si="9"/>
        <v>0</v>
      </c>
      <c r="P64" s="175">
        <f t="shared" si="10"/>
        <v>0</v>
      </c>
      <c r="Q64" s="175">
        <f t="shared" si="12"/>
        <v>0</v>
      </c>
      <c r="R64" s="374"/>
      <c r="S64" s="374"/>
      <c r="T64" s="375"/>
    </row>
    <row r="65" spans="1:20" x14ac:dyDescent="0.35">
      <c r="A65" s="43">
        <v>50</v>
      </c>
      <c r="B65" s="184">
        <v>43524</v>
      </c>
      <c r="C65" s="178">
        <f t="shared" si="11"/>
        <v>0</v>
      </c>
      <c r="D65" s="236">
        <f>VLOOKUP($B65,DTF!$B$9:$D$69,IF(Variables!$B$73=1,3,2),0)</f>
        <v>4.4999999999999998E-2</v>
      </c>
      <c r="E65" s="236">
        <f t="shared" si="1"/>
        <v>4.3775585558297421E-2</v>
      </c>
      <c r="F65" s="236">
        <f t="shared" si="13"/>
        <v>0.05</v>
      </c>
      <c r="G65" s="236">
        <f t="shared" si="2"/>
        <v>9.3775585558297431E-2</v>
      </c>
      <c r="H65" s="236">
        <f t="shared" si="3"/>
        <v>2.3443896389574358E-2</v>
      </c>
      <c r="I65" s="236">
        <f t="shared" si="4"/>
        <v>2.4006707144525467E-2</v>
      </c>
      <c r="J65" s="236">
        <f t="shared" si="5"/>
        <v>9.9540435025414542E-2</v>
      </c>
      <c r="K65" s="236">
        <f t="shared" si="6"/>
        <v>7.9390405549930598E-3</v>
      </c>
      <c r="L65" s="175">
        <f t="shared" si="7"/>
        <v>0</v>
      </c>
      <c r="M65" s="175">
        <f>IF($C65=0,0,IF($C$7="Abono Fijo a Capital",IF($B65&gt;$C$9,ROUND(C65/($C$8-COUNTIF(M$14:M64,"&gt;0")),0),0),IF($C$7="Pago Único al Final",C65,IF($B65&gt;$C$9,ROUND(PMT(K65,($C$8-COUNTIF(M$14:M64,"&gt;0")),-C65)-L65,0),0))))</f>
        <v>0</v>
      </c>
      <c r="N65" s="175">
        <f t="shared" si="8"/>
        <v>0</v>
      </c>
      <c r="O65" s="175">
        <f t="shared" si="9"/>
        <v>0</v>
      </c>
      <c r="P65" s="175">
        <f t="shared" si="10"/>
        <v>0</v>
      </c>
      <c r="Q65" s="175">
        <f t="shared" si="12"/>
        <v>0</v>
      </c>
      <c r="R65" s="374"/>
      <c r="S65" s="374"/>
      <c r="T65" s="375"/>
    </row>
    <row r="66" spans="1:20" x14ac:dyDescent="0.35">
      <c r="A66" s="43">
        <v>51</v>
      </c>
      <c r="B66" s="184">
        <v>43555</v>
      </c>
      <c r="C66" s="178">
        <f t="shared" si="11"/>
        <v>0</v>
      </c>
      <c r="D66" s="236">
        <f>VLOOKUP($B66,DTF!$B$9:$D$69,IF(Variables!$B$73=1,3,2),0)</f>
        <v>4.4999999999999998E-2</v>
      </c>
      <c r="E66" s="236">
        <f t="shared" si="1"/>
        <v>4.3775585558297421E-2</v>
      </c>
      <c r="F66" s="236">
        <f t="shared" si="13"/>
        <v>0.05</v>
      </c>
      <c r="G66" s="236">
        <f t="shared" si="2"/>
        <v>9.3775585558297431E-2</v>
      </c>
      <c r="H66" s="236">
        <f t="shared" si="3"/>
        <v>2.3443896389574358E-2</v>
      </c>
      <c r="I66" s="236">
        <f t="shared" si="4"/>
        <v>2.4006707144525467E-2</v>
      </c>
      <c r="J66" s="236">
        <f t="shared" si="5"/>
        <v>9.9540435025414542E-2</v>
      </c>
      <c r="K66" s="236">
        <f t="shared" si="6"/>
        <v>7.9390405549930598E-3</v>
      </c>
      <c r="L66" s="175">
        <f t="shared" si="7"/>
        <v>0</v>
      </c>
      <c r="M66" s="175">
        <f>IF($C66=0,0,IF($C$7="Abono Fijo a Capital",IF($B66&gt;$C$9,ROUND(C66/($C$8-COUNTIF(M$14:M65,"&gt;0")),0),0),IF($C$7="Pago Único al Final",C66,IF($B66&gt;$C$9,ROUND(PMT(K66,($C$8-COUNTIF(M$14:M65,"&gt;0")),-C66)-L66,0),0))))</f>
        <v>0</v>
      </c>
      <c r="N66" s="175">
        <f t="shared" si="8"/>
        <v>0</v>
      </c>
      <c r="O66" s="175">
        <f t="shared" si="9"/>
        <v>0</v>
      </c>
      <c r="P66" s="175">
        <f t="shared" si="10"/>
        <v>0</v>
      </c>
      <c r="Q66" s="175">
        <f t="shared" si="12"/>
        <v>0</v>
      </c>
      <c r="R66" s="374"/>
      <c r="S66" s="374"/>
      <c r="T66" s="375"/>
    </row>
    <row r="67" spans="1:20" x14ac:dyDescent="0.35">
      <c r="A67" s="43">
        <v>52</v>
      </c>
      <c r="B67" s="184">
        <v>43585</v>
      </c>
      <c r="C67" s="178">
        <f t="shared" si="11"/>
        <v>0</v>
      </c>
      <c r="D67" s="236">
        <f>VLOOKUP($B67,DTF!$B$9:$D$69,IF(Variables!$B$73=1,3,2),0)</f>
        <v>4.7500000000000001E-2</v>
      </c>
      <c r="E67" s="236">
        <f t="shared" si="1"/>
        <v>4.6138216898191912E-2</v>
      </c>
      <c r="F67" s="236">
        <f t="shared" si="13"/>
        <v>0.05</v>
      </c>
      <c r="G67" s="236">
        <f t="shared" si="2"/>
        <v>9.6138216898191908E-2</v>
      </c>
      <c r="H67" s="236">
        <f t="shared" si="3"/>
        <v>2.4034554224547977E-2</v>
      </c>
      <c r="I67" s="236">
        <f t="shared" si="4"/>
        <v>2.4626439725487774E-2</v>
      </c>
      <c r="J67" s="236">
        <f t="shared" si="5"/>
        <v>0.10220463585246886</v>
      </c>
      <c r="K67" s="236">
        <f t="shared" si="6"/>
        <v>8.1423356724401597E-3</v>
      </c>
      <c r="L67" s="175">
        <f t="shared" si="7"/>
        <v>0</v>
      </c>
      <c r="M67" s="175">
        <f>IF($C67=0,0,IF($C$7="Abono Fijo a Capital",IF($B67&gt;$C$9,ROUND(C67/($C$8-COUNTIF(M$14:M66,"&gt;0")),0),0),IF($C$7="Pago Único al Final",C67,IF($B67&gt;$C$9,ROUND(PMT(K67,($C$8-COUNTIF(M$14:M66,"&gt;0")),-C67)-L67,0),0))))</f>
        <v>0</v>
      </c>
      <c r="N67" s="175">
        <f t="shared" si="8"/>
        <v>0</v>
      </c>
      <c r="O67" s="175">
        <f t="shared" si="9"/>
        <v>0</v>
      </c>
      <c r="P67" s="175">
        <f t="shared" si="10"/>
        <v>0</v>
      </c>
      <c r="Q67" s="175">
        <f t="shared" si="12"/>
        <v>0</v>
      </c>
      <c r="R67" s="374"/>
      <c r="S67" s="374"/>
      <c r="T67" s="375"/>
    </row>
    <row r="68" spans="1:20" x14ac:dyDescent="0.35">
      <c r="A68" s="43">
        <v>53</v>
      </c>
      <c r="B68" s="184">
        <v>43616</v>
      </c>
      <c r="C68" s="178">
        <f t="shared" si="11"/>
        <v>0</v>
      </c>
      <c r="D68" s="236">
        <f>VLOOKUP($B68,DTF!$B$9:$D$69,IF(Variables!$B$73=1,3,2),0)</f>
        <v>4.7500000000000001E-2</v>
      </c>
      <c r="E68" s="236">
        <f t="shared" si="1"/>
        <v>4.6138216898191912E-2</v>
      </c>
      <c r="F68" s="236">
        <f t="shared" si="13"/>
        <v>0.05</v>
      </c>
      <c r="G68" s="236">
        <f t="shared" si="2"/>
        <v>9.6138216898191908E-2</v>
      </c>
      <c r="H68" s="236">
        <f t="shared" si="3"/>
        <v>2.4034554224547977E-2</v>
      </c>
      <c r="I68" s="236">
        <f t="shared" si="4"/>
        <v>2.4626439725487774E-2</v>
      </c>
      <c r="J68" s="236">
        <f t="shared" si="5"/>
        <v>0.10220463585246886</v>
      </c>
      <c r="K68" s="236">
        <f t="shared" si="6"/>
        <v>8.1423356724401597E-3</v>
      </c>
      <c r="L68" s="175">
        <f t="shared" si="7"/>
        <v>0</v>
      </c>
      <c r="M68" s="175">
        <f>IF($C68=0,0,IF($C$7="Abono Fijo a Capital",IF($B68&gt;$C$9,ROUND(C68/($C$8-COUNTIF(M$14:M67,"&gt;0")),0),0),IF($C$7="Pago Único al Final",C68,IF($B68&gt;$C$9,ROUND(PMT(K68,($C$8-COUNTIF(M$14:M67,"&gt;0")),-C68)-L68,0),0))))</f>
        <v>0</v>
      </c>
      <c r="N68" s="175">
        <f t="shared" si="8"/>
        <v>0</v>
      </c>
      <c r="O68" s="175">
        <f t="shared" si="9"/>
        <v>0</v>
      </c>
      <c r="P68" s="175">
        <f t="shared" si="10"/>
        <v>0</v>
      </c>
      <c r="Q68" s="175">
        <f t="shared" si="12"/>
        <v>0</v>
      </c>
      <c r="R68" s="374"/>
      <c r="S68" s="374"/>
      <c r="T68" s="375"/>
    </row>
    <row r="69" spans="1:20" x14ac:dyDescent="0.35">
      <c r="A69" s="43">
        <v>54</v>
      </c>
      <c r="B69" s="184">
        <v>43646</v>
      </c>
      <c r="C69" s="178">
        <f t="shared" si="11"/>
        <v>0</v>
      </c>
      <c r="D69" s="236">
        <f>VLOOKUP($B69,DTF!$B$9:$D$69,IF(Variables!$B$73=1,3,2),0)</f>
        <v>4.7500000000000001E-2</v>
      </c>
      <c r="E69" s="236">
        <f t="shared" si="1"/>
        <v>4.6138216898191912E-2</v>
      </c>
      <c r="F69" s="236">
        <f t="shared" si="13"/>
        <v>0.05</v>
      </c>
      <c r="G69" s="236">
        <f t="shared" si="2"/>
        <v>9.6138216898191908E-2</v>
      </c>
      <c r="H69" s="236">
        <f t="shared" si="3"/>
        <v>2.4034554224547977E-2</v>
      </c>
      <c r="I69" s="236">
        <f t="shared" si="4"/>
        <v>2.4626439725487774E-2</v>
      </c>
      <c r="J69" s="236">
        <f t="shared" si="5"/>
        <v>0.10220463585246886</v>
      </c>
      <c r="K69" s="236">
        <f t="shared" si="6"/>
        <v>8.1423356724401597E-3</v>
      </c>
      <c r="L69" s="175">
        <f t="shared" si="7"/>
        <v>0</v>
      </c>
      <c r="M69" s="175">
        <f>IF($C69=0,0,IF($C$7="Abono Fijo a Capital",IF($B69&gt;$C$9,ROUND(C69/($C$8-COUNTIF(M$14:M68,"&gt;0")),0),0),IF($C$7="Pago Único al Final",C69,IF($B69&gt;$C$9,ROUND(PMT(K69,($C$8-COUNTIF(M$14:M68,"&gt;0")),-C69)-L69,0),0))))</f>
        <v>0</v>
      </c>
      <c r="N69" s="175">
        <f t="shared" si="8"/>
        <v>0</v>
      </c>
      <c r="O69" s="175">
        <f t="shared" si="9"/>
        <v>0</v>
      </c>
      <c r="P69" s="175">
        <f t="shared" si="10"/>
        <v>0</v>
      </c>
      <c r="Q69" s="175">
        <f t="shared" si="12"/>
        <v>0</v>
      </c>
      <c r="R69" s="374"/>
      <c r="S69" s="374"/>
      <c r="T69" s="375"/>
    </row>
    <row r="70" spans="1:20" x14ac:dyDescent="0.35">
      <c r="A70" s="43">
        <v>55</v>
      </c>
      <c r="B70" s="184">
        <v>43677</v>
      </c>
      <c r="C70" s="178">
        <f t="shared" si="11"/>
        <v>0</v>
      </c>
      <c r="D70" s="236">
        <f>VLOOKUP($B70,DTF!$B$9:$D$69,IF(Variables!$B$73=1,3,2),0)</f>
        <v>0.05</v>
      </c>
      <c r="E70" s="236">
        <f t="shared" si="1"/>
        <v>4.8493810307703902E-2</v>
      </c>
      <c r="F70" s="236">
        <f t="shared" si="13"/>
        <v>0.05</v>
      </c>
      <c r="G70" s="236">
        <f t="shared" si="2"/>
        <v>9.8493810307703905E-2</v>
      </c>
      <c r="H70" s="236">
        <f t="shared" si="3"/>
        <v>2.4623452576925976E-2</v>
      </c>
      <c r="I70" s="236">
        <f t="shared" si="4"/>
        <v>2.5245073445717619E-2</v>
      </c>
      <c r="J70" s="236">
        <f t="shared" si="5"/>
        <v>0.10486893847936174</v>
      </c>
      <c r="K70" s="236">
        <f t="shared" si="6"/>
        <v>8.3451885837204642E-3</v>
      </c>
      <c r="L70" s="175">
        <f t="shared" si="7"/>
        <v>0</v>
      </c>
      <c r="M70" s="175">
        <f>IF($C70=0,0,IF($C$7="Abono Fijo a Capital",IF($B70&gt;$C$9,ROUND(C70/($C$8-COUNTIF(M$14:M69,"&gt;0")),0),0),IF($C$7="Pago Único al Final",C70,IF($B70&gt;$C$9,ROUND(PMT(K70,($C$8-COUNTIF(M$14:M69,"&gt;0")),-C70)-L70,0),0))))</f>
        <v>0</v>
      </c>
      <c r="N70" s="175">
        <f t="shared" si="8"/>
        <v>0</v>
      </c>
      <c r="O70" s="175">
        <f t="shared" si="9"/>
        <v>0</v>
      </c>
      <c r="P70" s="175">
        <f t="shared" si="10"/>
        <v>0</v>
      </c>
      <c r="Q70" s="175">
        <f t="shared" si="12"/>
        <v>0</v>
      </c>
      <c r="R70" s="374"/>
      <c r="S70" s="374"/>
      <c r="T70" s="375"/>
    </row>
    <row r="71" spans="1:20" x14ac:dyDescent="0.35">
      <c r="A71" s="43">
        <v>56</v>
      </c>
      <c r="B71" s="184">
        <v>43708</v>
      </c>
      <c r="C71" s="178">
        <f t="shared" si="11"/>
        <v>0</v>
      </c>
      <c r="D71" s="236">
        <f>VLOOKUP($B71,DTF!$B$9:$D$69,IF(Variables!$B$73=1,3,2),0)</f>
        <v>0.05</v>
      </c>
      <c r="E71" s="236">
        <f t="shared" si="1"/>
        <v>4.8493810307703902E-2</v>
      </c>
      <c r="F71" s="236">
        <f t="shared" si="13"/>
        <v>0.05</v>
      </c>
      <c r="G71" s="236">
        <f t="shared" si="2"/>
        <v>9.8493810307703905E-2</v>
      </c>
      <c r="H71" s="236">
        <f t="shared" si="3"/>
        <v>2.4623452576925976E-2</v>
      </c>
      <c r="I71" s="236">
        <f t="shared" si="4"/>
        <v>2.5245073445717619E-2</v>
      </c>
      <c r="J71" s="236">
        <f t="shared" si="5"/>
        <v>0.10486893847936174</v>
      </c>
      <c r="K71" s="236">
        <f t="shared" si="6"/>
        <v>8.3451885837204642E-3</v>
      </c>
      <c r="L71" s="175">
        <f t="shared" si="7"/>
        <v>0</v>
      </c>
      <c r="M71" s="175">
        <f>IF($C71=0,0,IF($C$7="Abono Fijo a Capital",IF($B71&gt;$C$9,ROUND(C71/($C$8-COUNTIF(M$14:M70,"&gt;0")),0),0),IF($C$7="Pago Único al Final",C71,IF($B71&gt;$C$9,ROUND(PMT(K71,($C$8-COUNTIF(M$14:M70,"&gt;0")),-C71)-L71,0),0))))</f>
        <v>0</v>
      </c>
      <c r="N71" s="175">
        <f t="shared" si="8"/>
        <v>0</v>
      </c>
      <c r="O71" s="175">
        <f t="shared" si="9"/>
        <v>0</v>
      </c>
      <c r="P71" s="175">
        <f t="shared" si="10"/>
        <v>0</v>
      </c>
      <c r="Q71" s="175">
        <f t="shared" si="12"/>
        <v>0</v>
      </c>
      <c r="R71" s="374"/>
      <c r="S71" s="374"/>
      <c r="T71" s="375"/>
    </row>
    <row r="72" spans="1:20" x14ac:dyDescent="0.35">
      <c r="A72" s="43">
        <v>57</v>
      </c>
      <c r="B72" s="184">
        <v>43738</v>
      </c>
      <c r="C72" s="178">
        <f t="shared" si="11"/>
        <v>0</v>
      </c>
      <c r="D72" s="236">
        <f>VLOOKUP($B72,DTF!$B$9:$D$69,IF(Variables!$B$73=1,3,2),0)</f>
        <v>0.05</v>
      </c>
      <c r="E72" s="236">
        <f t="shared" si="1"/>
        <v>4.8493810307703902E-2</v>
      </c>
      <c r="F72" s="236">
        <f t="shared" si="13"/>
        <v>0.05</v>
      </c>
      <c r="G72" s="236">
        <f t="shared" si="2"/>
        <v>9.8493810307703905E-2</v>
      </c>
      <c r="H72" s="236">
        <f t="shared" si="3"/>
        <v>2.4623452576925976E-2</v>
      </c>
      <c r="I72" s="236">
        <f t="shared" si="4"/>
        <v>2.5245073445717619E-2</v>
      </c>
      <c r="J72" s="236">
        <f t="shared" si="5"/>
        <v>0.10486893847936174</v>
      </c>
      <c r="K72" s="236">
        <f t="shared" si="6"/>
        <v>8.3451885837204642E-3</v>
      </c>
      <c r="L72" s="175">
        <f t="shared" si="7"/>
        <v>0</v>
      </c>
      <c r="M72" s="175">
        <f>IF($C72=0,0,IF($C$7="Abono Fijo a Capital",IF($B72&gt;$C$9,ROUND(C72/($C$8-COUNTIF(M$14:M71,"&gt;0")),0),0),IF($C$7="Pago Único al Final",C72,IF($B72&gt;$C$9,ROUND(PMT(K72,($C$8-COUNTIF(M$14:M71,"&gt;0")),-C72)-L72,0),0))))</f>
        <v>0</v>
      </c>
      <c r="N72" s="175">
        <f t="shared" si="8"/>
        <v>0</v>
      </c>
      <c r="O72" s="175">
        <f t="shared" si="9"/>
        <v>0</v>
      </c>
      <c r="P72" s="175">
        <f t="shared" si="10"/>
        <v>0</v>
      </c>
      <c r="Q72" s="175">
        <f t="shared" si="12"/>
        <v>0</v>
      </c>
      <c r="R72" s="374"/>
      <c r="S72" s="374"/>
      <c r="T72" s="375"/>
    </row>
    <row r="73" spans="1:20" x14ac:dyDescent="0.35">
      <c r="A73" s="43">
        <v>58</v>
      </c>
      <c r="B73" s="184">
        <v>43769</v>
      </c>
      <c r="C73" s="178">
        <f t="shared" si="11"/>
        <v>0</v>
      </c>
      <c r="D73" s="236">
        <f>VLOOKUP($B73,DTF!$B$9:$D$69,IF(Variables!$B$73=1,3,2),0)</f>
        <v>5.2500000000000005E-2</v>
      </c>
      <c r="E73" s="236">
        <f t="shared" si="1"/>
        <v>5.0842403434051039E-2</v>
      </c>
      <c r="F73" s="236">
        <f t="shared" si="13"/>
        <v>0.05</v>
      </c>
      <c r="G73" s="236">
        <f t="shared" si="2"/>
        <v>0.10084240343405104</v>
      </c>
      <c r="H73" s="236">
        <f t="shared" si="3"/>
        <v>2.5210600858512761E-2</v>
      </c>
      <c r="I73" s="236">
        <f t="shared" si="4"/>
        <v>2.586261286870389E-2</v>
      </c>
      <c r="J73" s="236">
        <f t="shared" si="5"/>
        <v>0.10753334272890536</v>
      </c>
      <c r="K73" s="236">
        <f t="shared" si="6"/>
        <v>8.547601301403418E-3</v>
      </c>
      <c r="L73" s="175">
        <f t="shared" si="7"/>
        <v>0</v>
      </c>
      <c r="M73" s="175">
        <f>IF($C73=0,0,IF($C$7="Abono Fijo a Capital",IF($B73&gt;$C$9,ROUND(C73/($C$8-COUNTIF(M$14:M72,"&gt;0")),0),0),IF($C$7="Pago Único al Final",C73,IF($B73&gt;$C$9,ROUND(PMT(K73,($C$8-COUNTIF(M$14:M72,"&gt;0")),-C73)-L73,0),0))))</f>
        <v>0</v>
      </c>
      <c r="N73" s="175">
        <f t="shared" si="8"/>
        <v>0</v>
      </c>
      <c r="O73" s="175">
        <f t="shared" si="9"/>
        <v>0</v>
      </c>
      <c r="P73" s="175">
        <f t="shared" si="10"/>
        <v>0</v>
      </c>
      <c r="Q73" s="175">
        <f t="shared" si="12"/>
        <v>0</v>
      </c>
      <c r="R73" s="374"/>
      <c r="S73" s="374"/>
      <c r="T73" s="375"/>
    </row>
    <row r="74" spans="1:20" x14ac:dyDescent="0.35">
      <c r="A74" s="43">
        <v>59</v>
      </c>
      <c r="B74" s="184">
        <v>43799</v>
      </c>
      <c r="C74" s="178">
        <f t="shared" si="11"/>
        <v>0</v>
      </c>
      <c r="D74" s="236">
        <f>VLOOKUP($B74,DTF!$B$9:$D$69,IF(Variables!$B$73=1,3,2),0)</f>
        <v>5.2500000000000005E-2</v>
      </c>
      <c r="E74" s="236">
        <f t="shared" si="1"/>
        <v>5.0842403434051039E-2</v>
      </c>
      <c r="F74" s="236">
        <f t="shared" si="13"/>
        <v>0.05</v>
      </c>
      <c r="G74" s="236">
        <f t="shared" si="2"/>
        <v>0.10084240343405104</v>
      </c>
      <c r="H74" s="236">
        <f t="shared" si="3"/>
        <v>2.5210600858512761E-2</v>
      </c>
      <c r="I74" s="236">
        <f t="shared" si="4"/>
        <v>2.586261286870389E-2</v>
      </c>
      <c r="J74" s="236">
        <f t="shared" si="5"/>
        <v>0.10753334272890536</v>
      </c>
      <c r="K74" s="236">
        <f t="shared" si="6"/>
        <v>8.547601301403418E-3</v>
      </c>
      <c r="L74" s="175">
        <f t="shared" si="7"/>
        <v>0</v>
      </c>
      <c r="M74" s="175">
        <f>IF($C74=0,0,IF($C$7="Abono Fijo a Capital",IF($B74&gt;$C$9,ROUND(C74/($C$8-COUNTIF(M$14:M73,"&gt;0")),0),0),IF($C$7="Pago Único al Final",C74,IF($B74&gt;$C$9,ROUND(PMT(K74,($C$8-COUNTIF(M$14:M73,"&gt;0")),-C74)-L74,0),0))))</f>
        <v>0</v>
      </c>
      <c r="N74" s="175">
        <f t="shared" si="8"/>
        <v>0</v>
      </c>
      <c r="O74" s="175">
        <f t="shared" si="9"/>
        <v>0</v>
      </c>
      <c r="P74" s="175">
        <f t="shared" si="10"/>
        <v>0</v>
      </c>
      <c r="Q74" s="175">
        <f t="shared" si="12"/>
        <v>0</v>
      </c>
      <c r="R74" s="374"/>
      <c r="S74" s="374"/>
      <c r="T74" s="375"/>
    </row>
    <row r="75" spans="1:20" x14ac:dyDescent="0.35">
      <c r="A75" s="43">
        <v>60</v>
      </c>
      <c r="B75" s="184">
        <v>43830</v>
      </c>
      <c r="C75" s="178">
        <f t="shared" si="11"/>
        <v>0</v>
      </c>
      <c r="D75" s="236">
        <f>VLOOKUP($B75,DTF!$B$9:$D$69,IF(Variables!$B$73=1,3,2),0)</f>
        <v>5.2500000000000005E-2</v>
      </c>
      <c r="E75" s="236">
        <f t="shared" si="1"/>
        <v>5.0842403434051039E-2</v>
      </c>
      <c r="F75" s="236">
        <f t="shared" si="13"/>
        <v>0.05</v>
      </c>
      <c r="G75" s="236">
        <f t="shared" si="2"/>
        <v>0.10084240343405104</v>
      </c>
      <c r="H75" s="236">
        <f t="shared" si="3"/>
        <v>2.5210600858512761E-2</v>
      </c>
      <c r="I75" s="236">
        <f t="shared" si="4"/>
        <v>2.586261286870389E-2</v>
      </c>
      <c r="J75" s="236">
        <f t="shared" si="5"/>
        <v>0.10753334272890536</v>
      </c>
      <c r="K75" s="236">
        <f t="shared" si="6"/>
        <v>8.547601301403418E-3</v>
      </c>
      <c r="L75" s="175">
        <f t="shared" si="7"/>
        <v>0</v>
      </c>
      <c r="M75" s="175">
        <f>IF($C75=0,0,IF($C$7="Abono Fijo a Capital",IF($B75&gt;$C$9,ROUND(C75/($C$8-COUNTIF(M$14:M74,"&gt;0")),0),0),IF($C$7="Pago Único al Final",C75,IF($B75&gt;$C$9,ROUND(PMT(K75,($C$8-COUNTIF(M$14:M74,"&gt;0")),-C75)-L75,0),0))))</f>
        <v>0</v>
      </c>
      <c r="N75" s="175">
        <f t="shared" si="8"/>
        <v>0</v>
      </c>
      <c r="O75" s="175">
        <f t="shared" si="9"/>
        <v>0</v>
      </c>
      <c r="P75" s="175">
        <f t="shared" si="10"/>
        <v>0</v>
      </c>
      <c r="Q75" s="175">
        <f t="shared" si="12"/>
        <v>0</v>
      </c>
      <c r="R75" s="374"/>
      <c r="S75" s="374"/>
      <c r="T75" s="375"/>
    </row>
    <row r="76" spans="1:20" x14ac:dyDescent="0.35"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</row>
    <row r="77" spans="1:20" x14ac:dyDescent="0.35"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245">
        <f>SUM(L15:L75)</f>
        <v>44840833</v>
      </c>
      <c r="M77" s="245">
        <f>SUM(M15:M75)</f>
        <v>214650000</v>
      </c>
      <c r="N77" s="245">
        <f>SUM(N15:N75)</f>
        <v>259490833</v>
      </c>
      <c r="O77" s="245">
        <f>SUM(O15:O75)</f>
        <v>214650000</v>
      </c>
      <c r="P77" s="172"/>
    </row>
    <row r="78" spans="1:20" x14ac:dyDescent="0.35"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</row>
    <row r="79" spans="1:20" x14ac:dyDescent="0.35"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</row>
    <row r="80" spans="1:20" x14ac:dyDescent="0.35"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</row>
    <row r="81" spans="2:16" x14ac:dyDescent="0.35"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</row>
    <row r="82" spans="2:16" x14ac:dyDescent="0.35">
      <c r="B82" s="172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</row>
    <row r="83" spans="2:16" x14ac:dyDescent="0.35">
      <c r="B83" s="172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</row>
    <row r="84" spans="2:16" x14ac:dyDescent="0.35"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</row>
    <row r="85" spans="2:16" x14ac:dyDescent="0.35">
      <c r="B85" s="172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</row>
    <row r="86" spans="2:16" x14ac:dyDescent="0.35"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2:16" x14ac:dyDescent="0.35">
      <c r="B87" s="172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</row>
    <row r="88" spans="2:16" x14ac:dyDescent="0.35"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</row>
    <row r="89" spans="2:16" x14ac:dyDescent="0.35">
      <c r="B89" s="172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</row>
  </sheetData>
  <mergeCells count="7">
    <mergeCell ref="Q12:Q13"/>
    <mergeCell ref="C11:P11"/>
    <mergeCell ref="C12:C13"/>
    <mergeCell ref="D12:J12"/>
    <mergeCell ref="L12:N12"/>
    <mergeCell ref="O12:O13"/>
    <mergeCell ref="P12:P13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89"/>
  <sheetViews>
    <sheetView showGridLines="0" workbookViewId="0">
      <pane xSplit="2" ySplit="13" topLeftCell="C14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1" x14ac:dyDescent="0.35"/>
  <cols>
    <col min="1" max="1" width="7.36328125" bestFit="1" customWidth="1"/>
    <col min="2" max="2" width="15" customWidth="1"/>
    <col min="3" max="3" width="12" customWidth="1"/>
    <col min="4" max="5" width="7.54296875" customWidth="1" outlineLevel="1"/>
    <col min="6" max="6" width="5.7265625" customWidth="1" outlineLevel="1"/>
    <col min="7" max="7" width="7.54296875" bestFit="1" customWidth="1"/>
    <col min="8" max="9" width="7.54296875" hidden="1" customWidth="1" outlineLevel="1"/>
    <col min="10" max="10" width="6.7265625" customWidth="1" collapsed="1"/>
    <col min="11" max="11" width="8.81640625" customWidth="1"/>
    <col min="12" max="13" width="11.6328125" customWidth="1"/>
    <col min="14" max="14" width="11.1796875" bestFit="1" customWidth="1"/>
    <col min="15" max="16" width="11.1796875" customWidth="1"/>
  </cols>
  <sheetData>
    <row r="1" spans="1:17" x14ac:dyDescent="0.35">
      <c r="A1" s="241" t="s">
        <v>505</v>
      </c>
      <c r="B1" s="241"/>
      <c r="C1" s="1" t="s">
        <v>495</v>
      </c>
      <c r="D1" s="230"/>
      <c r="E1" s="230"/>
      <c r="F1" s="230"/>
      <c r="G1" s="230"/>
      <c r="H1" s="230"/>
      <c r="I1" s="230"/>
      <c r="J1" s="230"/>
      <c r="K1" s="230"/>
    </row>
    <row r="2" spans="1:17" x14ac:dyDescent="0.35">
      <c r="A2" s="241" t="s">
        <v>225</v>
      </c>
      <c r="B2" s="241"/>
      <c r="C2" s="240">
        <f>IFERROR(HLOOKUP($C$9,'Inv Adic'!$D$6:$M$29,22,0),0)</f>
        <v>0</v>
      </c>
      <c r="D2" s="230"/>
      <c r="E2" s="230"/>
      <c r="F2" s="230"/>
      <c r="G2" s="230"/>
      <c r="H2" s="230"/>
      <c r="I2" s="230"/>
      <c r="J2" s="230"/>
      <c r="K2" s="230"/>
    </row>
    <row r="3" spans="1:17" x14ac:dyDescent="0.35">
      <c r="A3" s="241" t="s">
        <v>157</v>
      </c>
      <c r="B3" s="241"/>
      <c r="C3" s="346">
        <f>Variables!$C$58</f>
        <v>4.4999999999999998E-2</v>
      </c>
      <c r="E3" s="230"/>
      <c r="F3" s="230"/>
      <c r="G3" s="230"/>
      <c r="H3" s="230"/>
      <c r="I3" s="230"/>
      <c r="J3" s="230"/>
      <c r="K3" s="230"/>
    </row>
    <row r="4" spans="1:17" x14ac:dyDescent="0.35">
      <c r="A4" s="241" t="s">
        <v>223</v>
      </c>
      <c r="B4" s="241"/>
      <c r="C4" s="231">
        <f>Variables!$D$58</f>
        <v>36</v>
      </c>
      <c r="D4" s="230" t="s">
        <v>224</v>
      </c>
      <c r="E4" s="230"/>
      <c r="F4" s="230"/>
      <c r="G4" s="230"/>
      <c r="H4" s="230"/>
      <c r="I4" s="230"/>
      <c r="J4" s="230"/>
      <c r="K4" s="230"/>
    </row>
    <row r="5" spans="1:17" x14ac:dyDescent="0.35">
      <c r="A5" s="242" t="s">
        <v>226</v>
      </c>
      <c r="B5" s="241"/>
      <c r="C5" s="239">
        <v>42369</v>
      </c>
      <c r="D5" s="230"/>
      <c r="E5" s="230"/>
      <c r="F5" s="230"/>
      <c r="G5" s="230"/>
      <c r="H5" s="230"/>
      <c r="I5" s="230"/>
      <c r="J5" s="230"/>
      <c r="K5" s="230"/>
    </row>
    <row r="6" spans="1:17" x14ac:dyDescent="0.35">
      <c r="A6" s="242" t="s">
        <v>508</v>
      </c>
      <c r="B6" s="241"/>
      <c r="C6" s="231">
        <f>Variables!$E$58</f>
        <v>0</v>
      </c>
      <c r="D6" s="230" t="s">
        <v>224</v>
      </c>
      <c r="E6" s="230"/>
      <c r="F6" s="230"/>
      <c r="G6" s="230"/>
      <c r="H6" s="230"/>
      <c r="I6" s="230"/>
      <c r="J6" s="230"/>
      <c r="K6" s="230"/>
    </row>
    <row r="7" spans="1:17" x14ac:dyDescent="0.35">
      <c r="A7" s="242" t="s">
        <v>497</v>
      </c>
      <c r="B7" s="241"/>
      <c r="C7" s="345" t="str">
        <f>Variables!$F$58</f>
        <v>Cuota Fija</v>
      </c>
      <c r="D7" s="230"/>
      <c r="E7" s="230"/>
      <c r="F7" s="230"/>
      <c r="G7" s="230"/>
      <c r="H7" s="230"/>
      <c r="I7" s="230"/>
      <c r="J7" s="230"/>
      <c r="K7" s="230"/>
    </row>
    <row r="8" spans="1:17" x14ac:dyDescent="0.35">
      <c r="A8" s="242" t="s">
        <v>557</v>
      </c>
      <c r="B8" s="241"/>
      <c r="C8" s="231">
        <f>C4-C6</f>
        <v>36</v>
      </c>
      <c r="D8" s="230"/>
      <c r="E8" s="230"/>
      <c r="F8" s="230"/>
      <c r="G8" s="230"/>
      <c r="H8" s="230"/>
      <c r="I8" s="230"/>
      <c r="J8" s="230"/>
      <c r="K8" s="230"/>
    </row>
    <row r="9" spans="1:17" x14ac:dyDescent="0.35">
      <c r="A9" s="242" t="s">
        <v>558</v>
      </c>
      <c r="B9" s="241"/>
      <c r="C9" s="239">
        <f>EOMONTH(C5,C6)</f>
        <v>42369</v>
      </c>
      <c r="D9" s="230"/>
      <c r="E9" s="230"/>
      <c r="F9" s="230"/>
      <c r="G9" s="230"/>
      <c r="H9" s="230"/>
      <c r="I9" s="230"/>
      <c r="J9" s="230"/>
      <c r="K9" s="230"/>
    </row>
    <row r="11" spans="1:17" ht="14.5" customHeight="1" x14ac:dyDescent="0.35">
      <c r="A11" s="243" t="s">
        <v>179</v>
      </c>
      <c r="B11" s="243" t="s">
        <v>180</v>
      </c>
      <c r="C11" s="967" t="s">
        <v>196</v>
      </c>
      <c r="D11" s="968"/>
      <c r="E11" s="968"/>
      <c r="F11" s="968"/>
      <c r="G11" s="968"/>
      <c r="H11" s="968"/>
      <c r="I11" s="968"/>
      <c r="J11" s="968"/>
      <c r="K11" s="968"/>
      <c r="L11" s="968"/>
      <c r="M11" s="968"/>
      <c r="N11" s="968"/>
      <c r="O11" s="968"/>
      <c r="P11" s="969"/>
    </row>
    <row r="12" spans="1:17" ht="14" customHeight="1" x14ac:dyDescent="0.35">
      <c r="A12" s="244"/>
      <c r="B12" s="244"/>
      <c r="C12" s="903" t="s">
        <v>211</v>
      </c>
      <c r="D12" s="970" t="s">
        <v>222</v>
      </c>
      <c r="E12" s="971"/>
      <c r="F12" s="971"/>
      <c r="G12" s="971"/>
      <c r="H12" s="971"/>
      <c r="I12" s="971"/>
      <c r="J12" s="972"/>
      <c r="K12" s="237"/>
      <c r="L12" s="973" t="s">
        <v>210</v>
      </c>
      <c r="M12" s="974"/>
      <c r="N12" s="975"/>
      <c r="O12" s="961" t="s">
        <v>221</v>
      </c>
      <c r="P12" s="903" t="s">
        <v>212</v>
      </c>
      <c r="Q12" s="903" t="s">
        <v>830</v>
      </c>
    </row>
    <row r="13" spans="1:17" ht="29" x14ac:dyDescent="0.35">
      <c r="A13" s="244"/>
      <c r="B13" s="244"/>
      <c r="C13" s="904"/>
      <c r="D13" s="238" t="s">
        <v>214</v>
      </c>
      <c r="E13" s="238" t="s">
        <v>219</v>
      </c>
      <c r="F13" s="235" t="s">
        <v>213</v>
      </c>
      <c r="G13" s="235" t="s">
        <v>217</v>
      </c>
      <c r="H13" s="235" t="s">
        <v>218</v>
      </c>
      <c r="I13" s="235" t="s">
        <v>220</v>
      </c>
      <c r="J13" s="235" t="s">
        <v>215</v>
      </c>
      <c r="K13" s="235" t="s">
        <v>216</v>
      </c>
      <c r="L13" s="235" t="s">
        <v>187</v>
      </c>
      <c r="M13" s="235" t="s">
        <v>155</v>
      </c>
      <c r="N13" s="235" t="s">
        <v>65</v>
      </c>
      <c r="O13" s="962"/>
      <c r="P13" s="904"/>
      <c r="Q13" s="904"/>
    </row>
    <row r="14" spans="1:17" x14ac:dyDescent="0.35">
      <c r="A14" s="181"/>
      <c r="B14" s="181"/>
      <c r="C14" s="177"/>
      <c r="D14" s="177"/>
      <c r="E14" s="177"/>
      <c r="F14" s="177"/>
      <c r="G14" s="177"/>
      <c r="H14" s="177"/>
      <c r="I14" s="177"/>
      <c r="J14" s="177"/>
      <c r="K14" s="177"/>
      <c r="L14" s="176"/>
      <c r="M14" s="176"/>
      <c r="N14" s="198"/>
      <c r="O14" s="198"/>
      <c r="P14" s="198"/>
      <c r="Q14" s="557"/>
    </row>
    <row r="15" spans="1:17" x14ac:dyDescent="0.35">
      <c r="A15" s="43">
        <v>0</v>
      </c>
      <c r="B15" s="184">
        <v>42004</v>
      </c>
      <c r="C15" s="178">
        <v>0</v>
      </c>
      <c r="D15" s="236">
        <f>VLOOKUP($B15,DTF!$B$9:$D$69,IF(Variables!$B$73=1,3,2),0)</f>
        <v>4.4999999999999998E-2</v>
      </c>
      <c r="E15" s="236">
        <f>(((1+D15)^(1/4)-1)/(1+((1+D15)^(1/4)-1)))*4</f>
        <v>4.3775585558297421E-2</v>
      </c>
      <c r="F15" s="236">
        <f t="shared" ref="F15:F46" si="0">$C$3</f>
        <v>4.4999999999999998E-2</v>
      </c>
      <c r="G15" s="236">
        <f>E15+F15</f>
        <v>8.8775585558297426E-2</v>
      </c>
      <c r="H15" s="236">
        <f>(G15/4)</f>
        <v>2.2193896389574357E-2</v>
      </c>
      <c r="I15" s="236">
        <f>H15/(1-H15)</f>
        <v>2.2697645583951865E-2</v>
      </c>
      <c r="J15" s="236">
        <f>((1+I15)^4)-1</f>
        <v>9.3928720214802919E-2</v>
      </c>
      <c r="K15" s="236">
        <f>((1+J15)^(1/12))-1</f>
        <v>7.5093503667722494E-3</v>
      </c>
      <c r="L15" s="175">
        <f>ROUND(K15*C15,0)</f>
        <v>0</v>
      </c>
      <c r="M15" s="175">
        <f>IF($C15=0,0,IF($C$7="Abono Fijo a Capital",IF($B15&gt;$C$9,ROUND(C15/($C$8-COUNTIF(M$14:M14,"&gt;0")),0),0),IF($C$7="Pago Único al Final",C15,IF($B15&gt;$C$9,ROUND(PMT(K15,($C$8-COUNTIF(M$14:M14,"&gt;0")),-C15)-L15,0),0))))</f>
        <v>0</v>
      </c>
      <c r="N15" s="175">
        <f>SUM(L15:M15)</f>
        <v>0</v>
      </c>
      <c r="O15" s="175">
        <f t="shared" ref="O15:O46" si="1">IF($B15=$C$9,$C$2,0)</f>
        <v>0</v>
      </c>
      <c r="P15" s="175">
        <f t="shared" ref="P15:P46" si="2">C15-M15+O15</f>
        <v>0</v>
      </c>
      <c r="Q15" s="175">
        <f>O15-N15</f>
        <v>0</v>
      </c>
    </row>
    <row r="16" spans="1:17" x14ac:dyDescent="0.35">
      <c r="A16" s="43">
        <v>1</v>
      </c>
      <c r="B16" s="184">
        <v>42035</v>
      </c>
      <c r="C16" s="178">
        <f>P15</f>
        <v>0</v>
      </c>
      <c r="D16" s="236">
        <f>VLOOKUP($B16,DTF!$B$9:$D$69,IF(Variables!$B$73=1,3,2),0)</f>
        <v>4.7500000000000001E-2</v>
      </c>
      <c r="E16" s="236">
        <f t="shared" ref="E16:E75" si="3">(((1+D16)^(1/4)-1)/(1+((1+D16)^(1/4)-1)))*4</f>
        <v>4.6138216898191912E-2</v>
      </c>
      <c r="F16" s="236">
        <f t="shared" si="0"/>
        <v>4.4999999999999998E-2</v>
      </c>
      <c r="G16" s="236">
        <f t="shared" ref="G16:G75" si="4">E16+F16</f>
        <v>9.1138216898191904E-2</v>
      </c>
      <c r="H16" s="236">
        <f t="shared" ref="H16:H75" si="5">(G16/4)</f>
        <v>2.2784554224547976E-2</v>
      </c>
      <c r="I16" s="236">
        <f t="shared" ref="I16:I75" si="6">H16/(1-H16)</f>
        <v>2.3315794201827927E-2</v>
      </c>
      <c r="J16" s="236">
        <f t="shared" ref="J16:J75" si="7">((1+I16)^4)-1</f>
        <v>9.6575930204327642E-2</v>
      </c>
      <c r="K16" s="236">
        <f t="shared" ref="K16:K75" si="8">((1+J16)^(1/12))-1</f>
        <v>7.7122989376692264E-3</v>
      </c>
      <c r="L16" s="175">
        <f t="shared" ref="L16:L75" si="9">ROUND(K16*C16,0)</f>
        <v>0</v>
      </c>
      <c r="M16" s="175">
        <f>IF($C16=0,0,IF($C$7="Abono Fijo a Capital",IF($B16&gt;$C$9,ROUND(C16/($C$8-COUNTIF(M$14:M15,"&gt;0")),0),0),IF($C$7="Pago Único al Final",C16,IF($B16&gt;$C$9,ROUND(PMT(K16,($C$8-COUNTIF(M$14:M15,"&gt;0")),-C16)-L16,0),0))))</f>
        <v>0</v>
      </c>
      <c r="N16" s="175">
        <f t="shared" ref="N16:N75" si="10">SUM(L16:M16)</f>
        <v>0</v>
      </c>
      <c r="O16" s="175">
        <f t="shared" si="1"/>
        <v>0</v>
      </c>
      <c r="P16" s="175">
        <f t="shared" si="2"/>
        <v>0</v>
      </c>
      <c r="Q16" s="175">
        <f t="shared" ref="Q16:Q75" si="11">O16-N16</f>
        <v>0</v>
      </c>
    </row>
    <row r="17" spans="1:17" x14ac:dyDescent="0.35">
      <c r="A17" s="43">
        <v>2</v>
      </c>
      <c r="B17" s="184">
        <v>42063</v>
      </c>
      <c r="C17" s="178">
        <f t="shared" ref="C17:C75" si="12">P16</f>
        <v>0</v>
      </c>
      <c r="D17" s="236">
        <f>VLOOKUP($B17,DTF!$B$9:$D$69,IF(Variables!$B$73=1,3,2),0)</f>
        <v>4.7500000000000001E-2</v>
      </c>
      <c r="E17" s="236">
        <f t="shared" si="3"/>
        <v>4.6138216898191912E-2</v>
      </c>
      <c r="F17" s="236">
        <f t="shared" si="0"/>
        <v>4.4999999999999998E-2</v>
      </c>
      <c r="G17" s="236">
        <f t="shared" si="4"/>
        <v>9.1138216898191904E-2</v>
      </c>
      <c r="H17" s="236">
        <f t="shared" si="5"/>
        <v>2.2784554224547976E-2</v>
      </c>
      <c r="I17" s="236">
        <f t="shared" si="6"/>
        <v>2.3315794201827927E-2</v>
      </c>
      <c r="J17" s="236">
        <f t="shared" si="7"/>
        <v>9.6575930204327642E-2</v>
      </c>
      <c r="K17" s="236">
        <f t="shared" si="8"/>
        <v>7.7122989376692264E-3</v>
      </c>
      <c r="L17" s="175">
        <f t="shared" si="9"/>
        <v>0</v>
      </c>
      <c r="M17" s="175">
        <f>IF($C17=0,0,IF($C$7="Abono Fijo a Capital",IF($B17&gt;$C$9,ROUND(C17/($C$8-COUNTIF(M$14:M16,"&gt;0")),0),0),IF($C$7="Pago Único al Final",C17,IF($B17&gt;$C$9,ROUND(PMT(K17,($C$8-COUNTIF(M$14:M16,"&gt;0")),-C17)-L17,0),0))))</f>
        <v>0</v>
      </c>
      <c r="N17" s="175">
        <f t="shared" si="10"/>
        <v>0</v>
      </c>
      <c r="O17" s="175">
        <f t="shared" si="1"/>
        <v>0</v>
      </c>
      <c r="P17" s="175">
        <f t="shared" si="2"/>
        <v>0</v>
      </c>
      <c r="Q17" s="175">
        <f t="shared" si="11"/>
        <v>0</v>
      </c>
    </row>
    <row r="18" spans="1:17" x14ac:dyDescent="0.35">
      <c r="A18" s="43">
        <v>3</v>
      </c>
      <c r="B18" s="184">
        <v>42094</v>
      </c>
      <c r="C18" s="178">
        <f t="shared" si="12"/>
        <v>0</v>
      </c>
      <c r="D18" s="236">
        <f>VLOOKUP($B18,DTF!$B$9:$D$69,IF(Variables!$B$73=1,3,2),0)</f>
        <v>4.7500000000000001E-2</v>
      </c>
      <c r="E18" s="236">
        <f t="shared" si="3"/>
        <v>4.6138216898191912E-2</v>
      </c>
      <c r="F18" s="236">
        <f t="shared" si="0"/>
        <v>4.4999999999999998E-2</v>
      </c>
      <c r="G18" s="236">
        <f t="shared" si="4"/>
        <v>9.1138216898191904E-2</v>
      </c>
      <c r="H18" s="236">
        <f t="shared" si="5"/>
        <v>2.2784554224547976E-2</v>
      </c>
      <c r="I18" s="236">
        <f t="shared" si="6"/>
        <v>2.3315794201827927E-2</v>
      </c>
      <c r="J18" s="236">
        <f t="shared" si="7"/>
        <v>9.6575930204327642E-2</v>
      </c>
      <c r="K18" s="236">
        <f t="shared" si="8"/>
        <v>7.7122989376692264E-3</v>
      </c>
      <c r="L18" s="175">
        <f t="shared" si="9"/>
        <v>0</v>
      </c>
      <c r="M18" s="175">
        <f>IF($C18=0,0,IF($C$7="Abono Fijo a Capital",IF($B18&gt;$C$9,ROUND(C18/($C$8-COUNTIF(M$14:M17,"&gt;0")),0),0),IF($C$7="Pago Único al Final",C18,IF($B18&gt;$C$9,ROUND(PMT(K18,($C$8-COUNTIF(M$14:M17,"&gt;0")),-C18)-L18,0),0))))</f>
        <v>0</v>
      </c>
      <c r="N18" s="175">
        <f t="shared" si="10"/>
        <v>0</v>
      </c>
      <c r="O18" s="175">
        <f t="shared" si="1"/>
        <v>0</v>
      </c>
      <c r="P18" s="175">
        <f t="shared" si="2"/>
        <v>0</v>
      </c>
      <c r="Q18" s="175">
        <f t="shared" si="11"/>
        <v>0</v>
      </c>
    </row>
    <row r="19" spans="1:17" x14ac:dyDescent="0.35">
      <c r="A19" s="43">
        <v>4</v>
      </c>
      <c r="B19" s="184">
        <v>42124</v>
      </c>
      <c r="C19" s="178">
        <f t="shared" si="12"/>
        <v>0</v>
      </c>
      <c r="D19" s="236">
        <f>VLOOKUP($B19,DTF!$B$9:$D$69,IF(Variables!$B$73=1,3,2),0)</f>
        <v>0.05</v>
      </c>
      <c r="E19" s="236">
        <f t="shared" si="3"/>
        <v>4.8493810307703902E-2</v>
      </c>
      <c r="F19" s="236">
        <f t="shared" si="0"/>
        <v>4.4999999999999998E-2</v>
      </c>
      <c r="G19" s="236">
        <f t="shared" si="4"/>
        <v>9.3493810307703901E-2</v>
      </c>
      <c r="H19" s="236">
        <f t="shared" si="5"/>
        <v>2.3373452576925975E-2</v>
      </c>
      <c r="I19" s="236">
        <f t="shared" si="6"/>
        <v>2.3932845813580583E-2</v>
      </c>
      <c r="J19" s="236">
        <f t="shared" si="7"/>
        <v>9.9223231112781862E-2</v>
      </c>
      <c r="K19" s="236">
        <f t="shared" si="8"/>
        <v>7.9148058474909355E-3</v>
      </c>
      <c r="L19" s="175">
        <f t="shared" si="9"/>
        <v>0</v>
      </c>
      <c r="M19" s="175">
        <f>IF($C19=0,0,IF($C$7="Abono Fijo a Capital",IF($B19&gt;$C$9,ROUND(C19/($C$8-COUNTIF(M$14:M18,"&gt;0")),0),0),IF($C$7="Pago Único al Final",C19,IF($B19&gt;$C$9,ROUND(PMT(K19,($C$8-COUNTIF(M$14:M18,"&gt;0")),-C19)-L19,0),0))))</f>
        <v>0</v>
      </c>
      <c r="N19" s="175">
        <f t="shared" si="10"/>
        <v>0</v>
      </c>
      <c r="O19" s="175">
        <f t="shared" si="1"/>
        <v>0</v>
      </c>
      <c r="P19" s="175">
        <f t="shared" si="2"/>
        <v>0</v>
      </c>
      <c r="Q19" s="175">
        <f t="shared" si="11"/>
        <v>0</v>
      </c>
    </row>
    <row r="20" spans="1:17" x14ac:dyDescent="0.35">
      <c r="A20" s="43">
        <v>5</v>
      </c>
      <c r="B20" s="184">
        <v>42155</v>
      </c>
      <c r="C20" s="178">
        <f t="shared" si="12"/>
        <v>0</v>
      </c>
      <c r="D20" s="236">
        <f>VLOOKUP($B20,DTF!$B$9:$D$69,IF(Variables!$B$73=1,3,2),0)</f>
        <v>0.05</v>
      </c>
      <c r="E20" s="236">
        <f t="shared" si="3"/>
        <v>4.8493810307703902E-2</v>
      </c>
      <c r="F20" s="236">
        <f t="shared" si="0"/>
        <v>4.4999999999999998E-2</v>
      </c>
      <c r="G20" s="236">
        <f t="shared" si="4"/>
        <v>9.3493810307703901E-2</v>
      </c>
      <c r="H20" s="236">
        <f t="shared" si="5"/>
        <v>2.3373452576925975E-2</v>
      </c>
      <c r="I20" s="236">
        <f t="shared" si="6"/>
        <v>2.3932845813580583E-2</v>
      </c>
      <c r="J20" s="236">
        <f t="shared" si="7"/>
        <v>9.9223231112781862E-2</v>
      </c>
      <c r="K20" s="236">
        <f t="shared" si="8"/>
        <v>7.9148058474909355E-3</v>
      </c>
      <c r="L20" s="175">
        <f t="shared" si="9"/>
        <v>0</v>
      </c>
      <c r="M20" s="175">
        <f>IF($C20=0,0,IF($C$7="Abono Fijo a Capital",IF($B20&gt;$C$9,ROUND(C20/($C$8-COUNTIF(M$14:M19,"&gt;0")),0),0),IF($C$7="Pago Único al Final",C20,IF($B20&gt;$C$9,ROUND(PMT(K20,($C$8-COUNTIF(M$14:M19,"&gt;0")),-C20)-L20,0),0))))</f>
        <v>0</v>
      </c>
      <c r="N20" s="175">
        <f t="shared" si="10"/>
        <v>0</v>
      </c>
      <c r="O20" s="175">
        <f t="shared" si="1"/>
        <v>0</v>
      </c>
      <c r="P20" s="175">
        <f t="shared" si="2"/>
        <v>0</v>
      </c>
      <c r="Q20" s="175">
        <f t="shared" si="11"/>
        <v>0</v>
      </c>
    </row>
    <row r="21" spans="1:17" x14ac:dyDescent="0.35">
      <c r="A21" s="43">
        <v>6</v>
      </c>
      <c r="B21" s="184">
        <v>42185</v>
      </c>
      <c r="C21" s="178">
        <f t="shared" si="12"/>
        <v>0</v>
      </c>
      <c r="D21" s="236">
        <f>VLOOKUP($B21,DTF!$B$9:$D$69,IF(Variables!$B$73=1,3,2),0)</f>
        <v>0.05</v>
      </c>
      <c r="E21" s="236">
        <f t="shared" si="3"/>
        <v>4.8493810307703902E-2</v>
      </c>
      <c r="F21" s="236">
        <f t="shared" si="0"/>
        <v>4.4999999999999998E-2</v>
      </c>
      <c r="G21" s="236">
        <f t="shared" si="4"/>
        <v>9.3493810307703901E-2</v>
      </c>
      <c r="H21" s="236">
        <f t="shared" si="5"/>
        <v>2.3373452576925975E-2</v>
      </c>
      <c r="I21" s="236">
        <f t="shared" si="6"/>
        <v>2.3932845813580583E-2</v>
      </c>
      <c r="J21" s="236">
        <f t="shared" si="7"/>
        <v>9.9223231112781862E-2</v>
      </c>
      <c r="K21" s="236">
        <f t="shared" si="8"/>
        <v>7.9148058474909355E-3</v>
      </c>
      <c r="L21" s="175">
        <f t="shared" si="9"/>
        <v>0</v>
      </c>
      <c r="M21" s="175">
        <f>IF($C21=0,0,IF($C$7="Abono Fijo a Capital",IF($B21&gt;$C$9,ROUND(C21/($C$8-COUNTIF(M$14:M20,"&gt;0")),0),0),IF($C$7="Pago Único al Final",C21,IF($B21&gt;$C$9,ROUND(PMT(K21,($C$8-COUNTIF(M$14:M20,"&gt;0")),-C21)-L21,0),0))))</f>
        <v>0</v>
      </c>
      <c r="N21" s="175">
        <f t="shared" si="10"/>
        <v>0</v>
      </c>
      <c r="O21" s="175">
        <f t="shared" si="1"/>
        <v>0</v>
      </c>
      <c r="P21" s="175">
        <f t="shared" si="2"/>
        <v>0</v>
      </c>
      <c r="Q21" s="175">
        <f t="shared" si="11"/>
        <v>0</v>
      </c>
    </row>
    <row r="22" spans="1:17" x14ac:dyDescent="0.35">
      <c r="A22" s="43">
        <v>7</v>
      </c>
      <c r="B22" s="184">
        <v>42216</v>
      </c>
      <c r="C22" s="178">
        <f t="shared" si="12"/>
        <v>0</v>
      </c>
      <c r="D22" s="236">
        <f>VLOOKUP($B22,DTF!$B$9:$D$69,IF(Variables!$B$73=1,3,2),0)</f>
        <v>5.2500000000000005E-2</v>
      </c>
      <c r="E22" s="236">
        <f t="shared" si="3"/>
        <v>5.0842403434051039E-2</v>
      </c>
      <c r="F22" s="236">
        <f t="shared" si="0"/>
        <v>4.4999999999999998E-2</v>
      </c>
      <c r="G22" s="236">
        <f t="shared" si="4"/>
        <v>9.5842403434051038E-2</v>
      </c>
      <c r="H22" s="236">
        <f t="shared" si="5"/>
        <v>2.3960600858512759E-2</v>
      </c>
      <c r="I22" s="236">
        <f t="shared" si="6"/>
        <v>2.4548804976098525E-2</v>
      </c>
      <c r="J22" s="236">
        <f t="shared" si="7"/>
        <v>0.10187062278149561</v>
      </c>
      <c r="K22" s="236">
        <f t="shared" si="8"/>
        <v>8.1168731066512123E-3</v>
      </c>
      <c r="L22" s="175">
        <f t="shared" si="9"/>
        <v>0</v>
      </c>
      <c r="M22" s="175">
        <f>IF($C22=0,0,IF($C$7="Abono Fijo a Capital",IF($B22&gt;$C$9,ROUND(C22/($C$8-COUNTIF(M$14:M21,"&gt;0")),0),0),IF($C$7="Pago Único al Final",C22,IF($B22&gt;$C$9,ROUND(PMT(K22,($C$8-COUNTIF(M$14:M21,"&gt;0")),-C22)-L22,0),0))))</f>
        <v>0</v>
      </c>
      <c r="N22" s="175">
        <f t="shared" si="10"/>
        <v>0</v>
      </c>
      <c r="O22" s="175">
        <f t="shared" si="1"/>
        <v>0</v>
      </c>
      <c r="P22" s="175">
        <f t="shared" si="2"/>
        <v>0</v>
      </c>
      <c r="Q22" s="175">
        <f t="shared" si="11"/>
        <v>0</v>
      </c>
    </row>
    <row r="23" spans="1:17" x14ac:dyDescent="0.35">
      <c r="A23" s="43">
        <v>8</v>
      </c>
      <c r="B23" s="184">
        <v>42247</v>
      </c>
      <c r="C23" s="178">
        <f t="shared" si="12"/>
        <v>0</v>
      </c>
      <c r="D23" s="236">
        <f>VLOOKUP($B23,DTF!$B$9:$D$69,IF(Variables!$B$73=1,3,2),0)</f>
        <v>5.2500000000000005E-2</v>
      </c>
      <c r="E23" s="236">
        <f t="shared" si="3"/>
        <v>5.0842403434051039E-2</v>
      </c>
      <c r="F23" s="236">
        <f t="shared" si="0"/>
        <v>4.4999999999999998E-2</v>
      </c>
      <c r="G23" s="236">
        <f t="shared" si="4"/>
        <v>9.5842403434051038E-2</v>
      </c>
      <c r="H23" s="236">
        <f t="shared" si="5"/>
        <v>2.3960600858512759E-2</v>
      </c>
      <c r="I23" s="236">
        <f t="shared" si="6"/>
        <v>2.4548804976098525E-2</v>
      </c>
      <c r="J23" s="236">
        <f t="shared" si="7"/>
        <v>0.10187062278149561</v>
      </c>
      <c r="K23" s="236">
        <f t="shared" si="8"/>
        <v>8.1168731066512123E-3</v>
      </c>
      <c r="L23" s="175">
        <f t="shared" si="9"/>
        <v>0</v>
      </c>
      <c r="M23" s="175">
        <f>IF($C23=0,0,IF($C$7="Abono Fijo a Capital",IF($B23&gt;$C$9,ROUND(C23/($C$8-COUNTIF(M$14:M22,"&gt;0")),0),0),IF($C$7="Pago Único al Final",C23,IF($B23&gt;$C$9,ROUND(PMT(K23,($C$8-COUNTIF(M$14:M22,"&gt;0")),-C23)-L23,0),0))))</f>
        <v>0</v>
      </c>
      <c r="N23" s="175">
        <f t="shared" si="10"/>
        <v>0</v>
      </c>
      <c r="O23" s="175">
        <f t="shared" si="1"/>
        <v>0</v>
      </c>
      <c r="P23" s="175">
        <f t="shared" si="2"/>
        <v>0</v>
      </c>
      <c r="Q23" s="175">
        <f t="shared" si="11"/>
        <v>0</v>
      </c>
    </row>
    <row r="24" spans="1:17" x14ac:dyDescent="0.35">
      <c r="A24" s="43">
        <v>9</v>
      </c>
      <c r="B24" s="184">
        <v>42277</v>
      </c>
      <c r="C24" s="178">
        <f t="shared" si="12"/>
        <v>0</v>
      </c>
      <c r="D24" s="236">
        <f>VLOOKUP($B24,DTF!$B$9:$D$69,IF(Variables!$B$73=1,3,2),0)</f>
        <v>5.2500000000000005E-2</v>
      </c>
      <c r="E24" s="236">
        <f t="shared" si="3"/>
        <v>5.0842403434051039E-2</v>
      </c>
      <c r="F24" s="236">
        <f t="shared" si="0"/>
        <v>4.4999999999999998E-2</v>
      </c>
      <c r="G24" s="236">
        <f t="shared" si="4"/>
        <v>9.5842403434051038E-2</v>
      </c>
      <c r="H24" s="236">
        <f t="shared" si="5"/>
        <v>2.3960600858512759E-2</v>
      </c>
      <c r="I24" s="236">
        <f t="shared" si="6"/>
        <v>2.4548804976098525E-2</v>
      </c>
      <c r="J24" s="236">
        <f t="shared" si="7"/>
        <v>0.10187062278149561</v>
      </c>
      <c r="K24" s="236">
        <f t="shared" si="8"/>
        <v>8.1168731066512123E-3</v>
      </c>
      <c r="L24" s="175">
        <f t="shared" si="9"/>
        <v>0</v>
      </c>
      <c r="M24" s="175">
        <f>IF($C24=0,0,IF($C$7="Abono Fijo a Capital",IF($B24&gt;$C$9,ROUND(C24/($C$8-COUNTIF(M$14:M23,"&gt;0")),0),0),IF($C$7="Pago Único al Final",C24,IF($B24&gt;$C$9,ROUND(PMT(K24,($C$8-COUNTIF(M$14:M23,"&gt;0")),-C24)-L24,0),0))))</f>
        <v>0</v>
      </c>
      <c r="N24" s="175">
        <f t="shared" si="10"/>
        <v>0</v>
      </c>
      <c r="O24" s="175">
        <f t="shared" si="1"/>
        <v>0</v>
      </c>
      <c r="P24" s="175">
        <f t="shared" si="2"/>
        <v>0</v>
      </c>
      <c r="Q24" s="175">
        <f t="shared" si="11"/>
        <v>0</v>
      </c>
    </row>
    <row r="25" spans="1:17" x14ac:dyDescent="0.35">
      <c r="A25" s="43">
        <v>10</v>
      </c>
      <c r="B25" s="184">
        <v>42308</v>
      </c>
      <c r="C25" s="178">
        <f t="shared" si="12"/>
        <v>0</v>
      </c>
      <c r="D25" s="236">
        <f>VLOOKUP($B25,DTF!$B$9:$D$69,IF(Variables!$B$73=1,3,2),0)</f>
        <v>5.5000000000000007E-2</v>
      </c>
      <c r="E25" s="236">
        <f t="shared" si="3"/>
        <v>5.318403363425931E-2</v>
      </c>
      <c r="F25" s="236">
        <f t="shared" si="0"/>
        <v>4.4999999999999998E-2</v>
      </c>
      <c r="G25" s="236">
        <f t="shared" si="4"/>
        <v>9.8184033634259316E-2</v>
      </c>
      <c r="H25" s="236">
        <f t="shared" si="5"/>
        <v>2.4546008408564829E-2</v>
      </c>
      <c r="I25" s="236">
        <f t="shared" si="6"/>
        <v>2.5163676216567087E-2</v>
      </c>
      <c r="J25" s="236">
        <f t="shared" si="7"/>
        <v>0.10451810505246129</v>
      </c>
      <c r="K25" s="236">
        <f t="shared" si="8"/>
        <v>8.3185027116630117E-3</v>
      </c>
      <c r="L25" s="175">
        <f t="shared" si="9"/>
        <v>0</v>
      </c>
      <c r="M25" s="175">
        <f>IF($C25=0,0,IF($C$7="Abono Fijo a Capital",IF($B25&gt;$C$9,ROUND(C25/($C$8-COUNTIF(M$14:M24,"&gt;0")),0),0),IF($C$7="Pago Único al Final",C25,IF($B25&gt;$C$9,ROUND(PMT(K25,($C$8-COUNTIF(M$14:M24,"&gt;0")),-C25)-L25,0),0))))</f>
        <v>0</v>
      </c>
      <c r="N25" s="175">
        <f t="shared" si="10"/>
        <v>0</v>
      </c>
      <c r="O25" s="175">
        <f t="shared" si="1"/>
        <v>0</v>
      </c>
      <c r="P25" s="175">
        <f t="shared" si="2"/>
        <v>0</v>
      </c>
      <c r="Q25" s="175">
        <f t="shared" si="11"/>
        <v>0</v>
      </c>
    </row>
    <row r="26" spans="1:17" x14ac:dyDescent="0.35">
      <c r="A26" s="43">
        <v>11</v>
      </c>
      <c r="B26" s="184">
        <v>42338</v>
      </c>
      <c r="C26" s="178">
        <f t="shared" si="12"/>
        <v>0</v>
      </c>
      <c r="D26" s="236">
        <f>VLOOKUP($B26,DTF!$B$9:$D$69,IF(Variables!$B$73=1,3,2),0)</f>
        <v>5.5000000000000007E-2</v>
      </c>
      <c r="E26" s="236">
        <f t="shared" si="3"/>
        <v>5.318403363425931E-2</v>
      </c>
      <c r="F26" s="236">
        <f t="shared" si="0"/>
        <v>4.4999999999999998E-2</v>
      </c>
      <c r="G26" s="236">
        <f t="shared" si="4"/>
        <v>9.8184033634259316E-2</v>
      </c>
      <c r="H26" s="236">
        <f t="shared" si="5"/>
        <v>2.4546008408564829E-2</v>
      </c>
      <c r="I26" s="236">
        <f t="shared" si="6"/>
        <v>2.5163676216567087E-2</v>
      </c>
      <c r="J26" s="236">
        <f t="shared" si="7"/>
        <v>0.10451810505246129</v>
      </c>
      <c r="K26" s="236">
        <f t="shared" si="8"/>
        <v>8.3185027116630117E-3</v>
      </c>
      <c r="L26" s="175">
        <f t="shared" si="9"/>
        <v>0</v>
      </c>
      <c r="M26" s="175">
        <f>IF($C26=0,0,IF($C$7="Abono Fijo a Capital",IF($B26&gt;$C$9,ROUND(C26/($C$8-COUNTIF(M$14:M25,"&gt;0")),0),0),IF($C$7="Pago Único al Final",C26,IF($B26&gt;$C$9,ROUND(PMT(K26,($C$8-COUNTIF(M$14:M25,"&gt;0")),-C26)-L26,0),0))))</f>
        <v>0</v>
      </c>
      <c r="N26" s="175">
        <f t="shared" si="10"/>
        <v>0</v>
      </c>
      <c r="O26" s="175">
        <f t="shared" si="1"/>
        <v>0</v>
      </c>
      <c r="P26" s="175">
        <f t="shared" si="2"/>
        <v>0</v>
      </c>
      <c r="Q26" s="175">
        <f t="shared" si="11"/>
        <v>0</v>
      </c>
    </row>
    <row r="27" spans="1:17" x14ac:dyDescent="0.35">
      <c r="A27" s="43">
        <v>12</v>
      </c>
      <c r="B27" s="184">
        <v>42369</v>
      </c>
      <c r="C27" s="178">
        <f t="shared" si="12"/>
        <v>0</v>
      </c>
      <c r="D27" s="236">
        <f>VLOOKUP($B27,DTF!$B$9:$D$69,IF(Variables!$B$73=1,3,2),0)</f>
        <v>5.5000000000000007E-2</v>
      </c>
      <c r="E27" s="236">
        <f t="shared" si="3"/>
        <v>5.318403363425931E-2</v>
      </c>
      <c r="F27" s="236">
        <f t="shared" si="0"/>
        <v>4.4999999999999998E-2</v>
      </c>
      <c r="G27" s="236">
        <f t="shared" si="4"/>
        <v>9.8184033634259316E-2</v>
      </c>
      <c r="H27" s="236">
        <f t="shared" si="5"/>
        <v>2.4546008408564829E-2</v>
      </c>
      <c r="I27" s="236">
        <f t="shared" si="6"/>
        <v>2.5163676216567087E-2</v>
      </c>
      <c r="J27" s="236">
        <f t="shared" si="7"/>
        <v>0.10451810505246129</v>
      </c>
      <c r="K27" s="236">
        <f t="shared" si="8"/>
        <v>8.3185027116630117E-3</v>
      </c>
      <c r="L27" s="175">
        <f t="shared" si="9"/>
        <v>0</v>
      </c>
      <c r="M27" s="175">
        <f>IF($C27=0,0,IF($C$7="Abono Fijo a Capital",IF($B27&gt;$C$9,ROUND(C27/($C$8-COUNTIF(M$14:M26,"&gt;0")),0),0),IF($C$7="Pago Único al Final",C27,IF($B27&gt;$C$9,ROUND(PMT(K27,($C$8-COUNTIF(M$14:M26,"&gt;0")),-C27)-L27,0),0))))</f>
        <v>0</v>
      </c>
      <c r="N27" s="175">
        <f t="shared" si="10"/>
        <v>0</v>
      </c>
      <c r="O27" s="175">
        <f t="shared" si="1"/>
        <v>0</v>
      </c>
      <c r="P27" s="175">
        <f t="shared" si="2"/>
        <v>0</v>
      </c>
      <c r="Q27" s="175">
        <f t="shared" si="11"/>
        <v>0</v>
      </c>
    </row>
    <row r="28" spans="1:17" x14ac:dyDescent="0.35">
      <c r="A28" s="43">
        <v>13</v>
      </c>
      <c r="B28" s="184">
        <v>42400</v>
      </c>
      <c r="C28" s="178">
        <f t="shared" si="12"/>
        <v>0</v>
      </c>
      <c r="D28" s="236">
        <f>VLOOKUP($B28,DTF!$B$9:$D$69,IF(Variables!$B$73=1,3,2),0)</f>
        <v>5.7500000000000009E-2</v>
      </c>
      <c r="E28" s="236">
        <f t="shared" si="3"/>
        <v>5.5518737978073787E-2</v>
      </c>
      <c r="F28" s="236">
        <f t="shared" si="0"/>
        <v>4.4999999999999998E-2</v>
      </c>
      <c r="G28" s="236">
        <f t="shared" si="4"/>
        <v>0.10051873797807379</v>
      </c>
      <c r="H28" s="236">
        <f t="shared" si="5"/>
        <v>2.5129684494518446E-2</v>
      </c>
      <c r="I28" s="236">
        <f t="shared" si="6"/>
        <v>2.5777464032729742E-2</v>
      </c>
      <c r="J28" s="236">
        <f t="shared" si="7"/>
        <v>0.10716567776831654</v>
      </c>
      <c r="K28" s="236">
        <f t="shared" si="8"/>
        <v>8.5196966452663059E-3</v>
      </c>
      <c r="L28" s="175">
        <f t="shared" si="9"/>
        <v>0</v>
      </c>
      <c r="M28" s="175">
        <f>IF($C28=0,0,IF($C$7="Abono Fijo a Capital",IF($B28&gt;$C$9,ROUND(C28/($C$8-COUNTIF(M$14:M27,"&gt;0")),0),0),IF($C$7="Pago Único al Final",C28,IF($B28&gt;$C$9,ROUND(PMT(K28,($C$8-COUNTIF(M$14:M27,"&gt;0")),-C28)-L28,0),0))))</f>
        <v>0</v>
      </c>
      <c r="N28" s="175">
        <f t="shared" si="10"/>
        <v>0</v>
      </c>
      <c r="O28" s="175">
        <f t="shared" si="1"/>
        <v>0</v>
      </c>
      <c r="P28" s="175">
        <f t="shared" si="2"/>
        <v>0</v>
      </c>
      <c r="Q28" s="175">
        <f t="shared" si="11"/>
        <v>0</v>
      </c>
    </row>
    <row r="29" spans="1:17" x14ac:dyDescent="0.35">
      <c r="A29" s="43">
        <v>14</v>
      </c>
      <c r="B29" s="184">
        <v>42429</v>
      </c>
      <c r="C29" s="178">
        <f t="shared" si="12"/>
        <v>0</v>
      </c>
      <c r="D29" s="236">
        <f>VLOOKUP($B29,DTF!$B$9:$D$69,IF(Variables!$B$73=1,3,2),0)</f>
        <v>5.7500000000000009E-2</v>
      </c>
      <c r="E29" s="236">
        <f t="shared" si="3"/>
        <v>5.5518737978073787E-2</v>
      </c>
      <c r="F29" s="236">
        <f t="shared" si="0"/>
        <v>4.4999999999999998E-2</v>
      </c>
      <c r="G29" s="236">
        <f t="shared" si="4"/>
        <v>0.10051873797807379</v>
      </c>
      <c r="H29" s="236">
        <f t="shared" si="5"/>
        <v>2.5129684494518446E-2</v>
      </c>
      <c r="I29" s="236">
        <f t="shared" si="6"/>
        <v>2.5777464032729742E-2</v>
      </c>
      <c r="J29" s="236">
        <f t="shared" si="7"/>
        <v>0.10716567776831654</v>
      </c>
      <c r="K29" s="236">
        <f t="shared" si="8"/>
        <v>8.5196966452663059E-3</v>
      </c>
      <c r="L29" s="175">
        <f t="shared" si="9"/>
        <v>0</v>
      </c>
      <c r="M29" s="175">
        <f>IF($C29=0,0,IF($C$7="Abono Fijo a Capital",IF($B29&gt;$C$9,ROUND(C29/($C$8-COUNTIF(M$14:M28,"&gt;0")),0),0),IF($C$7="Pago Único al Final",C29,IF($B29&gt;$C$9,ROUND(PMT(K29,($C$8-COUNTIF(M$14:M28,"&gt;0")),-C29)-L29,0),0))))</f>
        <v>0</v>
      </c>
      <c r="N29" s="175">
        <f t="shared" si="10"/>
        <v>0</v>
      </c>
      <c r="O29" s="175">
        <f t="shared" si="1"/>
        <v>0</v>
      </c>
      <c r="P29" s="175">
        <f t="shared" si="2"/>
        <v>0</v>
      </c>
      <c r="Q29" s="175">
        <f t="shared" si="11"/>
        <v>0</v>
      </c>
    </row>
    <row r="30" spans="1:17" x14ac:dyDescent="0.35">
      <c r="A30" s="43">
        <v>15</v>
      </c>
      <c r="B30" s="184">
        <v>42460</v>
      </c>
      <c r="C30" s="178">
        <f t="shared" si="12"/>
        <v>0</v>
      </c>
      <c r="D30" s="236">
        <f>VLOOKUP($B30,DTF!$B$9:$D$69,IF(Variables!$B$73=1,3,2),0)</f>
        <v>5.7500000000000009E-2</v>
      </c>
      <c r="E30" s="236">
        <f t="shared" si="3"/>
        <v>5.5518737978073787E-2</v>
      </c>
      <c r="F30" s="236">
        <f t="shared" si="0"/>
        <v>4.4999999999999998E-2</v>
      </c>
      <c r="G30" s="236">
        <f t="shared" si="4"/>
        <v>0.10051873797807379</v>
      </c>
      <c r="H30" s="236">
        <f t="shared" si="5"/>
        <v>2.5129684494518446E-2</v>
      </c>
      <c r="I30" s="236">
        <f t="shared" si="6"/>
        <v>2.5777464032729742E-2</v>
      </c>
      <c r="J30" s="236">
        <f t="shared" si="7"/>
        <v>0.10716567776831654</v>
      </c>
      <c r="K30" s="236">
        <f t="shared" si="8"/>
        <v>8.5196966452663059E-3</v>
      </c>
      <c r="L30" s="175">
        <f t="shared" si="9"/>
        <v>0</v>
      </c>
      <c r="M30" s="175">
        <f>IF($C30=0,0,IF($C$7="Abono Fijo a Capital",IF($B30&gt;$C$9,ROUND(C30/($C$8-COUNTIF(M$14:M29,"&gt;0")),0),0),IF($C$7="Pago Único al Final",C30,IF($B30&gt;$C$9,ROUND(PMT(K30,($C$8-COUNTIF(M$14:M29,"&gt;0")),-C30)-L30,0),0))))</f>
        <v>0</v>
      </c>
      <c r="N30" s="175">
        <f t="shared" si="10"/>
        <v>0</v>
      </c>
      <c r="O30" s="175">
        <f t="shared" si="1"/>
        <v>0</v>
      </c>
      <c r="P30" s="175">
        <f t="shared" si="2"/>
        <v>0</v>
      </c>
      <c r="Q30" s="175">
        <f t="shared" si="11"/>
        <v>0</v>
      </c>
    </row>
    <row r="31" spans="1:17" x14ac:dyDescent="0.35">
      <c r="A31" s="43">
        <v>16</v>
      </c>
      <c r="B31" s="184">
        <v>42490</v>
      </c>
      <c r="C31" s="178">
        <f t="shared" si="12"/>
        <v>0</v>
      </c>
      <c r="D31" s="236">
        <f>VLOOKUP($B31,DTF!$B$9:$D$69,IF(Variables!$B$73=1,3,2),0)</f>
        <v>5.5000000000000007E-2</v>
      </c>
      <c r="E31" s="236">
        <f t="shared" si="3"/>
        <v>5.318403363425931E-2</v>
      </c>
      <c r="F31" s="236">
        <f t="shared" si="0"/>
        <v>4.4999999999999998E-2</v>
      </c>
      <c r="G31" s="236">
        <f t="shared" si="4"/>
        <v>9.8184033634259316E-2</v>
      </c>
      <c r="H31" s="236">
        <f t="shared" si="5"/>
        <v>2.4546008408564829E-2</v>
      </c>
      <c r="I31" s="236">
        <f t="shared" si="6"/>
        <v>2.5163676216567087E-2</v>
      </c>
      <c r="J31" s="236">
        <f t="shared" si="7"/>
        <v>0.10451810505246129</v>
      </c>
      <c r="K31" s="236">
        <f t="shared" si="8"/>
        <v>8.3185027116630117E-3</v>
      </c>
      <c r="L31" s="175">
        <f t="shared" si="9"/>
        <v>0</v>
      </c>
      <c r="M31" s="175">
        <f>IF($C31=0,0,IF($C$7="Abono Fijo a Capital",IF($B31&gt;$C$9,ROUND(C31/($C$8-COUNTIF(M$14:M30,"&gt;0")),0),0),IF($C$7="Pago Único al Final",C31,IF($B31&gt;$C$9,ROUND(PMT(K31,($C$8-COUNTIF(M$14:M30,"&gt;0")),-C31)-L31,0),0))))</f>
        <v>0</v>
      </c>
      <c r="N31" s="175">
        <f t="shared" si="10"/>
        <v>0</v>
      </c>
      <c r="O31" s="175">
        <f t="shared" si="1"/>
        <v>0</v>
      </c>
      <c r="P31" s="175">
        <f t="shared" si="2"/>
        <v>0</v>
      </c>
      <c r="Q31" s="175">
        <f t="shared" si="11"/>
        <v>0</v>
      </c>
    </row>
    <row r="32" spans="1:17" x14ac:dyDescent="0.35">
      <c r="A32" s="43">
        <v>17</v>
      </c>
      <c r="B32" s="184">
        <v>42521</v>
      </c>
      <c r="C32" s="178">
        <f t="shared" si="12"/>
        <v>0</v>
      </c>
      <c r="D32" s="236">
        <f>VLOOKUP($B32,DTF!$B$9:$D$69,IF(Variables!$B$73=1,3,2),0)</f>
        <v>5.5000000000000007E-2</v>
      </c>
      <c r="E32" s="236">
        <f t="shared" si="3"/>
        <v>5.318403363425931E-2</v>
      </c>
      <c r="F32" s="236">
        <f t="shared" si="0"/>
        <v>4.4999999999999998E-2</v>
      </c>
      <c r="G32" s="236">
        <f t="shared" si="4"/>
        <v>9.8184033634259316E-2</v>
      </c>
      <c r="H32" s="236">
        <f t="shared" si="5"/>
        <v>2.4546008408564829E-2</v>
      </c>
      <c r="I32" s="236">
        <f t="shared" si="6"/>
        <v>2.5163676216567087E-2</v>
      </c>
      <c r="J32" s="236">
        <f t="shared" si="7"/>
        <v>0.10451810505246129</v>
      </c>
      <c r="K32" s="236">
        <f t="shared" si="8"/>
        <v>8.3185027116630117E-3</v>
      </c>
      <c r="L32" s="175">
        <f t="shared" si="9"/>
        <v>0</v>
      </c>
      <c r="M32" s="175">
        <f>IF($C32=0,0,IF($C$7="Abono Fijo a Capital",IF($B32&gt;$C$9,ROUND(C32/($C$8-COUNTIF(M$14:M31,"&gt;0")),0),0),IF($C$7="Pago Único al Final",C32,IF($B32&gt;$C$9,ROUND(PMT(K32,($C$8-COUNTIF(M$14:M31,"&gt;0")),-C32)-L32,0),0))))</f>
        <v>0</v>
      </c>
      <c r="N32" s="175">
        <f t="shared" si="10"/>
        <v>0</v>
      </c>
      <c r="O32" s="175">
        <f t="shared" si="1"/>
        <v>0</v>
      </c>
      <c r="P32" s="175">
        <f t="shared" si="2"/>
        <v>0</v>
      </c>
      <c r="Q32" s="175">
        <f t="shared" si="11"/>
        <v>0</v>
      </c>
    </row>
    <row r="33" spans="1:17" x14ac:dyDescent="0.35">
      <c r="A33" s="43">
        <v>18</v>
      </c>
      <c r="B33" s="184">
        <v>42551</v>
      </c>
      <c r="C33" s="178">
        <f t="shared" si="12"/>
        <v>0</v>
      </c>
      <c r="D33" s="236">
        <f>VLOOKUP($B33,DTF!$B$9:$D$69,IF(Variables!$B$73=1,3,2),0)</f>
        <v>5.5000000000000007E-2</v>
      </c>
      <c r="E33" s="236">
        <f t="shared" si="3"/>
        <v>5.318403363425931E-2</v>
      </c>
      <c r="F33" s="236">
        <f t="shared" si="0"/>
        <v>4.4999999999999998E-2</v>
      </c>
      <c r="G33" s="236">
        <f t="shared" si="4"/>
        <v>9.8184033634259316E-2</v>
      </c>
      <c r="H33" s="236">
        <f t="shared" si="5"/>
        <v>2.4546008408564829E-2</v>
      </c>
      <c r="I33" s="236">
        <f t="shared" si="6"/>
        <v>2.5163676216567087E-2</v>
      </c>
      <c r="J33" s="236">
        <f t="shared" si="7"/>
        <v>0.10451810505246129</v>
      </c>
      <c r="K33" s="236">
        <f t="shared" si="8"/>
        <v>8.3185027116630117E-3</v>
      </c>
      <c r="L33" s="175">
        <f t="shared" si="9"/>
        <v>0</v>
      </c>
      <c r="M33" s="175">
        <f>IF($C33=0,0,IF($C$7="Abono Fijo a Capital",IF($B33&gt;$C$9,ROUND(C33/($C$8-COUNTIF(M$14:M32,"&gt;0")),0),0),IF($C$7="Pago Único al Final",C33,IF($B33&gt;$C$9,ROUND(PMT(K33,($C$8-COUNTIF(M$14:M32,"&gt;0")),-C33)-L33,0),0))))</f>
        <v>0</v>
      </c>
      <c r="N33" s="175">
        <f t="shared" si="10"/>
        <v>0</v>
      </c>
      <c r="O33" s="175">
        <f t="shared" si="1"/>
        <v>0</v>
      </c>
      <c r="P33" s="175">
        <f t="shared" si="2"/>
        <v>0</v>
      </c>
      <c r="Q33" s="175">
        <f t="shared" si="11"/>
        <v>0</v>
      </c>
    </row>
    <row r="34" spans="1:17" x14ac:dyDescent="0.35">
      <c r="A34" s="43">
        <v>19</v>
      </c>
      <c r="B34" s="184">
        <v>42582</v>
      </c>
      <c r="C34" s="178">
        <f t="shared" si="12"/>
        <v>0</v>
      </c>
      <c r="D34" s="236">
        <f>VLOOKUP($B34,DTF!$B$9:$D$69,IF(Variables!$B$73=1,3,2),0)</f>
        <v>5.2500000000000005E-2</v>
      </c>
      <c r="E34" s="236">
        <f t="shared" si="3"/>
        <v>5.0842403434051039E-2</v>
      </c>
      <c r="F34" s="236">
        <f t="shared" si="0"/>
        <v>4.4999999999999998E-2</v>
      </c>
      <c r="G34" s="236">
        <f t="shared" si="4"/>
        <v>9.5842403434051038E-2</v>
      </c>
      <c r="H34" s="236">
        <f t="shared" si="5"/>
        <v>2.3960600858512759E-2</v>
      </c>
      <c r="I34" s="236">
        <f t="shared" si="6"/>
        <v>2.4548804976098525E-2</v>
      </c>
      <c r="J34" s="236">
        <f t="shared" si="7"/>
        <v>0.10187062278149561</v>
      </c>
      <c r="K34" s="236">
        <f t="shared" si="8"/>
        <v>8.1168731066512123E-3</v>
      </c>
      <c r="L34" s="175">
        <f t="shared" si="9"/>
        <v>0</v>
      </c>
      <c r="M34" s="175">
        <f>IF($C34=0,0,IF($C$7="Abono Fijo a Capital",IF($B34&gt;$C$9,ROUND(C34/($C$8-COUNTIF(M$14:M33,"&gt;0")),0),0),IF($C$7="Pago Único al Final",C34,IF($B34&gt;$C$9,ROUND(PMT(K34,($C$8-COUNTIF(M$14:M33,"&gt;0")),-C34)-L34,0),0))))</f>
        <v>0</v>
      </c>
      <c r="N34" s="175">
        <f t="shared" si="10"/>
        <v>0</v>
      </c>
      <c r="O34" s="175">
        <f t="shared" si="1"/>
        <v>0</v>
      </c>
      <c r="P34" s="175">
        <f t="shared" si="2"/>
        <v>0</v>
      </c>
      <c r="Q34" s="175">
        <f t="shared" si="11"/>
        <v>0</v>
      </c>
    </row>
    <row r="35" spans="1:17" x14ac:dyDescent="0.35">
      <c r="A35" s="43">
        <v>20</v>
      </c>
      <c r="B35" s="184">
        <v>42613</v>
      </c>
      <c r="C35" s="178">
        <f t="shared" si="12"/>
        <v>0</v>
      </c>
      <c r="D35" s="236">
        <f>VLOOKUP($B35,DTF!$B$9:$D$69,IF(Variables!$B$73=1,3,2),0)</f>
        <v>5.2500000000000005E-2</v>
      </c>
      <c r="E35" s="236">
        <f t="shared" si="3"/>
        <v>5.0842403434051039E-2</v>
      </c>
      <c r="F35" s="236">
        <f t="shared" si="0"/>
        <v>4.4999999999999998E-2</v>
      </c>
      <c r="G35" s="236">
        <f t="shared" si="4"/>
        <v>9.5842403434051038E-2</v>
      </c>
      <c r="H35" s="236">
        <f t="shared" si="5"/>
        <v>2.3960600858512759E-2</v>
      </c>
      <c r="I35" s="236">
        <f t="shared" si="6"/>
        <v>2.4548804976098525E-2</v>
      </c>
      <c r="J35" s="236">
        <f t="shared" si="7"/>
        <v>0.10187062278149561</v>
      </c>
      <c r="K35" s="236">
        <f t="shared" si="8"/>
        <v>8.1168731066512123E-3</v>
      </c>
      <c r="L35" s="175">
        <f t="shared" si="9"/>
        <v>0</v>
      </c>
      <c r="M35" s="175">
        <f>IF($C35=0,0,IF($C$7="Abono Fijo a Capital",IF($B35&gt;$C$9,ROUND(C35/($C$8-COUNTIF(M$14:M34,"&gt;0")),0),0),IF($C$7="Pago Único al Final",C35,IF($B35&gt;$C$9,ROUND(PMT(K35,($C$8-COUNTIF(M$14:M34,"&gt;0")),-C35)-L35,0),0))))</f>
        <v>0</v>
      </c>
      <c r="N35" s="175">
        <f t="shared" si="10"/>
        <v>0</v>
      </c>
      <c r="O35" s="175">
        <f t="shared" si="1"/>
        <v>0</v>
      </c>
      <c r="P35" s="175">
        <f t="shared" si="2"/>
        <v>0</v>
      </c>
      <c r="Q35" s="175">
        <f t="shared" si="11"/>
        <v>0</v>
      </c>
    </row>
    <row r="36" spans="1:17" x14ac:dyDescent="0.35">
      <c r="A36" s="43">
        <v>21</v>
      </c>
      <c r="B36" s="184">
        <v>42643</v>
      </c>
      <c r="C36" s="178">
        <f t="shared" si="12"/>
        <v>0</v>
      </c>
      <c r="D36" s="236">
        <f>VLOOKUP($B36,DTF!$B$9:$D$69,IF(Variables!$B$73=1,3,2),0)</f>
        <v>5.2500000000000005E-2</v>
      </c>
      <c r="E36" s="236">
        <f t="shared" si="3"/>
        <v>5.0842403434051039E-2</v>
      </c>
      <c r="F36" s="236">
        <f t="shared" si="0"/>
        <v>4.4999999999999998E-2</v>
      </c>
      <c r="G36" s="236">
        <f t="shared" si="4"/>
        <v>9.5842403434051038E-2</v>
      </c>
      <c r="H36" s="236">
        <f t="shared" si="5"/>
        <v>2.3960600858512759E-2</v>
      </c>
      <c r="I36" s="236">
        <f t="shared" si="6"/>
        <v>2.4548804976098525E-2</v>
      </c>
      <c r="J36" s="236">
        <f t="shared" si="7"/>
        <v>0.10187062278149561</v>
      </c>
      <c r="K36" s="236">
        <f t="shared" si="8"/>
        <v>8.1168731066512123E-3</v>
      </c>
      <c r="L36" s="175">
        <f t="shared" si="9"/>
        <v>0</v>
      </c>
      <c r="M36" s="175">
        <f>IF($C36=0,0,IF($C$7="Abono Fijo a Capital",IF($B36&gt;$C$9,ROUND(C36/($C$8-COUNTIF(M$14:M35,"&gt;0")),0),0),IF($C$7="Pago Único al Final",C36,IF($B36&gt;$C$9,ROUND(PMT(K36,($C$8-COUNTIF(M$14:M35,"&gt;0")),-C36)-L36,0),0))))</f>
        <v>0</v>
      </c>
      <c r="N36" s="175">
        <f t="shared" si="10"/>
        <v>0</v>
      </c>
      <c r="O36" s="175">
        <f t="shared" si="1"/>
        <v>0</v>
      </c>
      <c r="P36" s="175">
        <f t="shared" si="2"/>
        <v>0</v>
      </c>
      <c r="Q36" s="175">
        <f t="shared" si="11"/>
        <v>0</v>
      </c>
    </row>
    <row r="37" spans="1:17" x14ac:dyDescent="0.35">
      <c r="A37" s="43">
        <v>22</v>
      </c>
      <c r="B37" s="184">
        <v>42674</v>
      </c>
      <c r="C37" s="178">
        <f t="shared" si="12"/>
        <v>0</v>
      </c>
      <c r="D37" s="236">
        <f>VLOOKUP($B37,DTF!$B$9:$D$69,IF(Variables!$B$73=1,3,2),0)</f>
        <v>0.05</v>
      </c>
      <c r="E37" s="236">
        <f t="shared" si="3"/>
        <v>4.8493810307703902E-2</v>
      </c>
      <c r="F37" s="236">
        <f t="shared" si="0"/>
        <v>4.4999999999999998E-2</v>
      </c>
      <c r="G37" s="236">
        <f t="shared" si="4"/>
        <v>9.3493810307703901E-2</v>
      </c>
      <c r="H37" s="236">
        <f t="shared" si="5"/>
        <v>2.3373452576925975E-2</v>
      </c>
      <c r="I37" s="236">
        <f t="shared" si="6"/>
        <v>2.3932845813580583E-2</v>
      </c>
      <c r="J37" s="236">
        <f t="shared" si="7"/>
        <v>9.9223231112781862E-2</v>
      </c>
      <c r="K37" s="236">
        <f t="shared" si="8"/>
        <v>7.9148058474909355E-3</v>
      </c>
      <c r="L37" s="175">
        <f t="shared" si="9"/>
        <v>0</v>
      </c>
      <c r="M37" s="175">
        <f>IF($C37=0,0,IF($C$7="Abono Fijo a Capital",IF($B37&gt;$C$9,ROUND(C37/($C$8-COUNTIF(M$14:M36,"&gt;0")),0),0),IF($C$7="Pago Único al Final",C37,IF($B37&gt;$C$9,ROUND(PMT(K37,($C$8-COUNTIF(M$14:M36,"&gt;0")),-C37)-L37,0),0))))</f>
        <v>0</v>
      </c>
      <c r="N37" s="175">
        <f t="shared" si="10"/>
        <v>0</v>
      </c>
      <c r="O37" s="175">
        <f t="shared" si="1"/>
        <v>0</v>
      </c>
      <c r="P37" s="175">
        <f t="shared" si="2"/>
        <v>0</v>
      </c>
      <c r="Q37" s="175">
        <f t="shared" si="11"/>
        <v>0</v>
      </c>
    </row>
    <row r="38" spans="1:17" x14ac:dyDescent="0.35">
      <c r="A38" s="43">
        <v>23</v>
      </c>
      <c r="B38" s="184">
        <v>42704</v>
      </c>
      <c r="C38" s="178">
        <f t="shared" si="12"/>
        <v>0</v>
      </c>
      <c r="D38" s="236">
        <f>VLOOKUP($B38,DTF!$B$9:$D$69,IF(Variables!$B$73=1,3,2),0)</f>
        <v>0.05</v>
      </c>
      <c r="E38" s="236">
        <f t="shared" si="3"/>
        <v>4.8493810307703902E-2</v>
      </c>
      <c r="F38" s="236">
        <f t="shared" si="0"/>
        <v>4.4999999999999998E-2</v>
      </c>
      <c r="G38" s="236">
        <f t="shared" si="4"/>
        <v>9.3493810307703901E-2</v>
      </c>
      <c r="H38" s="236">
        <f t="shared" si="5"/>
        <v>2.3373452576925975E-2</v>
      </c>
      <c r="I38" s="236">
        <f t="shared" si="6"/>
        <v>2.3932845813580583E-2</v>
      </c>
      <c r="J38" s="236">
        <f t="shared" si="7"/>
        <v>9.9223231112781862E-2</v>
      </c>
      <c r="K38" s="236">
        <f t="shared" si="8"/>
        <v>7.9148058474909355E-3</v>
      </c>
      <c r="L38" s="175">
        <f t="shared" si="9"/>
        <v>0</v>
      </c>
      <c r="M38" s="175">
        <f>IF($C38=0,0,IF($C$7="Abono Fijo a Capital",IF($B38&gt;$C$9,ROUND(C38/($C$8-COUNTIF(M$14:M37,"&gt;0")),0),0),IF($C$7="Pago Único al Final",C38,IF($B38&gt;$C$9,ROUND(PMT(K38,($C$8-COUNTIF(M$14:M37,"&gt;0")),-C38)-L38,0),0))))</f>
        <v>0</v>
      </c>
      <c r="N38" s="175">
        <f t="shared" si="10"/>
        <v>0</v>
      </c>
      <c r="O38" s="175">
        <f t="shared" si="1"/>
        <v>0</v>
      </c>
      <c r="P38" s="175">
        <f t="shared" si="2"/>
        <v>0</v>
      </c>
      <c r="Q38" s="175">
        <f t="shared" si="11"/>
        <v>0</v>
      </c>
    </row>
    <row r="39" spans="1:17" x14ac:dyDescent="0.35">
      <c r="A39" s="43">
        <v>24</v>
      </c>
      <c r="B39" s="184">
        <v>42735</v>
      </c>
      <c r="C39" s="178">
        <f t="shared" si="12"/>
        <v>0</v>
      </c>
      <c r="D39" s="236">
        <f>VLOOKUP($B39,DTF!$B$9:$D$69,IF(Variables!$B$73=1,3,2),0)</f>
        <v>0.05</v>
      </c>
      <c r="E39" s="236">
        <f t="shared" si="3"/>
        <v>4.8493810307703902E-2</v>
      </c>
      <c r="F39" s="236">
        <f t="shared" si="0"/>
        <v>4.4999999999999998E-2</v>
      </c>
      <c r="G39" s="236">
        <f t="shared" si="4"/>
        <v>9.3493810307703901E-2</v>
      </c>
      <c r="H39" s="236">
        <f t="shared" si="5"/>
        <v>2.3373452576925975E-2</v>
      </c>
      <c r="I39" s="236">
        <f t="shared" si="6"/>
        <v>2.3932845813580583E-2</v>
      </c>
      <c r="J39" s="236">
        <f t="shared" si="7"/>
        <v>9.9223231112781862E-2</v>
      </c>
      <c r="K39" s="236">
        <f t="shared" si="8"/>
        <v>7.9148058474909355E-3</v>
      </c>
      <c r="L39" s="175">
        <f t="shared" si="9"/>
        <v>0</v>
      </c>
      <c r="M39" s="175">
        <f>IF($C39=0,0,IF($C$7="Abono Fijo a Capital",IF($B39&gt;$C$9,ROUND(C39/($C$8-COUNTIF(M$14:M38,"&gt;0")),0),0),IF($C$7="Pago Único al Final",C39,IF($B39&gt;$C$9,ROUND(PMT(K39,($C$8-COUNTIF(M$14:M38,"&gt;0")),-C39)-L39,0),0))))</f>
        <v>0</v>
      </c>
      <c r="N39" s="175">
        <f t="shared" si="10"/>
        <v>0</v>
      </c>
      <c r="O39" s="175">
        <f t="shared" si="1"/>
        <v>0</v>
      </c>
      <c r="P39" s="175">
        <f t="shared" si="2"/>
        <v>0</v>
      </c>
      <c r="Q39" s="175">
        <f t="shared" si="11"/>
        <v>0</v>
      </c>
    </row>
    <row r="40" spans="1:17" x14ac:dyDescent="0.35">
      <c r="A40" s="43">
        <v>25</v>
      </c>
      <c r="B40" s="184">
        <v>42766</v>
      </c>
      <c r="C40" s="178">
        <f t="shared" si="12"/>
        <v>0</v>
      </c>
      <c r="D40" s="236">
        <f>VLOOKUP($B40,DTF!$B$9:$D$69,IF(Variables!$B$73=1,3,2),0)</f>
        <v>5.2500000000000005E-2</v>
      </c>
      <c r="E40" s="236">
        <f t="shared" si="3"/>
        <v>5.0842403434051039E-2</v>
      </c>
      <c r="F40" s="236">
        <f t="shared" si="0"/>
        <v>4.4999999999999998E-2</v>
      </c>
      <c r="G40" s="236">
        <f t="shared" si="4"/>
        <v>9.5842403434051038E-2</v>
      </c>
      <c r="H40" s="236">
        <f t="shared" si="5"/>
        <v>2.3960600858512759E-2</v>
      </c>
      <c r="I40" s="236">
        <f t="shared" si="6"/>
        <v>2.4548804976098525E-2</v>
      </c>
      <c r="J40" s="236">
        <f t="shared" si="7"/>
        <v>0.10187062278149561</v>
      </c>
      <c r="K40" s="236">
        <f t="shared" si="8"/>
        <v>8.1168731066512123E-3</v>
      </c>
      <c r="L40" s="175">
        <f t="shared" si="9"/>
        <v>0</v>
      </c>
      <c r="M40" s="175">
        <f>IF($C40=0,0,IF($C$7="Abono Fijo a Capital",IF($B40&gt;$C$9,ROUND(C40/($C$8-COUNTIF(M$14:M39,"&gt;0")),0),0),IF($C$7="Pago Único al Final",C40,IF($B40&gt;$C$9,ROUND(PMT(K40,($C$8-COUNTIF(M$14:M39,"&gt;0")),-C40)-L40,0),0))))</f>
        <v>0</v>
      </c>
      <c r="N40" s="175">
        <f t="shared" si="10"/>
        <v>0</v>
      </c>
      <c r="O40" s="175">
        <f t="shared" si="1"/>
        <v>0</v>
      </c>
      <c r="P40" s="175">
        <f t="shared" si="2"/>
        <v>0</v>
      </c>
      <c r="Q40" s="175">
        <f t="shared" si="11"/>
        <v>0</v>
      </c>
    </row>
    <row r="41" spans="1:17" x14ac:dyDescent="0.35">
      <c r="A41" s="43">
        <v>26</v>
      </c>
      <c r="B41" s="184">
        <v>42794</v>
      </c>
      <c r="C41" s="178">
        <f t="shared" si="12"/>
        <v>0</v>
      </c>
      <c r="D41" s="236">
        <f>VLOOKUP($B41,DTF!$B$9:$D$69,IF(Variables!$B$73=1,3,2),0)</f>
        <v>5.2500000000000005E-2</v>
      </c>
      <c r="E41" s="236">
        <f t="shared" si="3"/>
        <v>5.0842403434051039E-2</v>
      </c>
      <c r="F41" s="236">
        <f t="shared" si="0"/>
        <v>4.4999999999999998E-2</v>
      </c>
      <c r="G41" s="236">
        <f t="shared" si="4"/>
        <v>9.5842403434051038E-2</v>
      </c>
      <c r="H41" s="236">
        <f t="shared" si="5"/>
        <v>2.3960600858512759E-2</v>
      </c>
      <c r="I41" s="236">
        <f t="shared" si="6"/>
        <v>2.4548804976098525E-2</v>
      </c>
      <c r="J41" s="236">
        <f t="shared" si="7"/>
        <v>0.10187062278149561</v>
      </c>
      <c r="K41" s="236">
        <f t="shared" si="8"/>
        <v>8.1168731066512123E-3</v>
      </c>
      <c r="L41" s="175">
        <f t="shared" si="9"/>
        <v>0</v>
      </c>
      <c r="M41" s="175">
        <f>IF($C41=0,0,IF($C$7="Abono Fijo a Capital",IF($B41&gt;$C$9,ROUND(C41/($C$8-COUNTIF(M$14:M40,"&gt;0")),0),0),IF($C$7="Pago Único al Final",C41,IF($B41&gt;$C$9,ROUND(PMT(K41,($C$8-COUNTIF(M$14:M40,"&gt;0")),-C41)-L41,0),0))))</f>
        <v>0</v>
      </c>
      <c r="N41" s="175">
        <f t="shared" si="10"/>
        <v>0</v>
      </c>
      <c r="O41" s="175">
        <f t="shared" si="1"/>
        <v>0</v>
      </c>
      <c r="P41" s="175">
        <f t="shared" si="2"/>
        <v>0</v>
      </c>
      <c r="Q41" s="175">
        <f t="shared" si="11"/>
        <v>0</v>
      </c>
    </row>
    <row r="42" spans="1:17" x14ac:dyDescent="0.35">
      <c r="A42" s="43">
        <v>27</v>
      </c>
      <c r="B42" s="184">
        <v>42825</v>
      </c>
      <c r="C42" s="178">
        <f t="shared" si="12"/>
        <v>0</v>
      </c>
      <c r="D42" s="236">
        <f>VLOOKUP($B42,DTF!$B$9:$D$69,IF(Variables!$B$73=1,3,2),0)</f>
        <v>5.2500000000000005E-2</v>
      </c>
      <c r="E42" s="236">
        <f t="shared" si="3"/>
        <v>5.0842403434051039E-2</v>
      </c>
      <c r="F42" s="236">
        <f t="shared" si="0"/>
        <v>4.4999999999999998E-2</v>
      </c>
      <c r="G42" s="236">
        <f t="shared" si="4"/>
        <v>9.5842403434051038E-2</v>
      </c>
      <c r="H42" s="236">
        <f t="shared" si="5"/>
        <v>2.3960600858512759E-2</v>
      </c>
      <c r="I42" s="236">
        <f t="shared" si="6"/>
        <v>2.4548804976098525E-2</v>
      </c>
      <c r="J42" s="236">
        <f t="shared" si="7"/>
        <v>0.10187062278149561</v>
      </c>
      <c r="K42" s="236">
        <f t="shared" si="8"/>
        <v>8.1168731066512123E-3</v>
      </c>
      <c r="L42" s="175">
        <f t="shared" si="9"/>
        <v>0</v>
      </c>
      <c r="M42" s="175">
        <f>IF($C42=0,0,IF($C$7="Abono Fijo a Capital",IF($B42&gt;$C$9,ROUND(C42/($C$8-COUNTIF(M$14:M41,"&gt;0")),0),0),IF($C$7="Pago Único al Final",C42,IF($B42&gt;$C$9,ROUND(PMT(K42,($C$8-COUNTIF(M$14:M41,"&gt;0")),-C42)-L42,0),0))))</f>
        <v>0</v>
      </c>
      <c r="N42" s="175">
        <f t="shared" si="10"/>
        <v>0</v>
      </c>
      <c r="O42" s="175">
        <f t="shared" si="1"/>
        <v>0</v>
      </c>
      <c r="P42" s="175">
        <f t="shared" si="2"/>
        <v>0</v>
      </c>
      <c r="Q42" s="175">
        <f t="shared" si="11"/>
        <v>0</v>
      </c>
    </row>
    <row r="43" spans="1:17" x14ac:dyDescent="0.35">
      <c r="A43" s="43">
        <v>28</v>
      </c>
      <c r="B43" s="184">
        <v>42855</v>
      </c>
      <c r="C43" s="178">
        <f t="shared" si="12"/>
        <v>0</v>
      </c>
      <c r="D43" s="236">
        <f>VLOOKUP($B43,DTF!$B$9:$D$69,IF(Variables!$B$73=1,3,2),0)</f>
        <v>0.05</v>
      </c>
      <c r="E43" s="236">
        <f t="shared" si="3"/>
        <v>4.8493810307703902E-2</v>
      </c>
      <c r="F43" s="236">
        <f t="shared" si="0"/>
        <v>4.4999999999999998E-2</v>
      </c>
      <c r="G43" s="236">
        <f t="shared" si="4"/>
        <v>9.3493810307703901E-2</v>
      </c>
      <c r="H43" s="236">
        <f t="shared" si="5"/>
        <v>2.3373452576925975E-2</v>
      </c>
      <c r="I43" s="236">
        <f t="shared" si="6"/>
        <v>2.3932845813580583E-2</v>
      </c>
      <c r="J43" s="236">
        <f t="shared" si="7"/>
        <v>9.9223231112781862E-2</v>
      </c>
      <c r="K43" s="236">
        <f t="shared" si="8"/>
        <v>7.9148058474909355E-3</v>
      </c>
      <c r="L43" s="175">
        <f t="shared" si="9"/>
        <v>0</v>
      </c>
      <c r="M43" s="175">
        <f>IF($C43=0,0,IF($C$7="Abono Fijo a Capital",IF($B43&gt;$C$9,ROUND(C43/($C$8-COUNTIF(M$14:M42,"&gt;0")),0),0),IF($C$7="Pago Único al Final",C43,IF($B43&gt;$C$9,ROUND(PMT(K43,($C$8-COUNTIF(M$14:M42,"&gt;0")),-C43)-L43,0),0))))</f>
        <v>0</v>
      </c>
      <c r="N43" s="175">
        <f t="shared" si="10"/>
        <v>0</v>
      </c>
      <c r="O43" s="175">
        <f t="shared" si="1"/>
        <v>0</v>
      </c>
      <c r="P43" s="175">
        <f t="shared" si="2"/>
        <v>0</v>
      </c>
      <c r="Q43" s="175">
        <f t="shared" si="11"/>
        <v>0</v>
      </c>
    </row>
    <row r="44" spans="1:17" x14ac:dyDescent="0.35">
      <c r="A44" s="43">
        <v>29</v>
      </c>
      <c r="B44" s="184">
        <v>42886</v>
      </c>
      <c r="C44" s="178">
        <f t="shared" si="12"/>
        <v>0</v>
      </c>
      <c r="D44" s="236">
        <f>VLOOKUP($B44,DTF!$B$9:$D$69,IF(Variables!$B$73=1,3,2),0)</f>
        <v>0.05</v>
      </c>
      <c r="E44" s="236">
        <f t="shared" si="3"/>
        <v>4.8493810307703902E-2</v>
      </c>
      <c r="F44" s="236">
        <f t="shared" si="0"/>
        <v>4.4999999999999998E-2</v>
      </c>
      <c r="G44" s="236">
        <f t="shared" si="4"/>
        <v>9.3493810307703901E-2</v>
      </c>
      <c r="H44" s="236">
        <f t="shared" si="5"/>
        <v>2.3373452576925975E-2</v>
      </c>
      <c r="I44" s="236">
        <f t="shared" si="6"/>
        <v>2.3932845813580583E-2</v>
      </c>
      <c r="J44" s="236">
        <f t="shared" si="7"/>
        <v>9.9223231112781862E-2</v>
      </c>
      <c r="K44" s="236">
        <f t="shared" si="8"/>
        <v>7.9148058474909355E-3</v>
      </c>
      <c r="L44" s="175">
        <f t="shared" si="9"/>
        <v>0</v>
      </c>
      <c r="M44" s="175">
        <f>IF($C44=0,0,IF($C$7="Abono Fijo a Capital",IF($B44&gt;$C$9,ROUND(C44/($C$8-COUNTIF(M$14:M43,"&gt;0")),0),0),IF($C$7="Pago Único al Final",C44,IF($B44&gt;$C$9,ROUND(PMT(K44,($C$8-COUNTIF(M$14:M43,"&gt;0")),-C44)-L44,0),0))))</f>
        <v>0</v>
      </c>
      <c r="N44" s="175">
        <f t="shared" si="10"/>
        <v>0</v>
      </c>
      <c r="O44" s="175">
        <f t="shared" si="1"/>
        <v>0</v>
      </c>
      <c r="P44" s="175">
        <f t="shared" si="2"/>
        <v>0</v>
      </c>
      <c r="Q44" s="175">
        <f t="shared" si="11"/>
        <v>0</v>
      </c>
    </row>
    <row r="45" spans="1:17" x14ac:dyDescent="0.35">
      <c r="A45" s="43">
        <v>30</v>
      </c>
      <c r="B45" s="184">
        <v>42916</v>
      </c>
      <c r="C45" s="178">
        <f t="shared" si="12"/>
        <v>0</v>
      </c>
      <c r="D45" s="236">
        <f>VLOOKUP($B45,DTF!$B$9:$D$69,IF(Variables!$B$73=1,3,2),0)</f>
        <v>0.05</v>
      </c>
      <c r="E45" s="236">
        <f t="shared" si="3"/>
        <v>4.8493810307703902E-2</v>
      </c>
      <c r="F45" s="236">
        <f t="shared" si="0"/>
        <v>4.4999999999999998E-2</v>
      </c>
      <c r="G45" s="236">
        <f t="shared" si="4"/>
        <v>9.3493810307703901E-2</v>
      </c>
      <c r="H45" s="236">
        <f t="shared" si="5"/>
        <v>2.3373452576925975E-2</v>
      </c>
      <c r="I45" s="236">
        <f t="shared" si="6"/>
        <v>2.3932845813580583E-2</v>
      </c>
      <c r="J45" s="236">
        <f t="shared" si="7"/>
        <v>9.9223231112781862E-2</v>
      </c>
      <c r="K45" s="236">
        <f t="shared" si="8"/>
        <v>7.9148058474909355E-3</v>
      </c>
      <c r="L45" s="175">
        <f t="shared" si="9"/>
        <v>0</v>
      </c>
      <c r="M45" s="175">
        <f>IF($C45=0,0,IF($C$7="Abono Fijo a Capital",IF($B45&gt;$C$9,ROUND(C45/($C$8-COUNTIF(M$14:M44,"&gt;0")),0),0),IF($C$7="Pago Único al Final",C45,IF($B45&gt;$C$9,ROUND(PMT(K45,($C$8-COUNTIF(M$14:M44,"&gt;0")),-C45)-L45,0),0))))</f>
        <v>0</v>
      </c>
      <c r="N45" s="175">
        <f t="shared" si="10"/>
        <v>0</v>
      </c>
      <c r="O45" s="175">
        <f t="shared" si="1"/>
        <v>0</v>
      </c>
      <c r="P45" s="175">
        <f t="shared" si="2"/>
        <v>0</v>
      </c>
      <c r="Q45" s="175">
        <f t="shared" si="11"/>
        <v>0</v>
      </c>
    </row>
    <row r="46" spans="1:17" x14ac:dyDescent="0.35">
      <c r="A46" s="43">
        <v>31</v>
      </c>
      <c r="B46" s="184">
        <v>42947</v>
      </c>
      <c r="C46" s="178">
        <f t="shared" si="12"/>
        <v>0</v>
      </c>
      <c r="D46" s="236">
        <f>VLOOKUP($B46,DTF!$B$9:$D$69,IF(Variables!$B$73=1,3,2),0)</f>
        <v>4.7500000000000001E-2</v>
      </c>
      <c r="E46" s="236">
        <f t="shared" si="3"/>
        <v>4.6138216898191912E-2</v>
      </c>
      <c r="F46" s="236">
        <f t="shared" si="0"/>
        <v>4.4999999999999998E-2</v>
      </c>
      <c r="G46" s="236">
        <f t="shared" si="4"/>
        <v>9.1138216898191904E-2</v>
      </c>
      <c r="H46" s="236">
        <f t="shared" si="5"/>
        <v>2.2784554224547976E-2</v>
      </c>
      <c r="I46" s="236">
        <f t="shared" si="6"/>
        <v>2.3315794201827927E-2</v>
      </c>
      <c r="J46" s="236">
        <f t="shared" si="7"/>
        <v>9.6575930204327642E-2</v>
      </c>
      <c r="K46" s="236">
        <f t="shared" si="8"/>
        <v>7.7122989376692264E-3</v>
      </c>
      <c r="L46" s="175">
        <f t="shared" si="9"/>
        <v>0</v>
      </c>
      <c r="M46" s="175">
        <f>IF($C46=0,0,IF($C$7="Abono Fijo a Capital",IF($B46&gt;$C$9,ROUND(C46/($C$8-COUNTIF(M$14:M45,"&gt;0")),0),0),IF($C$7="Pago Único al Final",C46,IF($B46&gt;$C$9,ROUND(PMT(K46,($C$8-COUNTIF(M$14:M45,"&gt;0")),-C46)-L46,0),0))))</f>
        <v>0</v>
      </c>
      <c r="N46" s="175">
        <f t="shared" si="10"/>
        <v>0</v>
      </c>
      <c r="O46" s="175">
        <f t="shared" si="1"/>
        <v>0</v>
      </c>
      <c r="P46" s="175">
        <f t="shared" si="2"/>
        <v>0</v>
      </c>
      <c r="Q46" s="175">
        <f t="shared" si="11"/>
        <v>0</v>
      </c>
    </row>
    <row r="47" spans="1:17" x14ac:dyDescent="0.35">
      <c r="A47" s="43">
        <v>32</v>
      </c>
      <c r="B47" s="184">
        <v>42978</v>
      </c>
      <c r="C47" s="178">
        <f t="shared" si="12"/>
        <v>0</v>
      </c>
      <c r="D47" s="236">
        <f>VLOOKUP($B47,DTF!$B$9:$D$69,IF(Variables!$B$73=1,3,2),0)</f>
        <v>4.7500000000000001E-2</v>
      </c>
      <c r="E47" s="236">
        <f t="shared" si="3"/>
        <v>4.6138216898191912E-2</v>
      </c>
      <c r="F47" s="236">
        <f t="shared" ref="F47:F75" si="13">$C$3</f>
        <v>4.4999999999999998E-2</v>
      </c>
      <c r="G47" s="236">
        <f t="shared" si="4"/>
        <v>9.1138216898191904E-2</v>
      </c>
      <c r="H47" s="236">
        <f t="shared" si="5"/>
        <v>2.2784554224547976E-2</v>
      </c>
      <c r="I47" s="236">
        <f t="shared" si="6"/>
        <v>2.3315794201827927E-2</v>
      </c>
      <c r="J47" s="236">
        <f t="shared" si="7"/>
        <v>9.6575930204327642E-2</v>
      </c>
      <c r="K47" s="236">
        <f t="shared" si="8"/>
        <v>7.7122989376692264E-3</v>
      </c>
      <c r="L47" s="175">
        <f t="shared" si="9"/>
        <v>0</v>
      </c>
      <c r="M47" s="175">
        <f>IF($C47=0,0,IF($C$7="Abono Fijo a Capital",IF($B47&gt;$C$9,ROUND(C47/($C$8-COUNTIF(M$14:M46,"&gt;0")),0),0),IF($C$7="Pago Único al Final",C47,IF($B47&gt;$C$9,ROUND(PMT(K47,($C$8-COUNTIF(M$14:M46,"&gt;0")),-C47)-L47,0),0))))</f>
        <v>0</v>
      </c>
      <c r="N47" s="175">
        <f t="shared" si="10"/>
        <v>0</v>
      </c>
      <c r="O47" s="175">
        <f t="shared" ref="O47:O75" si="14">IF($B47=$C$9,$C$2,0)</f>
        <v>0</v>
      </c>
      <c r="P47" s="175">
        <f t="shared" ref="P47:P75" si="15">C47-M47+O47</f>
        <v>0</v>
      </c>
      <c r="Q47" s="175">
        <f t="shared" si="11"/>
        <v>0</v>
      </c>
    </row>
    <row r="48" spans="1:17" x14ac:dyDescent="0.35">
      <c r="A48" s="43">
        <v>33</v>
      </c>
      <c r="B48" s="184">
        <v>43008</v>
      </c>
      <c r="C48" s="178">
        <f t="shared" si="12"/>
        <v>0</v>
      </c>
      <c r="D48" s="236">
        <f>VLOOKUP($B48,DTF!$B$9:$D$69,IF(Variables!$B$73=1,3,2),0)</f>
        <v>4.7500000000000001E-2</v>
      </c>
      <c r="E48" s="236">
        <f t="shared" si="3"/>
        <v>4.6138216898191912E-2</v>
      </c>
      <c r="F48" s="236">
        <f t="shared" si="13"/>
        <v>4.4999999999999998E-2</v>
      </c>
      <c r="G48" s="236">
        <f t="shared" si="4"/>
        <v>9.1138216898191904E-2</v>
      </c>
      <c r="H48" s="236">
        <f t="shared" si="5"/>
        <v>2.2784554224547976E-2</v>
      </c>
      <c r="I48" s="236">
        <f t="shared" si="6"/>
        <v>2.3315794201827927E-2</v>
      </c>
      <c r="J48" s="236">
        <f t="shared" si="7"/>
        <v>9.6575930204327642E-2</v>
      </c>
      <c r="K48" s="236">
        <f t="shared" si="8"/>
        <v>7.7122989376692264E-3</v>
      </c>
      <c r="L48" s="175">
        <f t="shared" si="9"/>
        <v>0</v>
      </c>
      <c r="M48" s="175">
        <f>IF($C48=0,0,IF($C$7="Abono Fijo a Capital",IF($B48&gt;$C$9,ROUND(C48/($C$8-COUNTIF(M$14:M47,"&gt;0")),0),0),IF($C$7="Pago Único al Final",C48,IF($B48&gt;$C$9,ROUND(PMT(K48,($C$8-COUNTIF(M$14:M47,"&gt;0")),-C48)-L48,0),0))))</f>
        <v>0</v>
      </c>
      <c r="N48" s="175">
        <f t="shared" si="10"/>
        <v>0</v>
      </c>
      <c r="O48" s="175">
        <f t="shared" si="14"/>
        <v>0</v>
      </c>
      <c r="P48" s="175">
        <f t="shared" si="15"/>
        <v>0</v>
      </c>
      <c r="Q48" s="175">
        <f t="shared" si="11"/>
        <v>0</v>
      </c>
    </row>
    <row r="49" spans="1:17" x14ac:dyDescent="0.35">
      <c r="A49" s="43">
        <v>34</v>
      </c>
      <c r="B49" s="184">
        <v>43039</v>
      </c>
      <c r="C49" s="178">
        <f t="shared" si="12"/>
        <v>0</v>
      </c>
      <c r="D49" s="236">
        <f>VLOOKUP($B49,DTF!$B$9:$D$69,IF(Variables!$B$73=1,3,2),0)</f>
        <v>4.4999999999999998E-2</v>
      </c>
      <c r="E49" s="236">
        <f t="shared" si="3"/>
        <v>4.3775585558297421E-2</v>
      </c>
      <c r="F49" s="236">
        <f t="shared" si="13"/>
        <v>4.4999999999999998E-2</v>
      </c>
      <c r="G49" s="236">
        <f t="shared" si="4"/>
        <v>8.8775585558297426E-2</v>
      </c>
      <c r="H49" s="236">
        <f t="shared" si="5"/>
        <v>2.2193896389574357E-2</v>
      </c>
      <c r="I49" s="236">
        <f t="shared" si="6"/>
        <v>2.2697645583951865E-2</v>
      </c>
      <c r="J49" s="236">
        <f t="shared" si="7"/>
        <v>9.3928720214802919E-2</v>
      </c>
      <c r="K49" s="236">
        <f t="shared" si="8"/>
        <v>7.5093503667722494E-3</v>
      </c>
      <c r="L49" s="175">
        <f t="shared" si="9"/>
        <v>0</v>
      </c>
      <c r="M49" s="175">
        <f>IF($C49=0,0,IF($C$7="Abono Fijo a Capital",IF($B49&gt;$C$9,ROUND(C49/($C$8-COUNTIF(M$14:M48,"&gt;0")),0),0),IF($C$7="Pago Único al Final",C49,IF($B49&gt;$C$9,ROUND(PMT(K49,($C$8-COUNTIF(M$14:M48,"&gt;0")),-C49)-L49,0),0))))</f>
        <v>0</v>
      </c>
      <c r="N49" s="175">
        <f t="shared" si="10"/>
        <v>0</v>
      </c>
      <c r="O49" s="175">
        <f t="shared" si="14"/>
        <v>0</v>
      </c>
      <c r="P49" s="175">
        <f t="shared" si="15"/>
        <v>0</v>
      </c>
      <c r="Q49" s="175">
        <f t="shared" si="11"/>
        <v>0</v>
      </c>
    </row>
    <row r="50" spans="1:17" x14ac:dyDescent="0.35">
      <c r="A50" s="43">
        <v>35</v>
      </c>
      <c r="B50" s="184">
        <v>43069</v>
      </c>
      <c r="C50" s="178">
        <f t="shared" si="12"/>
        <v>0</v>
      </c>
      <c r="D50" s="236">
        <f>VLOOKUP($B50,DTF!$B$9:$D$69,IF(Variables!$B$73=1,3,2),0)</f>
        <v>4.4999999999999998E-2</v>
      </c>
      <c r="E50" s="236">
        <f t="shared" si="3"/>
        <v>4.3775585558297421E-2</v>
      </c>
      <c r="F50" s="236">
        <f t="shared" si="13"/>
        <v>4.4999999999999998E-2</v>
      </c>
      <c r="G50" s="236">
        <f t="shared" si="4"/>
        <v>8.8775585558297426E-2</v>
      </c>
      <c r="H50" s="236">
        <f t="shared" si="5"/>
        <v>2.2193896389574357E-2</v>
      </c>
      <c r="I50" s="236">
        <f t="shared" si="6"/>
        <v>2.2697645583951865E-2</v>
      </c>
      <c r="J50" s="236">
        <f t="shared" si="7"/>
        <v>9.3928720214802919E-2</v>
      </c>
      <c r="K50" s="236">
        <f t="shared" si="8"/>
        <v>7.5093503667722494E-3</v>
      </c>
      <c r="L50" s="175">
        <f t="shared" si="9"/>
        <v>0</v>
      </c>
      <c r="M50" s="175">
        <f>IF($C50=0,0,IF($C$7="Abono Fijo a Capital",IF($B50&gt;$C$9,ROUND(C50/($C$8-COUNTIF(M$14:M49,"&gt;0")),0),0),IF($C$7="Pago Único al Final",C50,IF($B50&gt;$C$9,ROUND(PMT(K50,($C$8-COUNTIF(M$14:M49,"&gt;0")),-C50)-L50,0),0))))</f>
        <v>0</v>
      </c>
      <c r="N50" s="175">
        <f t="shared" si="10"/>
        <v>0</v>
      </c>
      <c r="O50" s="175">
        <f t="shared" si="14"/>
        <v>0</v>
      </c>
      <c r="P50" s="175">
        <f t="shared" si="15"/>
        <v>0</v>
      </c>
      <c r="Q50" s="175">
        <f t="shared" si="11"/>
        <v>0</v>
      </c>
    </row>
    <row r="51" spans="1:17" x14ac:dyDescent="0.35">
      <c r="A51" s="43">
        <v>36</v>
      </c>
      <c r="B51" s="184">
        <v>43100</v>
      </c>
      <c r="C51" s="178">
        <f t="shared" si="12"/>
        <v>0</v>
      </c>
      <c r="D51" s="236">
        <f>VLOOKUP($B51,DTF!$B$9:$D$69,IF(Variables!$B$73=1,3,2),0)</f>
        <v>4.4999999999999998E-2</v>
      </c>
      <c r="E51" s="236">
        <f t="shared" si="3"/>
        <v>4.3775585558297421E-2</v>
      </c>
      <c r="F51" s="236">
        <f t="shared" si="13"/>
        <v>4.4999999999999998E-2</v>
      </c>
      <c r="G51" s="236">
        <f t="shared" si="4"/>
        <v>8.8775585558297426E-2</v>
      </c>
      <c r="H51" s="236">
        <f t="shared" si="5"/>
        <v>2.2193896389574357E-2</v>
      </c>
      <c r="I51" s="236">
        <f t="shared" si="6"/>
        <v>2.2697645583951865E-2</v>
      </c>
      <c r="J51" s="236">
        <f t="shared" si="7"/>
        <v>9.3928720214802919E-2</v>
      </c>
      <c r="K51" s="236">
        <f t="shared" si="8"/>
        <v>7.5093503667722494E-3</v>
      </c>
      <c r="L51" s="175">
        <f t="shared" si="9"/>
        <v>0</v>
      </c>
      <c r="M51" s="175">
        <f>IF($C51=0,0,IF($C$7="Abono Fijo a Capital",IF($B51&gt;$C$9,ROUND(C51/($C$8-COUNTIF(M$14:M50,"&gt;0")),0),0),IF($C$7="Pago Único al Final",C51,IF($B51&gt;$C$9,ROUND(PMT(K51,($C$8-COUNTIF(M$14:M50,"&gt;0")),-C51)-L51,0),0))))</f>
        <v>0</v>
      </c>
      <c r="N51" s="175">
        <f t="shared" si="10"/>
        <v>0</v>
      </c>
      <c r="O51" s="175">
        <f t="shared" si="14"/>
        <v>0</v>
      </c>
      <c r="P51" s="175">
        <f t="shared" si="15"/>
        <v>0</v>
      </c>
      <c r="Q51" s="175">
        <f t="shared" si="11"/>
        <v>0</v>
      </c>
    </row>
    <row r="52" spans="1:17" x14ac:dyDescent="0.35">
      <c r="A52" s="43">
        <v>37</v>
      </c>
      <c r="B52" s="184">
        <v>43131</v>
      </c>
      <c r="C52" s="178">
        <f t="shared" si="12"/>
        <v>0</v>
      </c>
      <c r="D52" s="236">
        <f>VLOOKUP($B52,DTF!$B$9:$D$69,IF(Variables!$B$73=1,3,2),0)</f>
        <v>4.7500000000000001E-2</v>
      </c>
      <c r="E52" s="236">
        <f t="shared" si="3"/>
        <v>4.6138216898191912E-2</v>
      </c>
      <c r="F52" s="236">
        <f t="shared" si="13"/>
        <v>4.4999999999999998E-2</v>
      </c>
      <c r="G52" s="236">
        <f t="shared" si="4"/>
        <v>9.1138216898191904E-2</v>
      </c>
      <c r="H52" s="236">
        <f t="shared" si="5"/>
        <v>2.2784554224547976E-2</v>
      </c>
      <c r="I52" s="236">
        <f t="shared" si="6"/>
        <v>2.3315794201827927E-2</v>
      </c>
      <c r="J52" s="236">
        <f t="shared" si="7"/>
        <v>9.6575930204327642E-2</v>
      </c>
      <c r="K52" s="236">
        <f t="shared" si="8"/>
        <v>7.7122989376692264E-3</v>
      </c>
      <c r="L52" s="175">
        <f t="shared" si="9"/>
        <v>0</v>
      </c>
      <c r="M52" s="175">
        <f>IF($C52=0,0,IF($C$7="Abono Fijo a Capital",IF($B52&gt;$C$9,ROUND(C52/($C$8-COUNTIF(M$14:M51,"&gt;0")),0),0),IF($C$7="Pago Único al Final",C52,IF($B52&gt;$C$9,ROUND(PMT(K52,($C$8-COUNTIF(M$14:M51,"&gt;0")),-C52)-L52,0),0))))</f>
        <v>0</v>
      </c>
      <c r="N52" s="175">
        <f t="shared" si="10"/>
        <v>0</v>
      </c>
      <c r="O52" s="175">
        <f t="shared" si="14"/>
        <v>0</v>
      </c>
      <c r="P52" s="175">
        <f t="shared" si="15"/>
        <v>0</v>
      </c>
      <c r="Q52" s="175">
        <f t="shared" si="11"/>
        <v>0</v>
      </c>
    </row>
    <row r="53" spans="1:17" x14ac:dyDescent="0.35">
      <c r="A53" s="43">
        <v>38</v>
      </c>
      <c r="B53" s="184">
        <v>43159</v>
      </c>
      <c r="C53" s="178">
        <f t="shared" si="12"/>
        <v>0</v>
      </c>
      <c r="D53" s="236">
        <f>VLOOKUP($B53,DTF!$B$9:$D$69,IF(Variables!$B$73=1,3,2),0)</f>
        <v>4.7500000000000001E-2</v>
      </c>
      <c r="E53" s="236">
        <f t="shared" si="3"/>
        <v>4.6138216898191912E-2</v>
      </c>
      <c r="F53" s="236">
        <f t="shared" si="13"/>
        <v>4.4999999999999998E-2</v>
      </c>
      <c r="G53" s="236">
        <f t="shared" si="4"/>
        <v>9.1138216898191904E-2</v>
      </c>
      <c r="H53" s="236">
        <f t="shared" si="5"/>
        <v>2.2784554224547976E-2</v>
      </c>
      <c r="I53" s="236">
        <f t="shared" si="6"/>
        <v>2.3315794201827927E-2</v>
      </c>
      <c r="J53" s="236">
        <f t="shared" si="7"/>
        <v>9.6575930204327642E-2</v>
      </c>
      <c r="K53" s="236">
        <f t="shared" si="8"/>
        <v>7.7122989376692264E-3</v>
      </c>
      <c r="L53" s="175">
        <f t="shared" si="9"/>
        <v>0</v>
      </c>
      <c r="M53" s="175">
        <f>IF($C53=0,0,IF($C$7="Abono Fijo a Capital",IF($B53&gt;$C$9,ROUND(C53/($C$8-COUNTIF(M$14:M52,"&gt;0")),0),0),IF($C$7="Pago Único al Final",C53,IF($B53&gt;$C$9,ROUND(PMT(K53,($C$8-COUNTIF(M$14:M52,"&gt;0")),-C53)-L53,0),0))))</f>
        <v>0</v>
      </c>
      <c r="N53" s="175">
        <f t="shared" si="10"/>
        <v>0</v>
      </c>
      <c r="O53" s="175">
        <f t="shared" si="14"/>
        <v>0</v>
      </c>
      <c r="P53" s="175">
        <f t="shared" si="15"/>
        <v>0</v>
      </c>
      <c r="Q53" s="175">
        <f t="shared" si="11"/>
        <v>0</v>
      </c>
    </row>
    <row r="54" spans="1:17" x14ac:dyDescent="0.35">
      <c r="A54" s="43">
        <v>39</v>
      </c>
      <c r="B54" s="184">
        <v>43190</v>
      </c>
      <c r="C54" s="178">
        <f t="shared" si="12"/>
        <v>0</v>
      </c>
      <c r="D54" s="236">
        <f>VLOOKUP($B54,DTF!$B$9:$D$69,IF(Variables!$B$73=1,3,2),0)</f>
        <v>4.7500000000000001E-2</v>
      </c>
      <c r="E54" s="236">
        <f t="shared" si="3"/>
        <v>4.6138216898191912E-2</v>
      </c>
      <c r="F54" s="236">
        <f t="shared" si="13"/>
        <v>4.4999999999999998E-2</v>
      </c>
      <c r="G54" s="236">
        <f t="shared" si="4"/>
        <v>9.1138216898191904E-2</v>
      </c>
      <c r="H54" s="236">
        <f t="shared" si="5"/>
        <v>2.2784554224547976E-2</v>
      </c>
      <c r="I54" s="236">
        <f t="shared" si="6"/>
        <v>2.3315794201827927E-2</v>
      </c>
      <c r="J54" s="236">
        <f t="shared" si="7"/>
        <v>9.6575930204327642E-2</v>
      </c>
      <c r="K54" s="236">
        <f t="shared" si="8"/>
        <v>7.7122989376692264E-3</v>
      </c>
      <c r="L54" s="175">
        <f t="shared" si="9"/>
        <v>0</v>
      </c>
      <c r="M54" s="175">
        <f>IF($C54=0,0,IF($C$7="Abono Fijo a Capital",IF($B54&gt;$C$9,ROUND(C54/($C$8-COUNTIF(M$14:M53,"&gt;0")),0),0),IF($C$7="Pago Único al Final",C54,IF($B54&gt;$C$9,ROUND(PMT(K54,($C$8-COUNTIF(M$14:M53,"&gt;0")),-C54)-L54,0),0))))</f>
        <v>0</v>
      </c>
      <c r="N54" s="175">
        <f t="shared" si="10"/>
        <v>0</v>
      </c>
      <c r="O54" s="175">
        <f t="shared" si="14"/>
        <v>0</v>
      </c>
      <c r="P54" s="175">
        <f t="shared" si="15"/>
        <v>0</v>
      </c>
      <c r="Q54" s="175">
        <f t="shared" si="11"/>
        <v>0</v>
      </c>
    </row>
    <row r="55" spans="1:17" x14ac:dyDescent="0.35">
      <c r="A55" s="43">
        <v>40</v>
      </c>
      <c r="B55" s="184">
        <v>43220</v>
      </c>
      <c r="C55" s="178">
        <f t="shared" si="12"/>
        <v>0</v>
      </c>
      <c r="D55" s="236">
        <f>VLOOKUP($B55,DTF!$B$9:$D$69,IF(Variables!$B$73=1,3,2),0)</f>
        <v>4.4999999999999998E-2</v>
      </c>
      <c r="E55" s="236">
        <f t="shared" si="3"/>
        <v>4.3775585558297421E-2</v>
      </c>
      <c r="F55" s="236">
        <f t="shared" si="13"/>
        <v>4.4999999999999998E-2</v>
      </c>
      <c r="G55" s="236">
        <f t="shared" si="4"/>
        <v>8.8775585558297426E-2</v>
      </c>
      <c r="H55" s="236">
        <f t="shared" si="5"/>
        <v>2.2193896389574357E-2</v>
      </c>
      <c r="I55" s="236">
        <f t="shared" si="6"/>
        <v>2.2697645583951865E-2</v>
      </c>
      <c r="J55" s="236">
        <f t="shared" si="7"/>
        <v>9.3928720214802919E-2</v>
      </c>
      <c r="K55" s="236">
        <f t="shared" si="8"/>
        <v>7.5093503667722494E-3</v>
      </c>
      <c r="L55" s="175">
        <f t="shared" si="9"/>
        <v>0</v>
      </c>
      <c r="M55" s="175">
        <f>IF($C55=0,0,IF($C$7="Abono Fijo a Capital",IF($B55&gt;$C$9,ROUND(C55/($C$8-COUNTIF(M$14:M54,"&gt;0")),0),0),IF($C$7="Pago Único al Final",C55,IF($B55&gt;$C$9,ROUND(PMT(K55,($C$8-COUNTIF(M$14:M54,"&gt;0")),-C55)-L55,0),0))))</f>
        <v>0</v>
      </c>
      <c r="N55" s="175">
        <f t="shared" si="10"/>
        <v>0</v>
      </c>
      <c r="O55" s="175">
        <f t="shared" si="14"/>
        <v>0</v>
      </c>
      <c r="P55" s="175">
        <f t="shared" si="15"/>
        <v>0</v>
      </c>
      <c r="Q55" s="175">
        <f t="shared" si="11"/>
        <v>0</v>
      </c>
    </row>
    <row r="56" spans="1:17" x14ac:dyDescent="0.35">
      <c r="A56" s="43">
        <v>41</v>
      </c>
      <c r="B56" s="184">
        <v>43251</v>
      </c>
      <c r="C56" s="178">
        <f t="shared" si="12"/>
        <v>0</v>
      </c>
      <c r="D56" s="236">
        <f>VLOOKUP($B56,DTF!$B$9:$D$69,IF(Variables!$B$73=1,3,2),0)</f>
        <v>4.4999999999999998E-2</v>
      </c>
      <c r="E56" s="236">
        <f t="shared" si="3"/>
        <v>4.3775585558297421E-2</v>
      </c>
      <c r="F56" s="236">
        <f t="shared" si="13"/>
        <v>4.4999999999999998E-2</v>
      </c>
      <c r="G56" s="236">
        <f t="shared" si="4"/>
        <v>8.8775585558297426E-2</v>
      </c>
      <c r="H56" s="236">
        <f t="shared" si="5"/>
        <v>2.2193896389574357E-2</v>
      </c>
      <c r="I56" s="236">
        <f t="shared" si="6"/>
        <v>2.2697645583951865E-2</v>
      </c>
      <c r="J56" s="236">
        <f t="shared" si="7"/>
        <v>9.3928720214802919E-2</v>
      </c>
      <c r="K56" s="236">
        <f t="shared" si="8"/>
        <v>7.5093503667722494E-3</v>
      </c>
      <c r="L56" s="175">
        <f t="shared" si="9"/>
        <v>0</v>
      </c>
      <c r="M56" s="175">
        <f>IF($C56=0,0,IF($C$7="Abono Fijo a Capital",IF($B56&gt;$C$9,ROUND(C56/($C$8-COUNTIF(M$14:M55,"&gt;0")),0),0),IF($C$7="Pago Único al Final",C56,IF($B56&gt;$C$9,ROUND(PMT(K56,($C$8-COUNTIF(M$14:M55,"&gt;0")),-C56)-L56,0),0))))</f>
        <v>0</v>
      </c>
      <c r="N56" s="175">
        <f t="shared" si="10"/>
        <v>0</v>
      </c>
      <c r="O56" s="175">
        <f t="shared" si="14"/>
        <v>0</v>
      </c>
      <c r="P56" s="175">
        <f t="shared" si="15"/>
        <v>0</v>
      </c>
      <c r="Q56" s="175">
        <f t="shared" si="11"/>
        <v>0</v>
      </c>
    </row>
    <row r="57" spans="1:17" x14ac:dyDescent="0.35">
      <c r="A57" s="43">
        <v>42</v>
      </c>
      <c r="B57" s="184">
        <v>43281</v>
      </c>
      <c r="C57" s="178">
        <f t="shared" si="12"/>
        <v>0</v>
      </c>
      <c r="D57" s="236">
        <f>VLOOKUP($B57,DTF!$B$9:$D$69,IF(Variables!$B$73=1,3,2),0)</f>
        <v>4.4999999999999998E-2</v>
      </c>
      <c r="E57" s="236">
        <f t="shared" si="3"/>
        <v>4.3775585558297421E-2</v>
      </c>
      <c r="F57" s="236">
        <f t="shared" si="13"/>
        <v>4.4999999999999998E-2</v>
      </c>
      <c r="G57" s="236">
        <f t="shared" si="4"/>
        <v>8.8775585558297426E-2</v>
      </c>
      <c r="H57" s="236">
        <f t="shared" si="5"/>
        <v>2.2193896389574357E-2</v>
      </c>
      <c r="I57" s="236">
        <f t="shared" si="6"/>
        <v>2.2697645583951865E-2</v>
      </c>
      <c r="J57" s="236">
        <f t="shared" si="7"/>
        <v>9.3928720214802919E-2</v>
      </c>
      <c r="K57" s="236">
        <f t="shared" si="8"/>
        <v>7.5093503667722494E-3</v>
      </c>
      <c r="L57" s="175">
        <f t="shared" si="9"/>
        <v>0</v>
      </c>
      <c r="M57" s="175">
        <f>IF($C57=0,0,IF($C$7="Abono Fijo a Capital",IF($B57&gt;$C$9,ROUND(C57/($C$8-COUNTIF(M$14:M56,"&gt;0")),0),0),IF($C$7="Pago Único al Final",C57,IF($B57&gt;$C$9,ROUND(PMT(K57,($C$8-COUNTIF(M$14:M56,"&gt;0")),-C57)-L57,0),0))))</f>
        <v>0</v>
      </c>
      <c r="N57" s="175">
        <f t="shared" si="10"/>
        <v>0</v>
      </c>
      <c r="O57" s="175">
        <f t="shared" si="14"/>
        <v>0</v>
      </c>
      <c r="P57" s="175">
        <f t="shared" si="15"/>
        <v>0</v>
      </c>
      <c r="Q57" s="175">
        <f t="shared" si="11"/>
        <v>0</v>
      </c>
    </row>
    <row r="58" spans="1:17" x14ac:dyDescent="0.35">
      <c r="A58" s="43">
        <v>43</v>
      </c>
      <c r="B58" s="184">
        <v>43312</v>
      </c>
      <c r="C58" s="178">
        <f t="shared" si="12"/>
        <v>0</v>
      </c>
      <c r="D58" s="236">
        <f>VLOOKUP($B58,DTF!$B$9:$D$69,IF(Variables!$B$73=1,3,2),0)</f>
        <v>4.4999999999999998E-2</v>
      </c>
      <c r="E58" s="236">
        <f t="shared" si="3"/>
        <v>4.3775585558297421E-2</v>
      </c>
      <c r="F58" s="236">
        <f t="shared" si="13"/>
        <v>4.4999999999999998E-2</v>
      </c>
      <c r="G58" s="236">
        <f t="shared" si="4"/>
        <v>8.8775585558297426E-2</v>
      </c>
      <c r="H58" s="236">
        <f t="shared" si="5"/>
        <v>2.2193896389574357E-2</v>
      </c>
      <c r="I58" s="236">
        <f t="shared" si="6"/>
        <v>2.2697645583951865E-2</v>
      </c>
      <c r="J58" s="236">
        <f t="shared" si="7"/>
        <v>9.3928720214802919E-2</v>
      </c>
      <c r="K58" s="236">
        <f t="shared" si="8"/>
        <v>7.5093503667722494E-3</v>
      </c>
      <c r="L58" s="175">
        <f t="shared" si="9"/>
        <v>0</v>
      </c>
      <c r="M58" s="175">
        <f>IF($C58=0,0,IF($C$7="Abono Fijo a Capital",IF($B58&gt;$C$9,ROUND(C58/($C$8-COUNTIF(M$14:M57,"&gt;0")),0),0),IF($C$7="Pago Único al Final",C58,IF($B58&gt;$C$9,ROUND(PMT(K58,($C$8-COUNTIF(M$14:M57,"&gt;0")),-C58)-L58,0),0))))</f>
        <v>0</v>
      </c>
      <c r="N58" s="175">
        <f t="shared" si="10"/>
        <v>0</v>
      </c>
      <c r="O58" s="175">
        <f t="shared" si="14"/>
        <v>0</v>
      </c>
      <c r="P58" s="175">
        <f t="shared" si="15"/>
        <v>0</v>
      </c>
      <c r="Q58" s="175">
        <f t="shared" si="11"/>
        <v>0</v>
      </c>
    </row>
    <row r="59" spans="1:17" x14ac:dyDescent="0.35">
      <c r="A59" s="43">
        <v>44</v>
      </c>
      <c r="B59" s="184">
        <v>43343</v>
      </c>
      <c r="C59" s="178">
        <f t="shared" si="12"/>
        <v>0</v>
      </c>
      <c r="D59" s="236">
        <f>VLOOKUP($B59,DTF!$B$9:$D$69,IF(Variables!$B$73=1,3,2),0)</f>
        <v>4.4999999999999998E-2</v>
      </c>
      <c r="E59" s="236">
        <f t="shared" si="3"/>
        <v>4.3775585558297421E-2</v>
      </c>
      <c r="F59" s="236">
        <f t="shared" si="13"/>
        <v>4.4999999999999998E-2</v>
      </c>
      <c r="G59" s="236">
        <f t="shared" si="4"/>
        <v>8.8775585558297426E-2</v>
      </c>
      <c r="H59" s="236">
        <f t="shared" si="5"/>
        <v>2.2193896389574357E-2</v>
      </c>
      <c r="I59" s="236">
        <f t="shared" si="6"/>
        <v>2.2697645583951865E-2</v>
      </c>
      <c r="J59" s="236">
        <f t="shared" si="7"/>
        <v>9.3928720214802919E-2</v>
      </c>
      <c r="K59" s="236">
        <f t="shared" si="8"/>
        <v>7.5093503667722494E-3</v>
      </c>
      <c r="L59" s="175">
        <f t="shared" si="9"/>
        <v>0</v>
      </c>
      <c r="M59" s="175">
        <f>IF($C59=0,0,IF($C$7="Abono Fijo a Capital",IF($B59&gt;$C$9,ROUND(C59/($C$8-COUNTIF(M$14:M58,"&gt;0")),0),0),IF($C$7="Pago Único al Final",C59,IF($B59&gt;$C$9,ROUND(PMT(K59,($C$8-COUNTIF(M$14:M58,"&gt;0")),-C59)-L59,0),0))))</f>
        <v>0</v>
      </c>
      <c r="N59" s="175">
        <f t="shared" si="10"/>
        <v>0</v>
      </c>
      <c r="O59" s="175">
        <f t="shared" si="14"/>
        <v>0</v>
      </c>
      <c r="P59" s="175">
        <f t="shared" si="15"/>
        <v>0</v>
      </c>
      <c r="Q59" s="175">
        <f t="shared" si="11"/>
        <v>0</v>
      </c>
    </row>
    <row r="60" spans="1:17" x14ac:dyDescent="0.35">
      <c r="A60" s="43">
        <v>45</v>
      </c>
      <c r="B60" s="184">
        <v>43373</v>
      </c>
      <c r="C60" s="178">
        <f t="shared" si="12"/>
        <v>0</v>
      </c>
      <c r="D60" s="236">
        <f>VLOOKUP($B60,DTF!$B$9:$D$69,IF(Variables!$B$73=1,3,2),0)</f>
        <v>4.4999999999999998E-2</v>
      </c>
      <c r="E60" s="236">
        <f t="shared" si="3"/>
        <v>4.3775585558297421E-2</v>
      </c>
      <c r="F60" s="236">
        <f t="shared" si="13"/>
        <v>4.4999999999999998E-2</v>
      </c>
      <c r="G60" s="236">
        <f t="shared" si="4"/>
        <v>8.8775585558297426E-2</v>
      </c>
      <c r="H60" s="236">
        <f t="shared" si="5"/>
        <v>2.2193896389574357E-2</v>
      </c>
      <c r="I60" s="236">
        <f t="shared" si="6"/>
        <v>2.2697645583951865E-2</v>
      </c>
      <c r="J60" s="236">
        <f t="shared" si="7"/>
        <v>9.3928720214802919E-2</v>
      </c>
      <c r="K60" s="236">
        <f t="shared" si="8"/>
        <v>7.5093503667722494E-3</v>
      </c>
      <c r="L60" s="175">
        <f t="shared" si="9"/>
        <v>0</v>
      </c>
      <c r="M60" s="175">
        <f>IF($C60=0,0,IF($C$7="Abono Fijo a Capital",IF($B60&gt;$C$9,ROUND(C60/($C$8-COUNTIF(M$14:M59,"&gt;0")),0),0),IF($C$7="Pago Único al Final",C60,IF($B60&gt;$C$9,ROUND(PMT(K60,($C$8-COUNTIF(M$14:M59,"&gt;0")),-C60)-L60,0),0))))</f>
        <v>0</v>
      </c>
      <c r="N60" s="175">
        <f t="shared" si="10"/>
        <v>0</v>
      </c>
      <c r="O60" s="175">
        <f t="shared" si="14"/>
        <v>0</v>
      </c>
      <c r="P60" s="175">
        <f t="shared" si="15"/>
        <v>0</v>
      </c>
      <c r="Q60" s="175">
        <f t="shared" si="11"/>
        <v>0</v>
      </c>
    </row>
    <row r="61" spans="1:17" x14ac:dyDescent="0.35">
      <c r="A61" s="43">
        <v>46</v>
      </c>
      <c r="B61" s="184">
        <v>43404</v>
      </c>
      <c r="C61" s="178">
        <f t="shared" si="12"/>
        <v>0</v>
      </c>
      <c r="D61" s="236">
        <f>VLOOKUP($B61,DTF!$B$9:$D$69,IF(Variables!$B$73=1,3,2),0)</f>
        <v>4.4999999999999998E-2</v>
      </c>
      <c r="E61" s="236">
        <f t="shared" si="3"/>
        <v>4.3775585558297421E-2</v>
      </c>
      <c r="F61" s="236">
        <f t="shared" si="13"/>
        <v>4.4999999999999998E-2</v>
      </c>
      <c r="G61" s="236">
        <f t="shared" si="4"/>
        <v>8.8775585558297426E-2</v>
      </c>
      <c r="H61" s="236">
        <f t="shared" si="5"/>
        <v>2.2193896389574357E-2</v>
      </c>
      <c r="I61" s="236">
        <f t="shared" si="6"/>
        <v>2.2697645583951865E-2</v>
      </c>
      <c r="J61" s="236">
        <f t="shared" si="7"/>
        <v>9.3928720214802919E-2</v>
      </c>
      <c r="K61" s="236">
        <f t="shared" si="8"/>
        <v>7.5093503667722494E-3</v>
      </c>
      <c r="L61" s="175">
        <f t="shared" si="9"/>
        <v>0</v>
      </c>
      <c r="M61" s="175">
        <f>IF($C61=0,0,IF($C$7="Abono Fijo a Capital",IF($B61&gt;$C$9,ROUND(C61/($C$8-COUNTIF(M$14:M60,"&gt;0")),0),0),IF($C$7="Pago Único al Final",C61,IF($B61&gt;$C$9,ROUND(PMT(K61,($C$8-COUNTIF(M$14:M60,"&gt;0")),-C61)-L61,0),0))))</f>
        <v>0</v>
      </c>
      <c r="N61" s="175">
        <f t="shared" si="10"/>
        <v>0</v>
      </c>
      <c r="O61" s="175">
        <f t="shared" si="14"/>
        <v>0</v>
      </c>
      <c r="P61" s="175">
        <f t="shared" si="15"/>
        <v>0</v>
      </c>
      <c r="Q61" s="175">
        <f t="shared" si="11"/>
        <v>0</v>
      </c>
    </row>
    <row r="62" spans="1:17" x14ac:dyDescent="0.35">
      <c r="A62" s="43">
        <v>47</v>
      </c>
      <c r="B62" s="184">
        <v>43434</v>
      </c>
      <c r="C62" s="178">
        <f t="shared" si="12"/>
        <v>0</v>
      </c>
      <c r="D62" s="236">
        <f>VLOOKUP($B62,DTF!$B$9:$D$69,IF(Variables!$B$73=1,3,2),0)</f>
        <v>4.4999999999999998E-2</v>
      </c>
      <c r="E62" s="236">
        <f t="shared" si="3"/>
        <v>4.3775585558297421E-2</v>
      </c>
      <c r="F62" s="236">
        <f t="shared" si="13"/>
        <v>4.4999999999999998E-2</v>
      </c>
      <c r="G62" s="236">
        <f t="shared" si="4"/>
        <v>8.8775585558297426E-2</v>
      </c>
      <c r="H62" s="236">
        <f t="shared" si="5"/>
        <v>2.2193896389574357E-2</v>
      </c>
      <c r="I62" s="236">
        <f t="shared" si="6"/>
        <v>2.2697645583951865E-2</v>
      </c>
      <c r="J62" s="236">
        <f t="shared" si="7"/>
        <v>9.3928720214802919E-2</v>
      </c>
      <c r="K62" s="236">
        <f t="shared" si="8"/>
        <v>7.5093503667722494E-3</v>
      </c>
      <c r="L62" s="175">
        <f t="shared" si="9"/>
        <v>0</v>
      </c>
      <c r="M62" s="175">
        <f>IF($C62=0,0,IF($C$7="Abono Fijo a Capital",IF($B62&gt;$C$9,ROUND(C62/($C$8-COUNTIF(M$14:M61,"&gt;0")),0),0),IF($C$7="Pago Único al Final",C62,IF($B62&gt;$C$9,ROUND(PMT(K62,($C$8-COUNTIF(M$14:M61,"&gt;0")),-C62)-L62,0),0))))</f>
        <v>0</v>
      </c>
      <c r="N62" s="175">
        <f t="shared" si="10"/>
        <v>0</v>
      </c>
      <c r="O62" s="175">
        <f t="shared" si="14"/>
        <v>0</v>
      </c>
      <c r="P62" s="175">
        <f t="shared" si="15"/>
        <v>0</v>
      </c>
      <c r="Q62" s="175">
        <f t="shared" si="11"/>
        <v>0</v>
      </c>
    </row>
    <row r="63" spans="1:17" x14ac:dyDescent="0.35">
      <c r="A63" s="43">
        <v>48</v>
      </c>
      <c r="B63" s="184">
        <v>43465</v>
      </c>
      <c r="C63" s="178">
        <f t="shared" si="12"/>
        <v>0</v>
      </c>
      <c r="D63" s="236">
        <f>VLOOKUP($B63,DTF!$B$9:$D$69,IF(Variables!$B$73=1,3,2),0)</f>
        <v>4.4999999999999998E-2</v>
      </c>
      <c r="E63" s="236">
        <f t="shared" si="3"/>
        <v>4.3775585558297421E-2</v>
      </c>
      <c r="F63" s="236">
        <f t="shared" si="13"/>
        <v>4.4999999999999998E-2</v>
      </c>
      <c r="G63" s="236">
        <f t="shared" si="4"/>
        <v>8.8775585558297426E-2</v>
      </c>
      <c r="H63" s="236">
        <f t="shared" si="5"/>
        <v>2.2193896389574357E-2</v>
      </c>
      <c r="I63" s="236">
        <f t="shared" si="6"/>
        <v>2.2697645583951865E-2</v>
      </c>
      <c r="J63" s="236">
        <f t="shared" si="7"/>
        <v>9.3928720214802919E-2</v>
      </c>
      <c r="K63" s="236">
        <f t="shared" si="8"/>
        <v>7.5093503667722494E-3</v>
      </c>
      <c r="L63" s="175">
        <f t="shared" si="9"/>
        <v>0</v>
      </c>
      <c r="M63" s="175">
        <f>IF($C63=0,0,IF($C$7="Abono Fijo a Capital",IF($B63&gt;$C$9,ROUND(C63/($C$8-COUNTIF(M$14:M62,"&gt;0")),0),0),IF($C$7="Pago Único al Final",C63,IF($B63&gt;$C$9,ROUND(PMT(K63,($C$8-COUNTIF(M$14:M62,"&gt;0")),-C63)-L63,0),0))))</f>
        <v>0</v>
      </c>
      <c r="N63" s="175">
        <f t="shared" si="10"/>
        <v>0</v>
      </c>
      <c r="O63" s="175">
        <f t="shared" si="14"/>
        <v>0</v>
      </c>
      <c r="P63" s="175">
        <f t="shared" si="15"/>
        <v>0</v>
      </c>
      <c r="Q63" s="175">
        <f t="shared" si="11"/>
        <v>0</v>
      </c>
    </row>
    <row r="64" spans="1:17" x14ac:dyDescent="0.35">
      <c r="A64" s="43">
        <v>49</v>
      </c>
      <c r="B64" s="184">
        <v>43496</v>
      </c>
      <c r="C64" s="178">
        <f t="shared" si="12"/>
        <v>0</v>
      </c>
      <c r="D64" s="236">
        <f>VLOOKUP($B64,DTF!$B$9:$D$69,IF(Variables!$B$73=1,3,2),0)</f>
        <v>4.4999999999999998E-2</v>
      </c>
      <c r="E64" s="236">
        <f t="shared" si="3"/>
        <v>4.3775585558297421E-2</v>
      </c>
      <c r="F64" s="236">
        <f t="shared" si="13"/>
        <v>4.4999999999999998E-2</v>
      </c>
      <c r="G64" s="236">
        <f t="shared" si="4"/>
        <v>8.8775585558297426E-2</v>
      </c>
      <c r="H64" s="236">
        <f t="shared" si="5"/>
        <v>2.2193896389574357E-2</v>
      </c>
      <c r="I64" s="236">
        <f t="shared" si="6"/>
        <v>2.2697645583951865E-2</v>
      </c>
      <c r="J64" s="236">
        <f t="shared" si="7"/>
        <v>9.3928720214802919E-2</v>
      </c>
      <c r="K64" s="236">
        <f t="shared" si="8"/>
        <v>7.5093503667722494E-3</v>
      </c>
      <c r="L64" s="175">
        <f t="shared" si="9"/>
        <v>0</v>
      </c>
      <c r="M64" s="175">
        <f>IF($C64=0,0,IF($C$7="Abono Fijo a Capital",IF($B64&gt;$C$9,ROUND(C64/($C$8-COUNTIF(M$14:M63,"&gt;0")),0),0),IF($C$7="Pago Único al Final",C64,IF($B64&gt;$C$9,ROUND(PMT(K64,($C$8-COUNTIF(M$14:M63,"&gt;0")),-C64)-L64,0),0))))</f>
        <v>0</v>
      </c>
      <c r="N64" s="175">
        <f t="shared" si="10"/>
        <v>0</v>
      </c>
      <c r="O64" s="175">
        <f t="shared" si="14"/>
        <v>0</v>
      </c>
      <c r="P64" s="175">
        <f t="shared" si="15"/>
        <v>0</v>
      </c>
      <c r="Q64" s="175">
        <f t="shared" si="11"/>
        <v>0</v>
      </c>
    </row>
    <row r="65" spans="1:17" x14ac:dyDescent="0.35">
      <c r="A65" s="43">
        <v>50</v>
      </c>
      <c r="B65" s="184">
        <v>43524</v>
      </c>
      <c r="C65" s="178">
        <f t="shared" si="12"/>
        <v>0</v>
      </c>
      <c r="D65" s="236">
        <f>VLOOKUP($B65,DTF!$B$9:$D$69,IF(Variables!$B$73=1,3,2),0)</f>
        <v>4.4999999999999998E-2</v>
      </c>
      <c r="E65" s="236">
        <f t="shared" si="3"/>
        <v>4.3775585558297421E-2</v>
      </c>
      <c r="F65" s="236">
        <f t="shared" si="13"/>
        <v>4.4999999999999998E-2</v>
      </c>
      <c r="G65" s="236">
        <f t="shared" si="4"/>
        <v>8.8775585558297426E-2</v>
      </c>
      <c r="H65" s="236">
        <f t="shared" si="5"/>
        <v>2.2193896389574357E-2</v>
      </c>
      <c r="I65" s="236">
        <f t="shared" si="6"/>
        <v>2.2697645583951865E-2</v>
      </c>
      <c r="J65" s="236">
        <f t="shared" si="7"/>
        <v>9.3928720214802919E-2</v>
      </c>
      <c r="K65" s="236">
        <f t="shared" si="8"/>
        <v>7.5093503667722494E-3</v>
      </c>
      <c r="L65" s="175">
        <f t="shared" si="9"/>
        <v>0</v>
      </c>
      <c r="M65" s="175">
        <f>IF($C65=0,0,IF($C$7="Abono Fijo a Capital",IF($B65&gt;$C$9,ROUND(C65/($C$8-COUNTIF(M$14:M64,"&gt;0")),0),0),IF($C$7="Pago Único al Final",C65,IF($B65&gt;$C$9,ROUND(PMT(K65,($C$8-COUNTIF(M$14:M64,"&gt;0")),-C65)-L65,0),0))))</f>
        <v>0</v>
      </c>
      <c r="N65" s="175">
        <f t="shared" si="10"/>
        <v>0</v>
      </c>
      <c r="O65" s="175">
        <f t="shared" si="14"/>
        <v>0</v>
      </c>
      <c r="P65" s="175">
        <f t="shared" si="15"/>
        <v>0</v>
      </c>
      <c r="Q65" s="175">
        <f t="shared" si="11"/>
        <v>0</v>
      </c>
    </row>
    <row r="66" spans="1:17" x14ac:dyDescent="0.35">
      <c r="A66" s="43">
        <v>51</v>
      </c>
      <c r="B66" s="184">
        <v>43555</v>
      </c>
      <c r="C66" s="178">
        <f t="shared" si="12"/>
        <v>0</v>
      </c>
      <c r="D66" s="236">
        <f>VLOOKUP($B66,DTF!$B$9:$D$69,IF(Variables!$B$73=1,3,2),0)</f>
        <v>4.4999999999999998E-2</v>
      </c>
      <c r="E66" s="236">
        <f t="shared" si="3"/>
        <v>4.3775585558297421E-2</v>
      </c>
      <c r="F66" s="236">
        <f t="shared" si="13"/>
        <v>4.4999999999999998E-2</v>
      </c>
      <c r="G66" s="236">
        <f t="shared" si="4"/>
        <v>8.8775585558297426E-2</v>
      </c>
      <c r="H66" s="236">
        <f t="shared" si="5"/>
        <v>2.2193896389574357E-2</v>
      </c>
      <c r="I66" s="236">
        <f t="shared" si="6"/>
        <v>2.2697645583951865E-2</v>
      </c>
      <c r="J66" s="236">
        <f t="shared" si="7"/>
        <v>9.3928720214802919E-2</v>
      </c>
      <c r="K66" s="236">
        <f t="shared" si="8"/>
        <v>7.5093503667722494E-3</v>
      </c>
      <c r="L66" s="175">
        <f t="shared" si="9"/>
        <v>0</v>
      </c>
      <c r="M66" s="175">
        <f>IF($C66=0,0,IF($C$7="Abono Fijo a Capital",IF($B66&gt;$C$9,ROUND(C66/($C$8-COUNTIF(M$14:M65,"&gt;0")),0),0),IF($C$7="Pago Único al Final",C66,IF($B66&gt;$C$9,ROUND(PMT(K66,($C$8-COUNTIF(M$14:M65,"&gt;0")),-C66)-L66,0),0))))</f>
        <v>0</v>
      </c>
      <c r="N66" s="175">
        <f t="shared" si="10"/>
        <v>0</v>
      </c>
      <c r="O66" s="175">
        <f t="shared" si="14"/>
        <v>0</v>
      </c>
      <c r="P66" s="175">
        <f t="shared" si="15"/>
        <v>0</v>
      </c>
      <c r="Q66" s="175">
        <f t="shared" si="11"/>
        <v>0</v>
      </c>
    </row>
    <row r="67" spans="1:17" x14ac:dyDescent="0.35">
      <c r="A67" s="43">
        <v>52</v>
      </c>
      <c r="B67" s="184">
        <v>43585</v>
      </c>
      <c r="C67" s="178">
        <f t="shared" si="12"/>
        <v>0</v>
      </c>
      <c r="D67" s="236">
        <f>VLOOKUP($B67,DTF!$B$9:$D$69,IF(Variables!$B$73=1,3,2),0)</f>
        <v>4.7500000000000001E-2</v>
      </c>
      <c r="E67" s="236">
        <f t="shared" si="3"/>
        <v>4.6138216898191912E-2</v>
      </c>
      <c r="F67" s="236">
        <f t="shared" si="13"/>
        <v>4.4999999999999998E-2</v>
      </c>
      <c r="G67" s="236">
        <f t="shared" si="4"/>
        <v>9.1138216898191904E-2</v>
      </c>
      <c r="H67" s="236">
        <f t="shared" si="5"/>
        <v>2.2784554224547976E-2</v>
      </c>
      <c r="I67" s="236">
        <f t="shared" si="6"/>
        <v>2.3315794201827927E-2</v>
      </c>
      <c r="J67" s="236">
        <f t="shared" si="7"/>
        <v>9.6575930204327642E-2</v>
      </c>
      <c r="K67" s="236">
        <f t="shared" si="8"/>
        <v>7.7122989376692264E-3</v>
      </c>
      <c r="L67" s="175">
        <f t="shared" si="9"/>
        <v>0</v>
      </c>
      <c r="M67" s="175">
        <f>IF($C67=0,0,IF($C$7="Abono Fijo a Capital",IF($B67&gt;$C$9,ROUND(C67/($C$8-COUNTIF(M$14:M66,"&gt;0")),0),0),IF($C$7="Pago Único al Final",C67,IF($B67&gt;$C$9,ROUND(PMT(K67,($C$8-COUNTIF(M$14:M66,"&gt;0")),-C67)-L67,0),0))))</f>
        <v>0</v>
      </c>
      <c r="N67" s="175">
        <f t="shared" si="10"/>
        <v>0</v>
      </c>
      <c r="O67" s="175">
        <f t="shared" si="14"/>
        <v>0</v>
      </c>
      <c r="P67" s="175">
        <f t="shared" si="15"/>
        <v>0</v>
      </c>
      <c r="Q67" s="175">
        <f t="shared" si="11"/>
        <v>0</v>
      </c>
    </row>
    <row r="68" spans="1:17" x14ac:dyDescent="0.35">
      <c r="A68" s="43">
        <v>53</v>
      </c>
      <c r="B68" s="184">
        <v>43616</v>
      </c>
      <c r="C68" s="178">
        <f t="shared" si="12"/>
        <v>0</v>
      </c>
      <c r="D68" s="236">
        <f>VLOOKUP($B68,DTF!$B$9:$D$69,IF(Variables!$B$73=1,3,2),0)</f>
        <v>4.7500000000000001E-2</v>
      </c>
      <c r="E68" s="236">
        <f t="shared" si="3"/>
        <v>4.6138216898191912E-2</v>
      </c>
      <c r="F68" s="236">
        <f t="shared" si="13"/>
        <v>4.4999999999999998E-2</v>
      </c>
      <c r="G68" s="236">
        <f t="shared" si="4"/>
        <v>9.1138216898191904E-2</v>
      </c>
      <c r="H68" s="236">
        <f t="shared" si="5"/>
        <v>2.2784554224547976E-2</v>
      </c>
      <c r="I68" s="236">
        <f t="shared" si="6"/>
        <v>2.3315794201827927E-2</v>
      </c>
      <c r="J68" s="236">
        <f t="shared" si="7"/>
        <v>9.6575930204327642E-2</v>
      </c>
      <c r="K68" s="236">
        <f t="shared" si="8"/>
        <v>7.7122989376692264E-3</v>
      </c>
      <c r="L68" s="175">
        <f t="shared" si="9"/>
        <v>0</v>
      </c>
      <c r="M68" s="175">
        <f>IF($C68=0,0,IF($C$7="Abono Fijo a Capital",IF($B68&gt;$C$9,ROUND(C68/($C$8-COUNTIF(M$14:M67,"&gt;0")),0),0),IF($C$7="Pago Único al Final",C68,IF($B68&gt;$C$9,ROUND(PMT(K68,($C$8-COUNTIF(M$14:M67,"&gt;0")),-C68)-L68,0),0))))</f>
        <v>0</v>
      </c>
      <c r="N68" s="175">
        <f t="shared" si="10"/>
        <v>0</v>
      </c>
      <c r="O68" s="175">
        <f t="shared" si="14"/>
        <v>0</v>
      </c>
      <c r="P68" s="175">
        <f t="shared" si="15"/>
        <v>0</v>
      </c>
      <c r="Q68" s="175">
        <f t="shared" si="11"/>
        <v>0</v>
      </c>
    </row>
    <row r="69" spans="1:17" x14ac:dyDescent="0.35">
      <c r="A69" s="43">
        <v>54</v>
      </c>
      <c r="B69" s="184">
        <v>43646</v>
      </c>
      <c r="C69" s="178">
        <f t="shared" si="12"/>
        <v>0</v>
      </c>
      <c r="D69" s="236">
        <f>VLOOKUP($B69,DTF!$B$9:$D$69,IF(Variables!$B$73=1,3,2),0)</f>
        <v>4.7500000000000001E-2</v>
      </c>
      <c r="E69" s="236">
        <f t="shared" si="3"/>
        <v>4.6138216898191912E-2</v>
      </c>
      <c r="F69" s="236">
        <f t="shared" si="13"/>
        <v>4.4999999999999998E-2</v>
      </c>
      <c r="G69" s="236">
        <f t="shared" si="4"/>
        <v>9.1138216898191904E-2</v>
      </c>
      <c r="H69" s="236">
        <f t="shared" si="5"/>
        <v>2.2784554224547976E-2</v>
      </c>
      <c r="I69" s="236">
        <f t="shared" si="6"/>
        <v>2.3315794201827927E-2</v>
      </c>
      <c r="J69" s="236">
        <f t="shared" si="7"/>
        <v>9.6575930204327642E-2</v>
      </c>
      <c r="K69" s="236">
        <f t="shared" si="8"/>
        <v>7.7122989376692264E-3</v>
      </c>
      <c r="L69" s="175">
        <f t="shared" si="9"/>
        <v>0</v>
      </c>
      <c r="M69" s="175">
        <f>IF($C69=0,0,IF($C$7="Abono Fijo a Capital",IF($B69&gt;$C$9,ROUND(C69/($C$8-COUNTIF(M$14:M68,"&gt;0")),0),0),IF($C$7="Pago Único al Final",C69,IF($B69&gt;$C$9,ROUND(PMT(K69,($C$8-COUNTIF(M$14:M68,"&gt;0")),-C69)-L69,0),0))))</f>
        <v>0</v>
      </c>
      <c r="N69" s="175">
        <f t="shared" si="10"/>
        <v>0</v>
      </c>
      <c r="O69" s="175">
        <f t="shared" si="14"/>
        <v>0</v>
      </c>
      <c r="P69" s="175">
        <f t="shared" si="15"/>
        <v>0</v>
      </c>
      <c r="Q69" s="175">
        <f t="shared" si="11"/>
        <v>0</v>
      </c>
    </row>
    <row r="70" spans="1:17" x14ac:dyDescent="0.35">
      <c r="A70" s="43">
        <v>55</v>
      </c>
      <c r="B70" s="184">
        <v>43677</v>
      </c>
      <c r="C70" s="178">
        <f t="shared" si="12"/>
        <v>0</v>
      </c>
      <c r="D70" s="236">
        <f>VLOOKUP($B70,DTF!$B$9:$D$69,IF(Variables!$B$73=1,3,2),0)</f>
        <v>0.05</v>
      </c>
      <c r="E70" s="236">
        <f t="shared" si="3"/>
        <v>4.8493810307703902E-2</v>
      </c>
      <c r="F70" s="236">
        <f t="shared" si="13"/>
        <v>4.4999999999999998E-2</v>
      </c>
      <c r="G70" s="236">
        <f t="shared" si="4"/>
        <v>9.3493810307703901E-2</v>
      </c>
      <c r="H70" s="236">
        <f t="shared" si="5"/>
        <v>2.3373452576925975E-2</v>
      </c>
      <c r="I70" s="236">
        <f t="shared" si="6"/>
        <v>2.3932845813580583E-2</v>
      </c>
      <c r="J70" s="236">
        <f t="shared" si="7"/>
        <v>9.9223231112781862E-2</v>
      </c>
      <c r="K70" s="236">
        <f t="shared" si="8"/>
        <v>7.9148058474909355E-3</v>
      </c>
      <c r="L70" s="175">
        <f t="shared" si="9"/>
        <v>0</v>
      </c>
      <c r="M70" s="175">
        <f>IF($C70=0,0,IF($C$7="Abono Fijo a Capital",IF($B70&gt;$C$9,ROUND(C70/($C$8-COUNTIF(M$14:M69,"&gt;0")),0),0),IF($C$7="Pago Único al Final",C70,IF($B70&gt;$C$9,ROUND(PMT(K70,($C$8-COUNTIF(M$14:M69,"&gt;0")),-C70)-L70,0),0))))</f>
        <v>0</v>
      </c>
      <c r="N70" s="175">
        <f t="shared" si="10"/>
        <v>0</v>
      </c>
      <c r="O70" s="175">
        <f t="shared" si="14"/>
        <v>0</v>
      </c>
      <c r="P70" s="175">
        <f t="shared" si="15"/>
        <v>0</v>
      </c>
      <c r="Q70" s="175">
        <f t="shared" si="11"/>
        <v>0</v>
      </c>
    </row>
    <row r="71" spans="1:17" x14ac:dyDescent="0.35">
      <c r="A71" s="43">
        <v>56</v>
      </c>
      <c r="B71" s="184">
        <v>43708</v>
      </c>
      <c r="C71" s="178">
        <f t="shared" si="12"/>
        <v>0</v>
      </c>
      <c r="D71" s="236">
        <f>VLOOKUP($B71,DTF!$B$9:$D$69,IF(Variables!$B$73=1,3,2),0)</f>
        <v>0.05</v>
      </c>
      <c r="E71" s="236">
        <f t="shared" si="3"/>
        <v>4.8493810307703902E-2</v>
      </c>
      <c r="F71" s="236">
        <f t="shared" si="13"/>
        <v>4.4999999999999998E-2</v>
      </c>
      <c r="G71" s="236">
        <f t="shared" si="4"/>
        <v>9.3493810307703901E-2</v>
      </c>
      <c r="H71" s="236">
        <f t="shared" si="5"/>
        <v>2.3373452576925975E-2</v>
      </c>
      <c r="I71" s="236">
        <f t="shared" si="6"/>
        <v>2.3932845813580583E-2</v>
      </c>
      <c r="J71" s="236">
        <f t="shared" si="7"/>
        <v>9.9223231112781862E-2</v>
      </c>
      <c r="K71" s="236">
        <f t="shared" si="8"/>
        <v>7.9148058474909355E-3</v>
      </c>
      <c r="L71" s="175">
        <f t="shared" si="9"/>
        <v>0</v>
      </c>
      <c r="M71" s="175">
        <f>IF($C71=0,0,IF($C$7="Abono Fijo a Capital",IF($B71&gt;$C$9,ROUND(C71/($C$8-COUNTIF(M$14:M70,"&gt;0")),0),0),IF($C$7="Pago Único al Final",C71,IF($B71&gt;$C$9,ROUND(PMT(K71,($C$8-COUNTIF(M$14:M70,"&gt;0")),-C71)-L71,0),0))))</f>
        <v>0</v>
      </c>
      <c r="N71" s="175">
        <f t="shared" si="10"/>
        <v>0</v>
      </c>
      <c r="O71" s="175">
        <f t="shared" si="14"/>
        <v>0</v>
      </c>
      <c r="P71" s="175">
        <f t="shared" si="15"/>
        <v>0</v>
      </c>
      <c r="Q71" s="175">
        <f t="shared" si="11"/>
        <v>0</v>
      </c>
    </row>
    <row r="72" spans="1:17" x14ac:dyDescent="0.35">
      <c r="A72" s="43">
        <v>57</v>
      </c>
      <c r="B72" s="184">
        <v>43738</v>
      </c>
      <c r="C72" s="178">
        <f t="shared" si="12"/>
        <v>0</v>
      </c>
      <c r="D72" s="236">
        <f>VLOOKUP($B72,DTF!$B$9:$D$69,IF(Variables!$B$73=1,3,2),0)</f>
        <v>0.05</v>
      </c>
      <c r="E72" s="236">
        <f t="shared" si="3"/>
        <v>4.8493810307703902E-2</v>
      </c>
      <c r="F72" s="236">
        <f t="shared" si="13"/>
        <v>4.4999999999999998E-2</v>
      </c>
      <c r="G72" s="236">
        <f t="shared" si="4"/>
        <v>9.3493810307703901E-2</v>
      </c>
      <c r="H72" s="236">
        <f t="shared" si="5"/>
        <v>2.3373452576925975E-2</v>
      </c>
      <c r="I72" s="236">
        <f t="shared" si="6"/>
        <v>2.3932845813580583E-2</v>
      </c>
      <c r="J72" s="236">
        <f t="shared" si="7"/>
        <v>9.9223231112781862E-2</v>
      </c>
      <c r="K72" s="236">
        <f t="shared" si="8"/>
        <v>7.9148058474909355E-3</v>
      </c>
      <c r="L72" s="175">
        <f t="shared" si="9"/>
        <v>0</v>
      </c>
      <c r="M72" s="175">
        <f>IF($C72=0,0,IF($C$7="Abono Fijo a Capital",IF($B72&gt;$C$9,ROUND(C72/($C$8-COUNTIF(M$14:M71,"&gt;0")),0),0),IF($C$7="Pago Único al Final",C72,IF($B72&gt;$C$9,ROUND(PMT(K72,($C$8-COUNTIF(M$14:M71,"&gt;0")),-C72)-L72,0),0))))</f>
        <v>0</v>
      </c>
      <c r="N72" s="175">
        <f t="shared" si="10"/>
        <v>0</v>
      </c>
      <c r="O72" s="175">
        <f t="shared" si="14"/>
        <v>0</v>
      </c>
      <c r="P72" s="175">
        <f t="shared" si="15"/>
        <v>0</v>
      </c>
      <c r="Q72" s="175">
        <f t="shared" si="11"/>
        <v>0</v>
      </c>
    </row>
    <row r="73" spans="1:17" x14ac:dyDescent="0.35">
      <c r="A73" s="43">
        <v>58</v>
      </c>
      <c r="B73" s="184">
        <v>43769</v>
      </c>
      <c r="C73" s="178">
        <f t="shared" si="12"/>
        <v>0</v>
      </c>
      <c r="D73" s="236">
        <f>VLOOKUP($B73,DTF!$B$9:$D$69,IF(Variables!$B$73=1,3,2),0)</f>
        <v>5.2500000000000005E-2</v>
      </c>
      <c r="E73" s="236">
        <f t="shared" si="3"/>
        <v>5.0842403434051039E-2</v>
      </c>
      <c r="F73" s="236">
        <f t="shared" si="13"/>
        <v>4.4999999999999998E-2</v>
      </c>
      <c r="G73" s="236">
        <f t="shared" si="4"/>
        <v>9.5842403434051038E-2</v>
      </c>
      <c r="H73" s="236">
        <f t="shared" si="5"/>
        <v>2.3960600858512759E-2</v>
      </c>
      <c r="I73" s="236">
        <f t="shared" si="6"/>
        <v>2.4548804976098525E-2</v>
      </c>
      <c r="J73" s="236">
        <f t="shared" si="7"/>
        <v>0.10187062278149561</v>
      </c>
      <c r="K73" s="236">
        <f t="shared" si="8"/>
        <v>8.1168731066512123E-3</v>
      </c>
      <c r="L73" s="175">
        <f t="shared" si="9"/>
        <v>0</v>
      </c>
      <c r="M73" s="175">
        <f>IF($C73=0,0,IF($C$7="Abono Fijo a Capital",IF($B73&gt;$C$9,ROUND(C73/($C$8-COUNTIF(M$14:M72,"&gt;0")),0),0),IF($C$7="Pago Único al Final",C73,IF($B73&gt;$C$9,ROUND(PMT(K73,($C$8-COUNTIF(M$14:M72,"&gt;0")),-C73)-L73,0),0))))</f>
        <v>0</v>
      </c>
      <c r="N73" s="175">
        <f t="shared" si="10"/>
        <v>0</v>
      </c>
      <c r="O73" s="175">
        <f t="shared" si="14"/>
        <v>0</v>
      </c>
      <c r="P73" s="175">
        <f t="shared" si="15"/>
        <v>0</v>
      </c>
      <c r="Q73" s="175">
        <f t="shared" si="11"/>
        <v>0</v>
      </c>
    </row>
    <row r="74" spans="1:17" x14ac:dyDescent="0.35">
      <c r="A74" s="43">
        <v>59</v>
      </c>
      <c r="B74" s="184">
        <v>43799</v>
      </c>
      <c r="C74" s="178">
        <f t="shared" si="12"/>
        <v>0</v>
      </c>
      <c r="D74" s="236">
        <f>VLOOKUP($B74,DTF!$B$9:$D$69,IF(Variables!$B$73=1,3,2),0)</f>
        <v>5.2500000000000005E-2</v>
      </c>
      <c r="E74" s="236">
        <f t="shared" si="3"/>
        <v>5.0842403434051039E-2</v>
      </c>
      <c r="F74" s="236">
        <f t="shared" si="13"/>
        <v>4.4999999999999998E-2</v>
      </c>
      <c r="G74" s="236">
        <f t="shared" si="4"/>
        <v>9.5842403434051038E-2</v>
      </c>
      <c r="H74" s="236">
        <f t="shared" si="5"/>
        <v>2.3960600858512759E-2</v>
      </c>
      <c r="I74" s="236">
        <f t="shared" si="6"/>
        <v>2.4548804976098525E-2</v>
      </c>
      <c r="J74" s="236">
        <f t="shared" si="7"/>
        <v>0.10187062278149561</v>
      </c>
      <c r="K74" s="236">
        <f t="shared" si="8"/>
        <v>8.1168731066512123E-3</v>
      </c>
      <c r="L74" s="175">
        <f t="shared" si="9"/>
        <v>0</v>
      </c>
      <c r="M74" s="175">
        <f>IF($C74=0,0,IF($C$7="Abono Fijo a Capital",IF($B74&gt;$C$9,ROUND(C74/($C$8-COUNTIF(M$14:M73,"&gt;0")),0),0),IF($C$7="Pago Único al Final",C74,IF($B74&gt;$C$9,ROUND(PMT(K74,($C$8-COUNTIF(M$14:M73,"&gt;0")),-C74)-L74,0),0))))</f>
        <v>0</v>
      </c>
      <c r="N74" s="175">
        <f t="shared" si="10"/>
        <v>0</v>
      </c>
      <c r="O74" s="175">
        <f t="shared" si="14"/>
        <v>0</v>
      </c>
      <c r="P74" s="175">
        <f t="shared" si="15"/>
        <v>0</v>
      </c>
      <c r="Q74" s="175">
        <f t="shared" si="11"/>
        <v>0</v>
      </c>
    </row>
    <row r="75" spans="1:17" x14ac:dyDescent="0.35">
      <c r="A75" s="43">
        <v>60</v>
      </c>
      <c r="B75" s="184">
        <v>43830</v>
      </c>
      <c r="C75" s="178">
        <f t="shared" si="12"/>
        <v>0</v>
      </c>
      <c r="D75" s="236">
        <f>VLOOKUP($B75,DTF!$B$9:$D$69,IF(Variables!$B$73=1,3,2),0)</f>
        <v>5.2500000000000005E-2</v>
      </c>
      <c r="E75" s="236">
        <f t="shared" si="3"/>
        <v>5.0842403434051039E-2</v>
      </c>
      <c r="F75" s="236">
        <f t="shared" si="13"/>
        <v>4.4999999999999998E-2</v>
      </c>
      <c r="G75" s="236">
        <f t="shared" si="4"/>
        <v>9.5842403434051038E-2</v>
      </c>
      <c r="H75" s="236">
        <f t="shared" si="5"/>
        <v>2.3960600858512759E-2</v>
      </c>
      <c r="I75" s="236">
        <f t="shared" si="6"/>
        <v>2.4548804976098525E-2</v>
      </c>
      <c r="J75" s="236">
        <f t="shared" si="7"/>
        <v>0.10187062278149561</v>
      </c>
      <c r="K75" s="236">
        <f t="shared" si="8"/>
        <v>8.1168731066512123E-3</v>
      </c>
      <c r="L75" s="175">
        <f t="shared" si="9"/>
        <v>0</v>
      </c>
      <c r="M75" s="175">
        <f>IF($C75=0,0,IF($C$7="Abono Fijo a Capital",IF($B75&gt;$C$9,ROUND(C75/($C$8-COUNTIF(M$14:M74,"&gt;0")),0),0),IF($C$7="Pago Único al Final",C75,IF($B75&gt;$C$9,ROUND(PMT(K75,($C$8-COUNTIF(M$14:M74,"&gt;0")),-C75)-L75,0),0))))</f>
        <v>0</v>
      </c>
      <c r="N75" s="175">
        <f t="shared" si="10"/>
        <v>0</v>
      </c>
      <c r="O75" s="175">
        <f t="shared" si="14"/>
        <v>0</v>
      </c>
      <c r="P75" s="175">
        <f t="shared" si="15"/>
        <v>0</v>
      </c>
      <c r="Q75" s="175">
        <f t="shared" si="11"/>
        <v>0</v>
      </c>
    </row>
    <row r="76" spans="1:17" x14ac:dyDescent="0.35"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</row>
    <row r="77" spans="1:17" x14ac:dyDescent="0.35"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245">
        <f>SUM(L15:L75)</f>
        <v>0</v>
      </c>
      <c r="M77" s="245">
        <f>SUM(M15:M75)</f>
        <v>0</v>
      </c>
      <c r="N77" s="245">
        <f>SUM(N15:N75)</f>
        <v>0</v>
      </c>
      <c r="O77" s="245">
        <f>SUM(O15:O75)</f>
        <v>0</v>
      </c>
      <c r="P77" s="172"/>
      <c r="Q77" s="172"/>
    </row>
    <row r="78" spans="1:17" x14ac:dyDescent="0.35"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</row>
    <row r="79" spans="1:17" x14ac:dyDescent="0.35"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</row>
    <row r="80" spans="1:17" x14ac:dyDescent="0.35"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</row>
    <row r="81" spans="2:16" x14ac:dyDescent="0.35"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</row>
    <row r="82" spans="2:16" x14ac:dyDescent="0.35">
      <c r="B82" s="172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</row>
    <row r="83" spans="2:16" x14ac:dyDescent="0.35">
      <c r="B83" s="172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</row>
    <row r="84" spans="2:16" x14ac:dyDescent="0.35"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</row>
    <row r="85" spans="2:16" x14ac:dyDescent="0.35">
      <c r="B85" s="172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</row>
    <row r="86" spans="2:16" x14ac:dyDescent="0.35"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2:16" x14ac:dyDescent="0.35">
      <c r="B87" s="172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</row>
    <row r="88" spans="2:16" x14ac:dyDescent="0.35"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</row>
    <row r="89" spans="2:16" x14ac:dyDescent="0.35">
      <c r="B89" s="172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</row>
  </sheetData>
  <mergeCells count="7">
    <mergeCell ref="Q12:Q13"/>
    <mergeCell ref="C11:P11"/>
    <mergeCell ref="C12:C13"/>
    <mergeCell ref="P12:P13"/>
    <mergeCell ref="L12:N12"/>
    <mergeCell ref="D12:J12"/>
    <mergeCell ref="O12:O13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89"/>
  <sheetViews>
    <sheetView showGridLines="0" workbookViewId="0">
      <pane xSplit="2" ySplit="13" topLeftCell="G71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1" x14ac:dyDescent="0.35"/>
  <cols>
    <col min="1" max="1" width="7.36328125" bestFit="1" customWidth="1"/>
    <col min="2" max="2" width="14.453125" customWidth="1"/>
    <col min="3" max="3" width="12" customWidth="1"/>
    <col min="4" max="5" width="7.54296875" customWidth="1" outlineLevel="1"/>
    <col min="6" max="6" width="5.7265625" customWidth="1" outlineLevel="1"/>
    <col min="7" max="7" width="7.54296875" bestFit="1" customWidth="1"/>
    <col min="8" max="9" width="7.54296875" hidden="1" customWidth="1" outlineLevel="1"/>
    <col min="10" max="10" width="6.7265625" customWidth="1" collapsed="1"/>
    <col min="11" max="11" width="8.81640625" customWidth="1"/>
    <col min="12" max="12" width="11.6328125" customWidth="1"/>
    <col min="13" max="14" width="12.36328125" bestFit="1" customWidth="1"/>
    <col min="15" max="15" width="13.26953125" customWidth="1"/>
    <col min="16" max="16" width="11.1796875" customWidth="1"/>
    <col min="17" max="17" width="4.6328125" customWidth="1"/>
  </cols>
  <sheetData>
    <row r="1" spans="1:22" x14ac:dyDescent="0.35">
      <c r="A1" s="241" t="s">
        <v>505</v>
      </c>
      <c r="B1" s="241"/>
      <c r="C1" s="1" t="s">
        <v>506</v>
      </c>
      <c r="D1" s="230"/>
      <c r="E1" s="230"/>
      <c r="F1" s="230"/>
      <c r="G1" s="230"/>
      <c r="H1" s="230"/>
      <c r="I1" s="230"/>
      <c r="J1" s="230"/>
      <c r="K1" s="230"/>
      <c r="O1">
        <v>29</v>
      </c>
    </row>
    <row r="2" spans="1:22" x14ac:dyDescent="0.35">
      <c r="A2" s="241" t="s">
        <v>225</v>
      </c>
      <c r="B2" s="241"/>
      <c r="C2" s="240" t="s">
        <v>507</v>
      </c>
      <c r="D2" s="230"/>
      <c r="E2" s="230"/>
      <c r="F2" s="230"/>
      <c r="G2" s="230"/>
      <c r="H2" s="230"/>
      <c r="I2" s="230"/>
      <c r="J2" s="230"/>
      <c r="K2" s="230"/>
    </row>
    <row r="3" spans="1:22" x14ac:dyDescent="0.35">
      <c r="A3" s="241" t="s">
        <v>157</v>
      </c>
      <c r="B3" s="241"/>
      <c r="C3" s="346">
        <f>Variables!$C$59</f>
        <v>8.2500000000000004E-2</v>
      </c>
      <c r="E3" s="230"/>
      <c r="F3" s="230"/>
      <c r="G3" s="230"/>
      <c r="H3" s="230"/>
      <c r="I3" s="230"/>
      <c r="J3" s="230"/>
      <c r="K3" s="230"/>
    </row>
    <row r="4" spans="1:22" x14ac:dyDescent="0.35">
      <c r="A4" s="241" t="s">
        <v>223</v>
      </c>
      <c r="B4" s="241"/>
      <c r="C4" s="231">
        <f>Variables!$D$59</f>
        <v>1</v>
      </c>
      <c r="D4" s="230" t="s">
        <v>224</v>
      </c>
      <c r="E4" s="230"/>
      <c r="F4" s="230"/>
      <c r="G4" s="230"/>
      <c r="H4" s="230"/>
      <c r="I4" s="230"/>
      <c r="J4" s="230"/>
      <c r="K4" s="230"/>
    </row>
    <row r="5" spans="1:22" x14ac:dyDescent="0.35">
      <c r="A5" s="242" t="s">
        <v>226</v>
      </c>
      <c r="B5" s="241"/>
      <c r="C5" s="239">
        <v>42369</v>
      </c>
      <c r="D5" s="230"/>
      <c r="E5" s="230"/>
      <c r="F5" s="230"/>
      <c r="G5" s="230"/>
      <c r="H5" s="230"/>
      <c r="I5" s="230"/>
      <c r="J5" s="230"/>
      <c r="K5" s="230"/>
    </row>
    <row r="6" spans="1:22" x14ac:dyDescent="0.35">
      <c r="A6" s="242" t="s">
        <v>508</v>
      </c>
      <c r="B6" s="241"/>
      <c r="C6" s="231">
        <f>Variables!$E$59</f>
        <v>0</v>
      </c>
      <c r="D6" s="230" t="s">
        <v>224</v>
      </c>
      <c r="E6" s="230"/>
      <c r="F6" s="230"/>
      <c r="G6" s="230"/>
      <c r="H6" s="230"/>
      <c r="I6" s="230"/>
      <c r="J6" s="230"/>
      <c r="K6" s="230"/>
    </row>
    <row r="7" spans="1:22" x14ac:dyDescent="0.35">
      <c r="A7" s="242" t="s">
        <v>497</v>
      </c>
      <c r="B7" s="241"/>
      <c r="C7" s="345" t="str">
        <f>Variables!$F$59</f>
        <v>Pago Único al Final</v>
      </c>
      <c r="D7" s="230"/>
      <c r="E7" s="230"/>
      <c r="F7" s="230"/>
      <c r="G7" s="230"/>
      <c r="H7" s="230"/>
      <c r="I7" s="230"/>
      <c r="J7" s="230"/>
      <c r="K7" s="230"/>
    </row>
    <row r="8" spans="1:22" x14ac:dyDescent="0.35">
      <c r="A8" s="242" t="s">
        <v>557</v>
      </c>
      <c r="B8" s="241"/>
      <c r="C8" s="231">
        <f>C4-C6</f>
        <v>1</v>
      </c>
      <c r="D8" s="230"/>
      <c r="E8" s="230"/>
      <c r="F8" s="230"/>
      <c r="G8" s="230"/>
      <c r="H8" s="230"/>
      <c r="I8" s="230"/>
      <c r="J8" s="230"/>
      <c r="K8" s="230"/>
    </row>
    <row r="9" spans="1:22" x14ac:dyDescent="0.35">
      <c r="A9" s="242" t="s">
        <v>558</v>
      </c>
      <c r="B9" s="241"/>
      <c r="C9" s="239">
        <f>EOMONTH(C5,C6)</f>
        <v>42369</v>
      </c>
      <c r="D9" s="230"/>
      <c r="E9" s="230"/>
      <c r="F9" s="230"/>
      <c r="G9" s="230"/>
      <c r="H9" s="230"/>
      <c r="I9" s="230"/>
      <c r="J9" s="230"/>
      <c r="K9" s="230"/>
    </row>
    <row r="11" spans="1:22" ht="14.5" customHeight="1" x14ac:dyDescent="0.35">
      <c r="A11" s="243" t="s">
        <v>179</v>
      </c>
      <c r="B11" s="243" t="s">
        <v>180</v>
      </c>
      <c r="C11" s="967" t="s">
        <v>196</v>
      </c>
      <c r="D11" s="968"/>
      <c r="E11" s="968"/>
      <c r="F11" s="968"/>
      <c r="G11" s="968"/>
      <c r="H11" s="968"/>
      <c r="I11" s="968"/>
      <c r="J11" s="968"/>
      <c r="K11" s="968"/>
      <c r="L11" s="968"/>
      <c r="M11" s="968"/>
      <c r="N11" s="968"/>
      <c r="O11" s="968"/>
      <c r="P11" s="969"/>
    </row>
    <row r="12" spans="1:22" ht="14" customHeight="1" x14ac:dyDescent="0.35">
      <c r="A12" s="244"/>
      <c r="B12" s="244"/>
      <c r="C12" s="903" t="s">
        <v>211</v>
      </c>
      <c r="D12" s="970" t="s">
        <v>222</v>
      </c>
      <c r="E12" s="971"/>
      <c r="F12" s="971"/>
      <c r="G12" s="971"/>
      <c r="H12" s="971"/>
      <c r="I12" s="971"/>
      <c r="J12" s="972"/>
      <c r="K12" s="237"/>
      <c r="L12" s="973" t="s">
        <v>210</v>
      </c>
      <c r="M12" s="974"/>
      <c r="N12" s="975"/>
      <c r="O12" s="961" t="s">
        <v>221</v>
      </c>
      <c r="P12" s="903" t="s">
        <v>212</v>
      </c>
      <c r="R12" s="959" t="s">
        <v>810</v>
      </c>
      <c r="S12" s="960"/>
    </row>
    <row r="13" spans="1:22" ht="29" x14ac:dyDescent="0.35">
      <c r="A13" s="244"/>
      <c r="B13" s="244"/>
      <c r="C13" s="904"/>
      <c r="D13" s="238" t="s">
        <v>214</v>
      </c>
      <c r="E13" s="238" t="s">
        <v>219</v>
      </c>
      <c r="F13" s="235" t="s">
        <v>213</v>
      </c>
      <c r="G13" s="235" t="s">
        <v>217</v>
      </c>
      <c r="H13" s="235" t="s">
        <v>218</v>
      </c>
      <c r="I13" s="235" t="s">
        <v>220</v>
      </c>
      <c r="J13" s="235" t="s">
        <v>215</v>
      </c>
      <c r="K13" s="235" t="s">
        <v>216</v>
      </c>
      <c r="L13" s="235" t="s">
        <v>187</v>
      </c>
      <c r="M13" s="235" t="s">
        <v>155</v>
      </c>
      <c r="N13" s="235" t="s">
        <v>65</v>
      </c>
      <c r="O13" s="962"/>
      <c r="P13" s="904"/>
      <c r="R13" s="959"/>
      <c r="S13" s="960"/>
    </row>
    <row r="14" spans="1:22" x14ac:dyDescent="0.35">
      <c r="A14" s="181"/>
      <c r="B14" s="181"/>
      <c r="C14" s="177"/>
      <c r="D14" s="177"/>
      <c r="E14" s="177"/>
      <c r="F14" s="177"/>
      <c r="G14" s="177"/>
      <c r="H14" s="177"/>
      <c r="I14" s="177"/>
      <c r="J14" s="177"/>
      <c r="K14" s="177"/>
      <c r="L14" s="176"/>
      <c r="M14" s="176"/>
      <c r="N14" s="325"/>
      <c r="O14" s="325"/>
      <c r="P14" s="325"/>
      <c r="Q14" s="512"/>
    </row>
    <row r="15" spans="1:22" x14ac:dyDescent="0.35">
      <c r="A15" s="43">
        <v>0</v>
      </c>
      <c r="B15" s="184">
        <v>42004</v>
      </c>
      <c r="C15" s="178">
        <v>0</v>
      </c>
      <c r="D15" s="236">
        <f>VLOOKUP($B15,DTF!$B$9:$D$69,IF(Variables!$B$73=1,3,2),0)</f>
        <v>4.4999999999999998E-2</v>
      </c>
      <c r="E15" s="236">
        <f>(((1+D15)^(1/4)-1)/(1+((1+D15)^(1/4)-1)))*4</f>
        <v>4.3775585558297421E-2</v>
      </c>
      <c r="F15" s="236">
        <f t="shared" ref="F15:F75" si="0">$C$3</f>
        <v>8.2500000000000004E-2</v>
      </c>
      <c r="G15" s="236">
        <f>E15+F15</f>
        <v>0.12627558555829743</v>
      </c>
      <c r="H15" s="236">
        <f>(G15/4)</f>
        <v>3.1568896389574358E-2</v>
      </c>
      <c r="I15" s="236">
        <f>H15/(1-H15)</f>
        <v>3.2597978598458664E-2</v>
      </c>
      <c r="J15" s="236">
        <f>((1+I15)^4)-1</f>
        <v>0.13690737095120031</v>
      </c>
      <c r="K15" s="236">
        <f>((1+J15)^(1/12))-1</f>
        <v>1.0750015923009615E-2</v>
      </c>
      <c r="L15" s="175">
        <f>ROUND(K15*C15,0)</f>
        <v>0</v>
      </c>
      <c r="M15" s="175">
        <f>IF($C15=0,0,IF($C$7="Abono Fijo a Capital",IF($B15&gt;$C$9,ROUND(C15/($C$8-COUNTIF(M$14:M14,"&gt;0")),0),0),IF($C$7="Pago Único al Final",C15,0)))</f>
        <v>0</v>
      </c>
      <c r="N15" s="175">
        <f>SUM(L15:M15)</f>
        <v>0</v>
      </c>
      <c r="O15" s="175">
        <f>IF(ROUNDUP(VLOOKUP($A15,'Ppto-Mes'!$A$8:$AW$68,O$1,0)+VLOOKUP($A15,'Ppto-Mes'!$A$8:$AW$68,O$1+1,0)+IF(A15=0,'Inv Inicial'!$D$15,0),6)&lt;0,-(ROUNDUP(VLOOKUP($A15,'Ppto-Mes'!$A$8:$AW$68,O$1,0)+VLOOKUP($A15,'Ppto-Mes'!$A$8:$AW$68,O$1+1,0)+IF(A15=0,'Inv Inicial'!$D$15,0),-6)),0)</f>
        <v>0</v>
      </c>
      <c r="P15" s="175">
        <f t="shared" ref="P15:P75" si="1">C15-M15+O15</f>
        <v>0</v>
      </c>
      <c r="Q15" s="513"/>
      <c r="R15" s="175">
        <f>'Inv Temp'!F7</f>
        <v>0</v>
      </c>
      <c r="S15" s="175" t="str">
        <f>IF(R15&gt;0,IF(O15&gt;0,"Malo",""),"")</f>
        <v/>
      </c>
      <c r="V15">
        <f>IF(ROUNDUP(VLOOKUP($A15,'Ppto-Mes'!$A$8:$AW$68,O$1,0),-6)+IF(A15=0,'Inv Inicial'!$D$15,0)&lt;0,-(ROUNDUP(VLOOKUP($A15,'Ppto-Mes'!$A$8:$AW$68,O$1,0),-6)+IF(A15=0,'Inv Inicial'!$D$15,0)),0)</f>
        <v>0</v>
      </c>
    </row>
    <row r="16" spans="1:22" x14ac:dyDescent="0.35">
      <c r="A16" s="43">
        <v>1</v>
      </c>
      <c r="B16" s="184">
        <v>42035</v>
      </c>
      <c r="C16" s="178">
        <f>P15</f>
        <v>0</v>
      </c>
      <c r="D16" s="236">
        <f>VLOOKUP($B16,DTF!$B$9:$D$69,IF(Variables!$B$73=1,3,2),0)</f>
        <v>4.7500000000000001E-2</v>
      </c>
      <c r="E16" s="236">
        <f t="shared" ref="E16:E75" si="2">(((1+D16)^(1/4)-1)/(1+((1+D16)^(1/4)-1)))*4</f>
        <v>4.6138216898191912E-2</v>
      </c>
      <c r="F16" s="236">
        <f t="shared" si="0"/>
        <v>8.2500000000000004E-2</v>
      </c>
      <c r="G16" s="236">
        <f t="shared" ref="G16:G75" si="3">E16+F16</f>
        <v>0.12863821689819191</v>
      </c>
      <c r="H16" s="236">
        <f t="shared" ref="H16:H75" si="4">(G16/4)</f>
        <v>3.2159554224547977E-2</v>
      </c>
      <c r="I16" s="236">
        <f t="shared" ref="I16:I75" si="5">H16/(1-H16)</f>
        <v>3.3228156939423145E-2</v>
      </c>
      <c r="J16" s="236">
        <f t="shared" ref="J16:J75" si="6">((1+I16)^4)-1</f>
        <v>0.13968525951544808</v>
      </c>
      <c r="K16" s="236">
        <f t="shared" ref="K16:K75" si="7">((1+J16)^(1/12))-1</f>
        <v>1.0955589066731664E-2</v>
      </c>
      <c r="L16" s="175">
        <f t="shared" ref="L16:L75" si="8">ROUND(K16*C16,0)</f>
        <v>0</v>
      </c>
      <c r="M16" s="175">
        <f>IF($C16=0,0,IF($C$7="Abono Fijo a Capital",IF($B16&gt;$C$9,ROUND(C16/($C$8-COUNTIF(M$14:M15,"&gt;0")),0),0),IF($C$7="Pago Único al Final",C16,0)))</f>
        <v>0</v>
      </c>
      <c r="N16" s="175">
        <f t="shared" ref="N16:N75" si="9">SUM(L16:M16)</f>
        <v>0</v>
      </c>
      <c r="O16" s="175">
        <f>IF(ROUNDUP(VLOOKUP($A16,'Ppto-Mes'!$A$8:$AW$68,O$1,0)+VLOOKUP($A16,'Ppto-Mes'!$A$8:$AW$68,O$1+1,0)+IF(A16=0,'Inv Inicial'!$D$15,0),6)&lt;0,-(ROUNDUP(VLOOKUP($A16,'Ppto-Mes'!$A$8:$AW$68,O$1,0)+VLOOKUP($A16,'Ppto-Mes'!$A$8:$AW$68,O$1+1,0)+IF(A16=0,'Inv Inicial'!$D$15,0),-6)),0)</f>
        <v>2000000</v>
      </c>
      <c r="P16" s="175">
        <f t="shared" si="1"/>
        <v>2000000</v>
      </c>
      <c r="Q16" s="513"/>
      <c r="R16" s="175">
        <f>'Inv Temp'!F8</f>
        <v>0</v>
      </c>
      <c r="S16" s="175" t="str">
        <f t="shared" ref="S16:S75" si="10">IF(R16&gt;0,IF(O16&gt;0,"Malo",""),"")</f>
        <v/>
      </c>
    </row>
    <row r="17" spans="1:19" x14ac:dyDescent="0.35">
      <c r="A17" s="43">
        <v>2</v>
      </c>
      <c r="B17" s="184">
        <v>42063</v>
      </c>
      <c r="C17" s="178">
        <f t="shared" ref="C17:C75" si="11">P16</f>
        <v>2000000</v>
      </c>
      <c r="D17" s="236">
        <f>VLOOKUP($B17,DTF!$B$9:$D$69,IF(Variables!$B$73=1,3,2),0)</f>
        <v>4.7500000000000001E-2</v>
      </c>
      <c r="E17" s="236">
        <f t="shared" si="2"/>
        <v>4.6138216898191912E-2</v>
      </c>
      <c r="F17" s="236">
        <f t="shared" si="0"/>
        <v>8.2500000000000004E-2</v>
      </c>
      <c r="G17" s="236">
        <f t="shared" si="3"/>
        <v>0.12863821689819191</v>
      </c>
      <c r="H17" s="236">
        <f t="shared" si="4"/>
        <v>3.2159554224547977E-2</v>
      </c>
      <c r="I17" s="236">
        <f t="shared" si="5"/>
        <v>3.3228156939423145E-2</v>
      </c>
      <c r="J17" s="236">
        <f t="shared" si="6"/>
        <v>0.13968525951544808</v>
      </c>
      <c r="K17" s="236">
        <f t="shared" si="7"/>
        <v>1.0955589066731664E-2</v>
      </c>
      <c r="L17" s="175">
        <f t="shared" si="8"/>
        <v>21911</v>
      </c>
      <c r="M17" s="175">
        <f>IF($C17=0,0,IF($C$7="Abono Fijo a Capital",IF($B17&gt;$C$9,ROUND(C17/($C$8-COUNTIF(M$14:M16,"&gt;0")),0),0),IF($C$7="Pago Único al Final",C17,0)))</f>
        <v>2000000</v>
      </c>
      <c r="N17" s="175">
        <f t="shared" si="9"/>
        <v>2021911</v>
      </c>
      <c r="O17" s="175">
        <f>IF(ROUNDUP(VLOOKUP($A17,'Ppto-Mes'!$A$8:$AW$68,O$1,0)+VLOOKUP($A17,'Ppto-Mes'!$A$8:$AW$68,O$1+1,0)+IF(A17=0,'Inv Inicial'!$D$15,0),6)&lt;0,-(ROUNDUP(VLOOKUP($A17,'Ppto-Mes'!$A$8:$AW$68,O$1,0)+VLOOKUP($A17,'Ppto-Mes'!$A$8:$AW$68,O$1+1,0)+IF(A17=0,'Inv Inicial'!$D$15,0),-6)),0)</f>
        <v>0</v>
      </c>
      <c r="P17" s="175">
        <f t="shared" si="1"/>
        <v>0</v>
      </c>
      <c r="Q17" s="513"/>
      <c r="R17" s="175">
        <f>'Inv Temp'!F9</f>
        <v>0</v>
      </c>
      <c r="S17" s="175" t="str">
        <f t="shared" si="10"/>
        <v/>
      </c>
    </row>
    <row r="18" spans="1:19" x14ac:dyDescent="0.35">
      <c r="A18" s="43">
        <v>3</v>
      </c>
      <c r="B18" s="184">
        <v>42094</v>
      </c>
      <c r="C18" s="178">
        <f t="shared" si="11"/>
        <v>0</v>
      </c>
      <c r="D18" s="236">
        <f>VLOOKUP($B18,DTF!$B$9:$D$69,IF(Variables!$B$73=1,3,2),0)</f>
        <v>4.7500000000000001E-2</v>
      </c>
      <c r="E18" s="236">
        <f t="shared" si="2"/>
        <v>4.6138216898191912E-2</v>
      </c>
      <c r="F18" s="236">
        <f t="shared" si="0"/>
        <v>8.2500000000000004E-2</v>
      </c>
      <c r="G18" s="236">
        <f t="shared" si="3"/>
        <v>0.12863821689819191</v>
      </c>
      <c r="H18" s="236">
        <f t="shared" si="4"/>
        <v>3.2159554224547977E-2</v>
      </c>
      <c r="I18" s="236">
        <f t="shared" si="5"/>
        <v>3.3228156939423145E-2</v>
      </c>
      <c r="J18" s="236">
        <f t="shared" si="6"/>
        <v>0.13968525951544808</v>
      </c>
      <c r="K18" s="236">
        <f t="shared" si="7"/>
        <v>1.0955589066731664E-2</v>
      </c>
      <c r="L18" s="175">
        <f t="shared" si="8"/>
        <v>0</v>
      </c>
      <c r="M18" s="175">
        <f>IF($C18=0,0,IF($C$7="Abono Fijo a Capital",IF($B18&gt;$C$9,ROUND(C18/($C$8-COUNTIF(M$14:M17,"&gt;0")),0),0),IF($C$7="Pago Único al Final",C18,0)))</f>
        <v>0</v>
      </c>
      <c r="N18" s="175">
        <f t="shared" si="9"/>
        <v>0</v>
      </c>
      <c r="O18" s="175">
        <f>IF(ROUNDUP(VLOOKUP($A18,'Ppto-Mes'!$A$8:$AW$68,O$1,0)+VLOOKUP($A18,'Ppto-Mes'!$A$8:$AW$68,O$1+1,0)+IF(A18=0,'Inv Inicial'!$D$15,0),6)&lt;0,-(ROUNDUP(VLOOKUP($A18,'Ppto-Mes'!$A$8:$AW$68,O$1,0)+VLOOKUP($A18,'Ppto-Mes'!$A$8:$AW$68,O$1+1,0)+IF(A18=0,'Inv Inicial'!$D$15,0),-6)),0)</f>
        <v>0</v>
      </c>
      <c r="P18" s="175">
        <f t="shared" si="1"/>
        <v>0</v>
      </c>
      <c r="Q18" s="513"/>
      <c r="R18" s="175">
        <f>'Inv Temp'!F10</f>
        <v>0</v>
      </c>
      <c r="S18" s="175" t="str">
        <f t="shared" si="10"/>
        <v/>
      </c>
    </row>
    <row r="19" spans="1:19" x14ac:dyDescent="0.35">
      <c r="A19" s="43">
        <v>4</v>
      </c>
      <c r="B19" s="184">
        <v>42124</v>
      </c>
      <c r="C19" s="178">
        <f t="shared" si="11"/>
        <v>0</v>
      </c>
      <c r="D19" s="236">
        <f>VLOOKUP($B19,DTF!$B$9:$D$69,IF(Variables!$B$73=1,3,2),0)</f>
        <v>0.05</v>
      </c>
      <c r="E19" s="236">
        <f t="shared" si="2"/>
        <v>4.8493810307703902E-2</v>
      </c>
      <c r="F19" s="236">
        <f t="shared" si="0"/>
        <v>8.2500000000000004E-2</v>
      </c>
      <c r="G19" s="236">
        <f t="shared" si="3"/>
        <v>0.13099381030770391</v>
      </c>
      <c r="H19" s="236">
        <f t="shared" si="4"/>
        <v>3.2748452576925977E-2</v>
      </c>
      <c r="I19" s="236">
        <f t="shared" si="5"/>
        <v>3.3857224280667772E-2</v>
      </c>
      <c r="J19" s="236">
        <f t="shared" si="6"/>
        <v>0.14246332468960832</v>
      </c>
      <c r="K19" s="236">
        <f t="shared" si="7"/>
        <v>1.1160716436643403E-2</v>
      </c>
      <c r="L19" s="175">
        <f t="shared" si="8"/>
        <v>0</v>
      </c>
      <c r="M19" s="175">
        <f>IF($C19=0,0,IF($C$7="Abono Fijo a Capital",IF($B19&gt;$C$9,ROUND(C19/($C$8-COUNTIF(M$14:M18,"&gt;0")),0),0),IF($C$7="Pago Único al Final",C19,0)))</f>
        <v>0</v>
      </c>
      <c r="N19" s="175">
        <f t="shared" si="9"/>
        <v>0</v>
      </c>
      <c r="O19" s="175">
        <f>IF(ROUNDUP(VLOOKUP($A19,'Ppto-Mes'!$A$8:$AW$68,O$1,0)+VLOOKUP($A19,'Ppto-Mes'!$A$8:$AW$68,O$1+1,0)+IF(A19=0,'Inv Inicial'!$D$15,0),6)&lt;0,-(ROUNDUP(VLOOKUP($A19,'Ppto-Mes'!$A$8:$AW$68,O$1,0)+VLOOKUP($A19,'Ppto-Mes'!$A$8:$AW$68,O$1+1,0)+IF(A19=0,'Inv Inicial'!$D$15,0),-6)),0)</f>
        <v>0</v>
      </c>
      <c r="P19" s="175">
        <f t="shared" si="1"/>
        <v>0</v>
      </c>
      <c r="Q19" s="513"/>
      <c r="R19" s="175">
        <f>'Inv Temp'!F11</f>
        <v>5000000</v>
      </c>
      <c r="S19" s="175" t="str">
        <f t="shared" si="10"/>
        <v/>
      </c>
    </row>
    <row r="20" spans="1:19" x14ac:dyDescent="0.35">
      <c r="A20" s="43">
        <v>5</v>
      </c>
      <c r="B20" s="184">
        <v>42155</v>
      </c>
      <c r="C20" s="178">
        <f t="shared" si="11"/>
        <v>0</v>
      </c>
      <c r="D20" s="236">
        <f>VLOOKUP($B20,DTF!$B$9:$D$69,IF(Variables!$B$73=1,3,2),0)</f>
        <v>0.05</v>
      </c>
      <c r="E20" s="236">
        <f t="shared" si="2"/>
        <v>4.8493810307703902E-2</v>
      </c>
      <c r="F20" s="236">
        <f t="shared" si="0"/>
        <v>8.2500000000000004E-2</v>
      </c>
      <c r="G20" s="236">
        <f t="shared" si="3"/>
        <v>0.13099381030770391</v>
      </c>
      <c r="H20" s="236">
        <f t="shared" si="4"/>
        <v>3.2748452576925977E-2</v>
      </c>
      <c r="I20" s="236">
        <f t="shared" si="5"/>
        <v>3.3857224280667772E-2</v>
      </c>
      <c r="J20" s="236">
        <f t="shared" si="6"/>
        <v>0.14246332468960832</v>
      </c>
      <c r="K20" s="236">
        <f t="shared" si="7"/>
        <v>1.1160716436643403E-2</v>
      </c>
      <c r="L20" s="175">
        <f t="shared" si="8"/>
        <v>0</v>
      </c>
      <c r="M20" s="175">
        <f>IF($C20=0,0,IF($C$7="Abono Fijo a Capital",IF($B20&gt;$C$9,ROUND(C20/($C$8-COUNTIF(M$14:M19,"&gt;0")),0),0),IF($C$7="Pago Único al Final",C20,0)))</f>
        <v>0</v>
      </c>
      <c r="N20" s="175">
        <f t="shared" si="9"/>
        <v>0</v>
      </c>
      <c r="O20" s="175">
        <f>IF(ROUNDUP(VLOOKUP($A20,'Ppto-Mes'!$A$8:$AW$68,O$1,0)+VLOOKUP($A20,'Ppto-Mes'!$A$8:$AW$68,O$1+1,0)+IF(A20=0,'Inv Inicial'!$D$15,0),6)&lt;0,-(ROUNDUP(VLOOKUP($A20,'Ppto-Mes'!$A$8:$AW$68,O$1,0)+VLOOKUP($A20,'Ppto-Mes'!$A$8:$AW$68,O$1+1,0)+IF(A20=0,'Inv Inicial'!$D$15,0),-6)),0)</f>
        <v>0</v>
      </c>
      <c r="P20" s="175">
        <f t="shared" si="1"/>
        <v>0</v>
      </c>
      <c r="Q20" s="513"/>
      <c r="R20" s="175">
        <f>'Inv Temp'!F12</f>
        <v>11000000</v>
      </c>
      <c r="S20" s="175" t="str">
        <f t="shared" si="10"/>
        <v/>
      </c>
    </row>
    <row r="21" spans="1:19" x14ac:dyDescent="0.35">
      <c r="A21" s="43">
        <v>6</v>
      </c>
      <c r="B21" s="184">
        <v>42185</v>
      </c>
      <c r="C21" s="178">
        <f t="shared" si="11"/>
        <v>0</v>
      </c>
      <c r="D21" s="236">
        <f>VLOOKUP($B21,DTF!$B$9:$D$69,IF(Variables!$B$73=1,3,2),0)</f>
        <v>0.05</v>
      </c>
      <c r="E21" s="236">
        <f t="shared" si="2"/>
        <v>4.8493810307703902E-2</v>
      </c>
      <c r="F21" s="236">
        <f t="shared" si="0"/>
        <v>8.2500000000000004E-2</v>
      </c>
      <c r="G21" s="236">
        <f t="shared" si="3"/>
        <v>0.13099381030770391</v>
      </c>
      <c r="H21" s="236">
        <f t="shared" si="4"/>
        <v>3.2748452576925977E-2</v>
      </c>
      <c r="I21" s="236">
        <f t="shared" si="5"/>
        <v>3.3857224280667772E-2</v>
      </c>
      <c r="J21" s="236">
        <f t="shared" si="6"/>
        <v>0.14246332468960832</v>
      </c>
      <c r="K21" s="236">
        <f t="shared" si="7"/>
        <v>1.1160716436643403E-2</v>
      </c>
      <c r="L21" s="175">
        <f t="shared" si="8"/>
        <v>0</v>
      </c>
      <c r="M21" s="175">
        <f>IF($C21=0,0,IF($C$7="Abono Fijo a Capital",IF($B21&gt;$C$9,ROUND(C21/($C$8-COUNTIF(M$14:M20,"&gt;0")),0),0),IF($C$7="Pago Único al Final",C21,0)))</f>
        <v>0</v>
      </c>
      <c r="N21" s="175">
        <f t="shared" si="9"/>
        <v>0</v>
      </c>
      <c r="O21" s="175">
        <f>IF(ROUNDUP(VLOOKUP($A21,'Ppto-Mes'!$A$8:$AW$68,O$1,0)+VLOOKUP($A21,'Ppto-Mes'!$A$8:$AW$68,O$1+1,0)+IF(A21=0,'Inv Inicial'!$D$15,0),6)&lt;0,-(ROUNDUP(VLOOKUP($A21,'Ppto-Mes'!$A$8:$AW$68,O$1,0)+VLOOKUP($A21,'Ppto-Mes'!$A$8:$AW$68,O$1+1,0)+IF(A21=0,'Inv Inicial'!$D$15,0),-6)),0)</f>
        <v>0</v>
      </c>
      <c r="P21" s="175">
        <f t="shared" si="1"/>
        <v>0</v>
      </c>
      <c r="Q21" s="513"/>
      <c r="R21" s="175">
        <f>'Inv Temp'!F13</f>
        <v>13000000</v>
      </c>
      <c r="S21" s="175" t="str">
        <f t="shared" si="10"/>
        <v/>
      </c>
    </row>
    <row r="22" spans="1:19" x14ac:dyDescent="0.35">
      <c r="A22" s="43">
        <v>7</v>
      </c>
      <c r="B22" s="184">
        <v>42216</v>
      </c>
      <c r="C22" s="178">
        <f t="shared" si="11"/>
        <v>0</v>
      </c>
      <c r="D22" s="236">
        <f>VLOOKUP($B22,DTF!$B$9:$D$69,IF(Variables!$B$73=1,3,2),0)</f>
        <v>5.2500000000000005E-2</v>
      </c>
      <c r="E22" s="236">
        <f t="shared" si="2"/>
        <v>5.0842403434051039E-2</v>
      </c>
      <c r="F22" s="236">
        <f t="shared" si="0"/>
        <v>8.2500000000000004E-2</v>
      </c>
      <c r="G22" s="236">
        <f t="shared" si="3"/>
        <v>0.13334240343405104</v>
      </c>
      <c r="H22" s="236">
        <f t="shared" si="4"/>
        <v>3.3335600858512761E-2</v>
      </c>
      <c r="I22" s="236">
        <f t="shared" si="5"/>
        <v>3.4485185228833017E-2</v>
      </c>
      <c r="J22" s="236">
        <f t="shared" si="6"/>
        <v>0.14524156617164463</v>
      </c>
      <c r="K22" s="236">
        <f t="shared" si="7"/>
        <v>1.1365400059408559E-2</v>
      </c>
      <c r="L22" s="175">
        <f t="shared" si="8"/>
        <v>0</v>
      </c>
      <c r="M22" s="175">
        <f>IF($C22=0,0,IF($C$7="Abono Fijo a Capital",IF($B22&gt;$C$9,ROUND(C22/($C$8-COUNTIF(M$14:M21,"&gt;0")),0),0),IF($C$7="Pago Único al Final",C22,0)))</f>
        <v>0</v>
      </c>
      <c r="N22" s="175">
        <f t="shared" si="9"/>
        <v>0</v>
      </c>
      <c r="O22" s="175">
        <f>IF(ROUNDUP(VLOOKUP($A22,'Ppto-Mes'!$A$8:$AW$68,O$1,0)+VLOOKUP($A22,'Ppto-Mes'!$A$8:$AW$68,O$1+1,0)+IF(A22=0,'Inv Inicial'!$D$15,0),6)&lt;0,-(ROUNDUP(VLOOKUP($A22,'Ppto-Mes'!$A$8:$AW$68,O$1,0)+VLOOKUP($A22,'Ppto-Mes'!$A$8:$AW$68,O$1+1,0)+IF(A22=0,'Inv Inicial'!$D$15,0),-6)),0)</f>
        <v>0</v>
      </c>
      <c r="P22" s="175">
        <f t="shared" si="1"/>
        <v>0</v>
      </c>
      <c r="Q22" s="513"/>
      <c r="R22" s="175">
        <f>'Inv Temp'!F14</f>
        <v>13000000</v>
      </c>
      <c r="S22" s="175" t="str">
        <f t="shared" si="10"/>
        <v/>
      </c>
    </row>
    <row r="23" spans="1:19" x14ac:dyDescent="0.35">
      <c r="A23" s="43">
        <v>8</v>
      </c>
      <c r="B23" s="184">
        <v>42247</v>
      </c>
      <c r="C23" s="178">
        <f t="shared" si="11"/>
        <v>0</v>
      </c>
      <c r="D23" s="236">
        <f>VLOOKUP($B23,DTF!$B$9:$D$69,IF(Variables!$B$73=1,3,2),0)</f>
        <v>5.2500000000000005E-2</v>
      </c>
      <c r="E23" s="236">
        <f t="shared" si="2"/>
        <v>5.0842403434051039E-2</v>
      </c>
      <c r="F23" s="236">
        <f t="shared" si="0"/>
        <v>8.2500000000000004E-2</v>
      </c>
      <c r="G23" s="236">
        <f t="shared" si="3"/>
        <v>0.13334240343405104</v>
      </c>
      <c r="H23" s="236">
        <f t="shared" si="4"/>
        <v>3.3335600858512761E-2</v>
      </c>
      <c r="I23" s="236">
        <f t="shared" si="5"/>
        <v>3.4485185228833017E-2</v>
      </c>
      <c r="J23" s="236">
        <f t="shared" si="6"/>
        <v>0.14524156617164463</v>
      </c>
      <c r="K23" s="236">
        <f t="shared" si="7"/>
        <v>1.1365400059408559E-2</v>
      </c>
      <c r="L23" s="175">
        <f t="shared" si="8"/>
        <v>0</v>
      </c>
      <c r="M23" s="175">
        <f>IF($C23=0,0,IF($C$7="Abono Fijo a Capital",IF($B23&gt;$C$9,ROUND(C23/($C$8-COUNTIF(M$14:M22,"&gt;0")),0),0),IF($C$7="Pago Único al Final",C23,0)))</f>
        <v>0</v>
      </c>
      <c r="N23" s="175">
        <f t="shared" si="9"/>
        <v>0</v>
      </c>
      <c r="O23" s="175">
        <f>IF(ROUNDUP(VLOOKUP($A23,'Ppto-Mes'!$A$8:$AW$68,O$1,0)+VLOOKUP($A23,'Ppto-Mes'!$A$8:$AW$68,O$1+1,0)+IF(A23=0,'Inv Inicial'!$D$15,0),6)&lt;0,-(ROUNDUP(VLOOKUP($A23,'Ppto-Mes'!$A$8:$AW$68,O$1,0)+VLOOKUP($A23,'Ppto-Mes'!$A$8:$AW$68,O$1+1,0)+IF(A23=0,'Inv Inicial'!$D$15,0),-6)),0)</f>
        <v>0</v>
      </c>
      <c r="P23" s="175">
        <f t="shared" si="1"/>
        <v>0</v>
      </c>
      <c r="Q23" s="513"/>
      <c r="R23" s="175">
        <f>'Inv Temp'!F15</f>
        <v>14000000</v>
      </c>
      <c r="S23" s="175" t="str">
        <f t="shared" si="10"/>
        <v/>
      </c>
    </row>
    <row r="24" spans="1:19" x14ac:dyDescent="0.35">
      <c r="A24" s="43">
        <v>9</v>
      </c>
      <c r="B24" s="184">
        <v>42277</v>
      </c>
      <c r="C24" s="178">
        <f t="shared" si="11"/>
        <v>0</v>
      </c>
      <c r="D24" s="236">
        <f>VLOOKUP($B24,DTF!$B$9:$D$69,IF(Variables!$B$73=1,3,2),0)</f>
        <v>5.2500000000000005E-2</v>
      </c>
      <c r="E24" s="236">
        <f t="shared" si="2"/>
        <v>5.0842403434051039E-2</v>
      </c>
      <c r="F24" s="236">
        <f t="shared" si="0"/>
        <v>8.2500000000000004E-2</v>
      </c>
      <c r="G24" s="236">
        <f t="shared" si="3"/>
        <v>0.13334240343405104</v>
      </c>
      <c r="H24" s="236">
        <f t="shared" si="4"/>
        <v>3.3335600858512761E-2</v>
      </c>
      <c r="I24" s="236">
        <f t="shared" si="5"/>
        <v>3.4485185228833017E-2</v>
      </c>
      <c r="J24" s="236">
        <f t="shared" si="6"/>
        <v>0.14524156617164463</v>
      </c>
      <c r="K24" s="236">
        <f t="shared" si="7"/>
        <v>1.1365400059408559E-2</v>
      </c>
      <c r="L24" s="175">
        <f t="shared" si="8"/>
        <v>0</v>
      </c>
      <c r="M24" s="175">
        <f>IF($C24=0,0,IF($C$7="Abono Fijo a Capital",IF($B24&gt;$C$9,ROUND(C24/($C$8-COUNTIF(M$14:M23,"&gt;0")),0),0),IF($C$7="Pago Único al Final",C24,0)))</f>
        <v>0</v>
      </c>
      <c r="N24" s="175">
        <f t="shared" si="9"/>
        <v>0</v>
      </c>
      <c r="O24" s="175">
        <f>IF(ROUNDUP(VLOOKUP($A24,'Ppto-Mes'!$A$8:$AW$68,O$1,0)+VLOOKUP($A24,'Ppto-Mes'!$A$8:$AW$68,O$1+1,0)+IF(A24=0,'Inv Inicial'!$D$15,0),6)&lt;0,-(ROUNDUP(VLOOKUP($A24,'Ppto-Mes'!$A$8:$AW$68,O$1,0)+VLOOKUP($A24,'Ppto-Mes'!$A$8:$AW$68,O$1+1,0)+IF(A24=0,'Inv Inicial'!$D$15,0),-6)),0)</f>
        <v>0</v>
      </c>
      <c r="P24" s="175">
        <f t="shared" si="1"/>
        <v>0</v>
      </c>
      <c r="Q24" s="513"/>
      <c r="R24" s="175">
        <f>'Inv Temp'!F16</f>
        <v>20000000</v>
      </c>
      <c r="S24" s="175" t="str">
        <f t="shared" si="10"/>
        <v/>
      </c>
    </row>
    <row r="25" spans="1:19" x14ac:dyDescent="0.35">
      <c r="A25" s="43">
        <v>10</v>
      </c>
      <c r="B25" s="184">
        <v>42308</v>
      </c>
      <c r="C25" s="178">
        <f t="shared" si="11"/>
        <v>0</v>
      </c>
      <c r="D25" s="236">
        <f>VLOOKUP($B25,DTF!$B$9:$D$69,IF(Variables!$B$73=1,3,2),0)</f>
        <v>5.5000000000000007E-2</v>
      </c>
      <c r="E25" s="236">
        <f t="shared" si="2"/>
        <v>5.318403363425931E-2</v>
      </c>
      <c r="F25" s="236">
        <f t="shared" si="0"/>
        <v>8.2500000000000004E-2</v>
      </c>
      <c r="G25" s="236">
        <f t="shared" si="3"/>
        <v>0.13568403363425932</v>
      </c>
      <c r="H25" s="236">
        <f t="shared" si="4"/>
        <v>3.392100840856483E-2</v>
      </c>
      <c r="I25" s="236">
        <f t="shared" si="5"/>
        <v>3.5112044360561333E-2</v>
      </c>
      <c r="J25" s="236">
        <f t="shared" si="6"/>
        <v>0.14801998366077052</v>
      </c>
      <c r="K25" s="236">
        <f t="shared" si="7"/>
        <v>1.1569641947687614E-2</v>
      </c>
      <c r="L25" s="175">
        <f t="shared" si="8"/>
        <v>0</v>
      </c>
      <c r="M25" s="175">
        <f>IF($C25=0,0,IF($C$7="Abono Fijo a Capital",IF($B25&gt;$C$9,ROUND(C25/($C$8-COUNTIF(M$14:M24,"&gt;0")),0),0),IF($C$7="Pago Único al Final",C25,0)))</f>
        <v>0</v>
      </c>
      <c r="N25" s="175">
        <f t="shared" si="9"/>
        <v>0</v>
      </c>
      <c r="O25" s="175">
        <f>IF(ROUNDUP(VLOOKUP($A25,'Ppto-Mes'!$A$8:$AW$68,O$1,0)+VLOOKUP($A25,'Ppto-Mes'!$A$8:$AW$68,O$1+1,0)+IF(A25=0,'Inv Inicial'!$D$15,0),6)&lt;0,-(ROUNDUP(VLOOKUP($A25,'Ppto-Mes'!$A$8:$AW$68,O$1,0)+VLOOKUP($A25,'Ppto-Mes'!$A$8:$AW$68,O$1+1,0)+IF(A25=0,'Inv Inicial'!$D$15,0),-6)),0)</f>
        <v>0</v>
      </c>
      <c r="P25" s="175">
        <f t="shared" si="1"/>
        <v>0</v>
      </c>
      <c r="Q25" s="513"/>
      <c r="R25" s="175">
        <f>'Inv Temp'!F17</f>
        <v>26000000</v>
      </c>
      <c r="S25" s="175" t="str">
        <f t="shared" si="10"/>
        <v/>
      </c>
    </row>
    <row r="26" spans="1:19" x14ac:dyDescent="0.35">
      <c r="A26" s="43">
        <v>11</v>
      </c>
      <c r="B26" s="184">
        <v>42338</v>
      </c>
      <c r="C26" s="178">
        <f t="shared" si="11"/>
        <v>0</v>
      </c>
      <c r="D26" s="236">
        <f>VLOOKUP($B26,DTF!$B$9:$D$69,IF(Variables!$B$73=1,3,2),0)</f>
        <v>5.5000000000000007E-2</v>
      </c>
      <c r="E26" s="236">
        <f t="shared" si="2"/>
        <v>5.318403363425931E-2</v>
      </c>
      <c r="F26" s="236">
        <f t="shared" si="0"/>
        <v>8.2500000000000004E-2</v>
      </c>
      <c r="G26" s="236">
        <f t="shared" si="3"/>
        <v>0.13568403363425932</v>
      </c>
      <c r="H26" s="236">
        <f t="shared" si="4"/>
        <v>3.392100840856483E-2</v>
      </c>
      <c r="I26" s="236">
        <f t="shared" si="5"/>
        <v>3.5112044360561333E-2</v>
      </c>
      <c r="J26" s="236">
        <f t="shared" si="6"/>
        <v>0.14801998366077052</v>
      </c>
      <c r="K26" s="236">
        <f t="shared" si="7"/>
        <v>1.1569641947687614E-2</v>
      </c>
      <c r="L26" s="175">
        <f t="shared" si="8"/>
        <v>0</v>
      </c>
      <c r="M26" s="175">
        <f>IF($C26=0,0,IF($C$7="Abono Fijo a Capital",IF($B26&gt;$C$9,ROUND(C26/($C$8-COUNTIF(M$14:M25,"&gt;0")),0),0),IF($C$7="Pago Único al Final",C26,0)))</f>
        <v>0</v>
      </c>
      <c r="N26" s="175">
        <f t="shared" si="9"/>
        <v>0</v>
      </c>
      <c r="O26" s="175">
        <f>IF(ROUNDUP(VLOOKUP($A26,'Ppto-Mes'!$A$8:$AW$68,O$1,0)+VLOOKUP($A26,'Ppto-Mes'!$A$8:$AW$68,O$1+1,0)+IF(A26=0,'Inv Inicial'!$D$15,0),6)&lt;0,-(ROUNDUP(VLOOKUP($A26,'Ppto-Mes'!$A$8:$AW$68,O$1,0)+VLOOKUP($A26,'Ppto-Mes'!$A$8:$AW$68,O$1+1,0)+IF(A26=0,'Inv Inicial'!$D$15,0),-6)),0)</f>
        <v>0</v>
      </c>
      <c r="P26" s="175">
        <f t="shared" si="1"/>
        <v>0</v>
      </c>
      <c r="Q26" s="513"/>
      <c r="R26" s="175">
        <f>'Inv Temp'!F18</f>
        <v>32000000</v>
      </c>
      <c r="S26" s="175" t="str">
        <f t="shared" si="10"/>
        <v/>
      </c>
    </row>
    <row r="27" spans="1:19" x14ac:dyDescent="0.35">
      <c r="A27" s="43">
        <v>12</v>
      </c>
      <c r="B27" s="184">
        <v>42369</v>
      </c>
      <c r="C27" s="178">
        <f t="shared" si="11"/>
        <v>0</v>
      </c>
      <c r="D27" s="236">
        <f>VLOOKUP($B27,DTF!$B$9:$D$69,IF(Variables!$B$73=1,3,2),0)</f>
        <v>5.5000000000000007E-2</v>
      </c>
      <c r="E27" s="236">
        <f t="shared" si="2"/>
        <v>5.318403363425931E-2</v>
      </c>
      <c r="F27" s="236">
        <f t="shared" si="0"/>
        <v>8.2500000000000004E-2</v>
      </c>
      <c r="G27" s="236">
        <f t="shared" si="3"/>
        <v>0.13568403363425932</v>
      </c>
      <c r="H27" s="236">
        <f t="shared" si="4"/>
        <v>3.392100840856483E-2</v>
      </c>
      <c r="I27" s="236">
        <f t="shared" si="5"/>
        <v>3.5112044360561333E-2</v>
      </c>
      <c r="J27" s="236">
        <f t="shared" si="6"/>
        <v>0.14801998366077052</v>
      </c>
      <c r="K27" s="236">
        <f t="shared" si="7"/>
        <v>1.1569641947687614E-2</v>
      </c>
      <c r="L27" s="175">
        <f t="shared" si="8"/>
        <v>0</v>
      </c>
      <c r="M27" s="175">
        <f>IF($C27=0,0,IF($C$7="Abono Fijo a Capital",IF($B27&gt;$C$9,ROUND(C27/($C$8-COUNTIF(M$14:M26,"&gt;0")),0),0),IF($C$7="Pago Único al Final",C27,0)))</f>
        <v>0</v>
      </c>
      <c r="N27" s="175">
        <f t="shared" si="9"/>
        <v>0</v>
      </c>
      <c r="O27" s="175">
        <f>IF(ROUNDUP(VLOOKUP($A27,'Ppto-Mes'!$A$8:$AW$68,O$1,0)+VLOOKUP($A27,'Ppto-Mes'!$A$8:$AW$68,O$1+1,0)+IF(A27=0,'Inv Inicial'!$D$15,0),6)&lt;0,-(ROUNDUP(VLOOKUP($A27,'Ppto-Mes'!$A$8:$AW$68,O$1,0)+VLOOKUP($A27,'Ppto-Mes'!$A$8:$AW$68,O$1+1,0)+IF(A27=0,'Inv Inicial'!$D$15,0),-6)),0)</f>
        <v>0</v>
      </c>
      <c r="P27" s="175">
        <f t="shared" si="1"/>
        <v>0</v>
      </c>
      <c r="Q27" s="513"/>
      <c r="R27" s="175">
        <f>'Inv Temp'!F19</f>
        <v>22000000</v>
      </c>
      <c r="S27" s="175" t="str">
        <f t="shared" si="10"/>
        <v/>
      </c>
    </row>
    <row r="28" spans="1:19" x14ac:dyDescent="0.35">
      <c r="A28" s="43">
        <v>13</v>
      </c>
      <c r="B28" s="184">
        <v>42400</v>
      </c>
      <c r="C28" s="178">
        <f t="shared" si="11"/>
        <v>0</v>
      </c>
      <c r="D28" s="236">
        <f>VLOOKUP($B28,DTF!$B$9:$D$69,IF(Variables!$B$73=1,3,2),0)</f>
        <v>5.7500000000000009E-2</v>
      </c>
      <c r="E28" s="236">
        <f t="shared" si="2"/>
        <v>5.5518737978073787E-2</v>
      </c>
      <c r="F28" s="236">
        <f t="shared" si="0"/>
        <v>8.2500000000000004E-2</v>
      </c>
      <c r="G28" s="236">
        <f t="shared" si="3"/>
        <v>0.13801873797807379</v>
      </c>
      <c r="H28" s="236">
        <f t="shared" si="4"/>
        <v>3.4504684494518448E-2</v>
      </c>
      <c r="I28" s="236">
        <f t="shared" si="5"/>
        <v>3.5737806222761057E-2</v>
      </c>
      <c r="J28" s="236">
        <f t="shared" si="6"/>
        <v>0.15079857685742826</v>
      </c>
      <c r="K28" s="236">
        <f t="shared" si="7"/>
        <v>1.1773444100266373E-2</v>
      </c>
      <c r="L28" s="175">
        <f t="shared" si="8"/>
        <v>0</v>
      </c>
      <c r="M28" s="175">
        <f>IF($C28=0,0,IF($C$7="Abono Fijo a Capital",IF($B28&gt;$C$9,ROUND(C28/($C$8-COUNTIF(M$14:M27,"&gt;0")),0),0),IF($C$7="Pago Único al Final",C28,0)))</f>
        <v>0</v>
      </c>
      <c r="N28" s="175">
        <f t="shared" si="9"/>
        <v>0</v>
      </c>
      <c r="O28" s="175">
        <f>IF(ROUNDUP(VLOOKUP($A28,'Ppto-Mes'!$A$8:$AW$68,O$1,0)+VLOOKUP($A28,'Ppto-Mes'!$A$8:$AW$68,O$1+1,0)+IF(A28=0,'Inv Inicial'!$D$15,0),6)&lt;0,-(ROUNDUP(VLOOKUP($A28,'Ppto-Mes'!$A$8:$AW$68,O$1,0)+VLOOKUP($A28,'Ppto-Mes'!$A$8:$AW$68,O$1+1,0)+IF(A28=0,'Inv Inicial'!$D$15,0),-6)),0)</f>
        <v>0</v>
      </c>
      <c r="P28" s="175">
        <f t="shared" si="1"/>
        <v>0</v>
      </c>
      <c r="Q28" s="513"/>
      <c r="R28" s="175">
        <f>'Inv Temp'!F20</f>
        <v>5000000</v>
      </c>
      <c r="S28" s="175" t="str">
        <f t="shared" si="10"/>
        <v/>
      </c>
    </row>
    <row r="29" spans="1:19" x14ac:dyDescent="0.35">
      <c r="A29" s="43">
        <v>14</v>
      </c>
      <c r="B29" s="184">
        <v>42429</v>
      </c>
      <c r="C29" s="178">
        <f t="shared" si="11"/>
        <v>0</v>
      </c>
      <c r="D29" s="236">
        <f>VLOOKUP($B29,DTF!$B$9:$D$69,IF(Variables!$B$73=1,3,2),0)</f>
        <v>5.7500000000000009E-2</v>
      </c>
      <c r="E29" s="236">
        <f t="shared" si="2"/>
        <v>5.5518737978073787E-2</v>
      </c>
      <c r="F29" s="236">
        <f t="shared" si="0"/>
        <v>8.2500000000000004E-2</v>
      </c>
      <c r="G29" s="236">
        <f t="shared" si="3"/>
        <v>0.13801873797807379</v>
      </c>
      <c r="H29" s="236">
        <f t="shared" si="4"/>
        <v>3.4504684494518448E-2</v>
      </c>
      <c r="I29" s="236">
        <f t="shared" si="5"/>
        <v>3.5737806222761057E-2</v>
      </c>
      <c r="J29" s="236">
        <f t="shared" si="6"/>
        <v>0.15079857685742826</v>
      </c>
      <c r="K29" s="236">
        <f t="shared" si="7"/>
        <v>1.1773444100266373E-2</v>
      </c>
      <c r="L29" s="175">
        <f t="shared" si="8"/>
        <v>0</v>
      </c>
      <c r="M29" s="175">
        <f>IF($C29=0,0,IF($C$7="Abono Fijo a Capital",IF($B29&gt;$C$9,ROUND(C29/($C$8-COUNTIF(M$14:M28,"&gt;0")),0),0),IF($C$7="Pago Único al Final",C29,0)))</f>
        <v>0</v>
      </c>
      <c r="N29" s="175">
        <f t="shared" si="9"/>
        <v>0</v>
      </c>
      <c r="O29" s="175">
        <f>IF(ROUNDUP(VLOOKUP($A29,'Ppto-Mes'!$A$8:$AW$68,O$1,0)+VLOOKUP($A29,'Ppto-Mes'!$A$8:$AW$68,O$1+1,0)+IF(A29=0,'Inv Inicial'!$D$15,0),6)&lt;0,-(ROUNDUP(VLOOKUP($A29,'Ppto-Mes'!$A$8:$AW$68,O$1,0)+VLOOKUP($A29,'Ppto-Mes'!$A$8:$AW$68,O$1+1,0)+IF(A29=0,'Inv Inicial'!$D$15,0),-6)),0)</f>
        <v>0</v>
      </c>
      <c r="P29" s="175">
        <f t="shared" si="1"/>
        <v>0</v>
      </c>
      <c r="Q29" s="513"/>
      <c r="R29" s="175">
        <f>'Inv Temp'!F21</f>
        <v>4000000</v>
      </c>
      <c r="S29" s="175" t="str">
        <f t="shared" si="10"/>
        <v/>
      </c>
    </row>
    <row r="30" spans="1:19" x14ac:dyDescent="0.35">
      <c r="A30" s="43">
        <v>15</v>
      </c>
      <c r="B30" s="184">
        <v>42460</v>
      </c>
      <c r="C30" s="178">
        <f t="shared" si="11"/>
        <v>0</v>
      </c>
      <c r="D30" s="236">
        <f>VLOOKUP($B30,DTF!$B$9:$D$69,IF(Variables!$B$73=1,3,2),0)</f>
        <v>5.7500000000000009E-2</v>
      </c>
      <c r="E30" s="236">
        <f t="shared" si="2"/>
        <v>5.5518737978073787E-2</v>
      </c>
      <c r="F30" s="236">
        <f t="shared" si="0"/>
        <v>8.2500000000000004E-2</v>
      </c>
      <c r="G30" s="236">
        <f t="shared" si="3"/>
        <v>0.13801873797807379</v>
      </c>
      <c r="H30" s="236">
        <f t="shared" si="4"/>
        <v>3.4504684494518448E-2</v>
      </c>
      <c r="I30" s="236">
        <f t="shared" si="5"/>
        <v>3.5737806222761057E-2</v>
      </c>
      <c r="J30" s="236">
        <f t="shared" si="6"/>
        <v>0.15079857685742826</v>
      </c>
      <c r="K30" s="236">
        <f t="shared" si="7"/>
        <v>1.1773444100266373E-2</v>
      </c>
      <c r="L30" s="175">
        <f t="shared" si="8"/>
        <v>0</v>
      </c>
      <c r="M30" s="175">
        <f>IF($C30=0,0,IF($C$7="Abono Fijo a Capital",IF($B30&gt;$C$9,ROUND(C30/($C$8-COUNTIF(M$14:M29,"&gt;0")),0),0),IF($C$7="Pago Único al Final",C30,0)))</f>
        <v>0</v>
      </c>
      <c r="N30" s="175">
        <f t="shared" si="9"/>
        <v>0</v>
      </c>
      <c r="O30" s="175">
        <f>IF(ROUNDUP(VLOOKUP($A30,'Ppto-Mes'!$A$8:$AW$68,O$1,0)+VLOOKUP($A30,'Ppto-Mes'!$A$8:$AW$68,O$1+1,0)+IF(A30=0,'Inv Inicial'!$D$15,0),6)&lt;0,-(ROUNDUP(VLOOKUP($A30,'Ppto-Mes'!$A$8:$AW$68,O$1,0)+VLOOKUP($A30,'Ppto-Mes'!$A$8:$AW$68,O$1+1,0)+IF(A30=0,'Inv Inicial'!$D$15,0),-6)),0)</f>
        <v>0</v>
      </c>
      <c r="P30" s="175">
        <f t="shared" si="1"/>
        <v>0</v>
      </c>
      <c r="Q30" s="513"/>
      <c r="R30" s="175">
        <f>'Inv Temp'!F22</f>
        <v>2000000</v>
      </c>
      <c r="S30" s="175" t="str">
        <f t="shared" si="10"/>
        <v/>
      </c>
    </row>
    <row r="31" spans="1:19" x14ac:dyDescent="0.35">
      <c r="A31" s="43">
        <v>16</v>
      </c>
      <c r="B31" s="184">
        <v>42490</v>
      </c>
      <c r="C31" s="178">
        <f t="shared" si="11"/>
        <v>0</v>
      </c>
      <c r="D31" s="236">
        <f>VLOOKUP($B31,DTF!$B$9:$D$69,IF(Variables!$B$73=1,3,2),0)</f>
        <v>5.5000000000000007E-2</v>
      </c>
      <c r="E31" s="236">
        <f t="shared" si="2"/>
        <v>5.318403363425931E-2</v>
      </c>
      <c r="F31" s="236">
        <f t="shared" si="0"/>
        <v>8.2500000000000004E-2</v>
      </c>
      <c r="G31" s="236">
        <f t="shared" si="3"/>
        <v>0.13568403363425932</v>
      </c>
      <c r="H31" s="236">
        <f t="shared" si="4"/>
        <v>3.392100840856483E-2</v>
      </c>
      <c r="I31" s="236">
        <f t="shared" si="5"/>
        <v>3.5112044360561333E-2</v>
      </c>
      <c r="J31" s="236">
        <f t="shared" si="6"/>
        <v>0.14801998366077052</v>
      </c>
      <c r="K31" s="236">
        <f t="shared" si="7"/>
        <v>1.1569641947687614E-2</v>
      </c>
      <c r="L31" s="175">
        <f t="shared" si="8"/>
        <v>0</v>
      </c>
      <c r="M31" s="175">
        <f>IF($C31=0,0,IF($C$7="Abono Fijo a Capital",IF($B31&gt;$C$9,ROUND(C31/($C$8-COUNTIF(M$14:M30,"&gt;0")),0),0),IF($C$7="Pago Único al Final",C31,0)))</f>
        <v>0</v>
      </c>
      <c r="N31" s="175">
        <f t="shared" si="9"/>
        <v>0</v>
      </c>
      <c r="O31" s="175">
        <f>IF(ROUNDUP(VLOOKUP($A31,'Ppto-Mes'!$A$8:$AW$68,O$1,0)+VLOOKUP($A31,'Ppto-Mes'!$A$8:$AW$68,O$1+1,0)+IF(A31=0,'Inv Inicial'!$D$15,0),6)&lt;0,-(ROUNDUP(VLOOKUP($A31,'Ppto-Mes'!$A$8:$AW$68,O$1,0)+VLOOKUP($A31,'Ppto-Mes'!$A$8:$AW$68,O$1+1,0)+IF(A31=0,'Inv Inicial'!$D$15,0),-6)),0)</f>
        <v>0</v>
      </c>
      <c r="P31" s="175">
        <f t="shared" si="1"/>
        <v>0</v>
      </c>
      <c r="Q31" s="513"/>
      <c r="R31" s="175">
        <f>'Inv Temp'!F23</f>
        <v>0</v>
      </c>
      <c r="S31" s="175" t="str">
        <f t="shared" si="10"/>
        <v/>
      </c>
    </row>
    <row r="32" spans="1:19" x14ac:dyDescent="0.35">
      <c r="A32" s="43">
        <v>17</v>
      </c>
      <c r="B32" s="184">
        <v>42521</v>
      </c>
      <c r="C32" s="178">
        <f t="shared" si="11"/>
        <v>0</v>
      </c>
      <c r="D32" s="236">
        <f>VLOOKUP($B32,DTF!$B$9:$D$69,IF(Variables!$B$73=1,3,2),0)</f>
        <v>5.5000000000000007E-2</v>
      </c>
      <c r="E32" s="236">
        <f t="shared" si="2"/>
        <v>5.318403363425931E-2</v>
      </c>
      <c r="F32" s="236">
        <f t="shared" si="0"/>
        <v>8.2500000000000004E-2</v>
      </c>
      <c r="G32" s="236">
        <f t="shared" si="3"/>
        <v>0.13568403363425932</v>
      </c>
      <c r="H32" s="236">
        <f t="shared" si="4"/>
        <v>3.392100840856483E-2</v>
      </c>
      <c r="I32" s="236">
        <f t="shared" si="5"/>
        <v>3.5112044360561333E-2</v>
      </c>
      <c r="J32" s="236">
        <f t="shared" si="6"/>
        <v>0.14801998366077052</v>
      </c>
      <c r="K32" s="236">
        <f t="shared" si="7"/>
        <v>1.1569641947687614E-2</v>
      </c>
      <c r="L32" s="175">
        <f t="shared" si="8"/>
        <v>0</v>
      </c>
      <c r="M32" s="175">
        <f>IF($C32=0,0,IF($C$7="Abono Fijo a Capital",IF($B32&gt;$C$9,ROUND(C32/($C$8-COUNTIF(M$14:M31,"&gt;0")),0),0),IF($C$7="Pago Único al Final",C32,0)))</f>
        <v>0</v>
      </c>
      <c r="N32" s="175">
        <f t="shared" si="9"/>
        <v>0</v>
      </c>
      <c r="O32" s="175">
        <f>IF(ROUNDUP(VLOOKUP($A32,'Ppto-Mes'!$A$8:$AW$68,O$1,0)+VLOOKUP($A32,'Ppto-Mes'!$A$8:$AW$68,O$1+1,0)+IF(A32=0,'Inv Inicial'!$D$15,0),6)&lt;0,-(ROUNDUP(VLOOKUP($A32,'Ppto-Mes'!$A$8:$AW$68,O$1,0)+VLOOKUP($A32,'Ppto-Mes'!$A$8:$AW$68,O$1+1,0)+IF(A32=0,'Inv Inicial'!$D$15,0),-6)),0)</f>
        <v>4000000</v>
      </c>
      <c r="P32" s="175">
        <f t="shared" si="1"/>
        <v>4000000</v>
      </c>
      <c r="Q32" s="513"/>
      <c r="R32" s="175">
        <f>'Inv Temp'!F24</f>
        <v>0</v>
      </c>
      <c r="S32" s="175" t="str">
        <f t="shared" si="10"/>
        <v/>
      </c>
    </row>
    <row r="33" spans="1:19" x14ac:dyDescent="0.35">
      <c r="A33" s="43">
        <v>18</v>
      </c>
      <c r="B33" s="184">
        <v>42551</v>
      </c>
      <c r="C33" s="178">
        <f t="shared" si="11"/>
        <v>4000000</v>
      </c>
      <c r="D33" s="236">
        <f>VLOOKUP($B33,DTF!$B$9:$D$69,IF(Variables!$B$73=1,3,2),0)</f>
        <v>5.5000000000000007E-2</v>
      </c>
      <c r="E33" s="236">
        <f t="shared" si="2"/>
        <v>5.318403363425931E-2</v>
      </c>
      <c r="F33" s="236">
        <f t="shared" si="0"/>
        <v>8.2500000000000004E-2</v>
      </c>
      <c r="G33" s="236">
        <f t="shared" si="3"/>
        <v>0.13568403363425932</v>
      </c>
      <c r="H33" s="236">
        <f t="shared" si="4"/>
        <v>3.392100840856483E-2</v>
      </c>
      <c r="I33" s="236">
        <f t="shared" si="5"/>
        <v>3.5112044360561333E-2</v>
      </c>
      <c r="J33" s="236">
        <f t="shared" si="6"/>
        <v>0.14801998366077052</v>
      </c>
      <c r="K33" s="236">
        <f t="shared" si="7"/>
        <v>1.1569641947687614E-2</v>
      </c>
      <c r="L33" s="175">
        <f t="shared" si="8"/>
        <v>46279</v>
      </c>
      <c r="M33" s="175">
        <f>IF($C33=0,0,IF($C$7="Abono Fijo a Capital",IF($B33&gt;$C$9,ROUND(C33/($C$8-COUNTIF(M$14:M32,"&gt;0")),0),0),IF($C$7="Pago Único al Final",C33,0)))</f>
        <v>4000000</v>
      </c>
      <c r="N33" s="175">
        <f t="shared" si="9"/>
        <v>4046279</v>
      </c>
      <c r="O33" s="175">
        <f>IF(ROUNDUP(VLOOKUP($A33,'Ppto-Mes'!$A$8:$AW$68,O$1,0)+VLOOKUP($A33,'Ppto-Mes'!$A$8:$AW$68,O$1+1,0)+IF(A33=0,'Inv Inicial'!$D$15,0),6)&lt;0,-(ROUNDUP(VLOOKUP($A33,'Ppto-Mes'!$A$8:$AW$68,O$1,0)+VLOOKUP($A33,'Ppto-Mes'!$A$8:$AW$68,O$1+1,0)+IF(A33=0,'Inv Inicial'!$D$15,0),-6)),0)</f>
        <v>9000000</v>
      </c>
      <c r="P33" s="175">
        <f t="shared" si="1"/>
        <v>9000000</v>
      </c>
      <c r="Q33" s="513"/>
      <c r="R33" s="175">
        <f>'Inv Temp'!F25</f>
        <v>0</v>
      </c>
      <c r="S33" s="175" t="str">
        <f t="shared" si="10"/>
        <v/>
      </c>
    </row>
    <row r="34" spans="1:19" x14ac:dyDescent="0.35">
      <c r="A34" s="43">
        <v>19</v>
      </c>
      <c r="B34" s="184">
        <v>42582</v>
      </c>
      <c r="C34" s="178">
        <f t="shared" si="11"/>
        <v>9000000</v>
      </c>
      <c r="D34" s="236">
        <f>VLOOKUP($B34,DTF!$B$9:$D$69,IF(Variables!$B$73=1,3,2),0)</f>
        <v>5.2500000000000005E-2</v>
      </c>
      <c r="E34" s="236">
        <f t="shared" si="2"/>
        <v>5.0842403434051039E-2</v>
      </c>
      <c r="F34" s="236">
        <f t="shared" si="0"/>
        <v>8.2500000000000004E-2</v>
      </c>
      <c r="G34" s="236">
        <f t="shared" si="3"/>
        <v>0.13334240343405104</v>
      </c>
      <c r="H34" s="236">
        <f t="shared" si="4"/>
        <v>3.3335600858512761E-2</v>
      </c>
      <c r="I34" s="236">
        <f t="shared" si="5"/>
        <v>3.4485185228833017E-2</v>
      </c>
      <c r="J34" s="236">
        <f t="shared" si="6"/>
        <v>0.14524156617164463</v>
      </c>
      <c r="K34" s="236">
        <f t="shared" si="7"/>
        <v>1.1365400059408559E-2</v>
      </c>
      <c r="L34" s="175">
        <f t="shared" si="8"/>
        <v>102289</v>
      </c>
      <c r="M34" s="175">
        <f>IF($C34=0,0,IF($C$7="Abono Fijo a Capital",IF($B34&gt;$C$9,ROUND(C34/($C$8-COUNTIF(M$14:M33,"&gt;0")),0),0),IF($C$7="Pago Único al Final",C34,0)))</f>
        <v>9000000</v>
      </c>
      <c r="N34" s="175">
        <f t="shared" si="9"/>
        <v>9102289</v>
      </c>
      <c r="O34" s="175">
        <f>IF(ROUNDUP(VLOOKUP($A34,'Ppto-Mes'!$A$8:$AW$68,O$1,0)+VLOOKUP($A34,'Ppto-Mes'!$A$8:$AW$68,O$1+1,0)+IF(A34=0,'Inv Inicial'!$D$15,0),6)&lt;0,-(ROUNDUP(VLOOKUP($A34,'Ppto-Mes'!$A$8:$AW$68,O$1,0)+VLOOKUP($A34,'Ppto-Mes'!$A$8:$AW$68,O$1+1,0)+IF(A34=0,'Inv Inicial'!$D$15,0),-6)),0)</f>
        <v>5000000</v>
      </c>
      <c r="P34" s="175">
        <f t="shared" si="1"/>
        <v>5000000</v>
      </c>
      <c r="Q34" s="513"/>
      <c r="R34" s="175">
        <f>'Inv Temp'!F26</f>
        <v>0</v>
      </c>
      <c r="S34" s="175" t="str">
        <f t="shared" si="10"/>
        <v/>
      </c>
    </row>
    <row r="35" spans="1:19" x14ac:dyDescent="0.35">
      <c r="A35" s="43">
        <v>20</v>
      </c>
      <c r="B35" s="184">
        <v>42613</v>
      </c>
      <c r="C35" s="178">
        <f t="shared" si="11"/>
        <v>5000000</v>
      </c>
      <c r="D35" s="236">
        <f>VLOOKUP($B35,DTF!$B$9:$D$69,IF(Variables!$B$73=1,3,2),0)</f>
        <v>5.2500000000000005E-2</v>
      </c>
      <c r="E35" s="236">
        <f t="shared" si="2"/>
        <v>5.0842403434051039E-2</v>
      </c>
      <c r="F35" s="236">
        <f t="shared" si="0"/>
        <v>8.2500000000000004E-2</v>
      </c>
      <c r="G35" s="236">
        <f t="shared" si="3"/>
        <v>0.13334240343405104</v>
      </c>
      <c r="H35" s="236">
        <f t="shared" si="4"/>
        <v>3.3335600858512761E-2</v>
      </c>
      <c r="I35" s="236">
        <f t="shared" si="5"/>
        <v>3.4485185228833017E-2</v>
      </c>
      <c r="J35" s="236">
        <f t="shared" si="6"/>
        <v>0.14524156617164463</v>
      </c>
      <c r="K35" s="236">
        <f t="shared" si="7"/>
        <v>1.1365400059408559E-2</v>
      </c>
      <c r="L35" s="175">
        <f t="shared" si="8"/>
        <v>56827</v>
      </c>
      <c r="M35" s="175">
        <f>IF($C35=0,0,IF($C$7="Abono Fijo a Capital",IF($B35&gt;$C$9,ROUND(C35/($C$8-COUNTIF(M$14:M34,"&gt;0")),0),0),IF($C$7="Pago Único al Final",C35,0)))</f>
        <v>5000000</v>
      </c>
      <c r="N35" s="175">
        <f t="shared" si="9"/>
        <v>5056827</v>
      </c>
      <c r="O35" s="175">
        <f>IF(ROUNDUP(VLOOKUP($A35,'Ppto-Mes'!$A$8:$AW$68,O$1,0)+VLOOKUP($A35,'Ppto-Mes'!$A$8:$AW$68,O$1+1,0)+IF(A35=0,'Inv Inicial'!$D$15,0),6)&lt;0,-(ROUNDUP(VLOOKUP($A35,'Ppto-Mes'!$A$8:$AW$68,O$1,0)+VLOOKUP($A35,'Ppto-Mes'!$A$8:$AW$68,O$1+1,0)+IF(A35=0,'Inv Inicial'!$D$15,0),-6)),0)</f>
        <v>11000000</v>
      </c>
      <c r="P35" s="175">
        <f t="shared" si="1"/>
        <v>11000000</v>
      </c>
      <c r="Q35" s="513"/>
      <c r="R35" s="175">
        <f>'Inv Temp'!F27</f>
        <v>0</v>
      </c>
      <c r="S35" s="175" t="str">
        <f t="shared" si="10"/>
        <v/>
      </c>
    </row>
    <row r="36" spans="1:19" x14ac:dyDescent="0.35">
      <c r="A36" s="43">
        <v>21</v>
      </c>
      <c r="B36" s="184">
        <v>42643</v>
      </c>
      <c r="C36" s="178">
        <f t="shared" si="11"/>
        <v>11000000</v>
      </c>
      <c r="D36" s="236">
        <f>VLOOKUP($B36,DTF!$B$9:$D$69,IF(Variables!$B$73=1,3,2),0)</f>
        <v>5.2500000000000005E-2</v>
      </c>
      <c r="E36" s="236">
        <f t="shared" si="2"/>
        <v>5.0842403434051039E-2</v>
      </c>
      <c r="F36" s="236">
        <f t="shared" si="0"/>
        <v>8.2500000000000004E-2</v>
      </c>
      <c r="G36" s="236">
        <f t="shared" si="3"/>
        <v>0.13334240343405104</v>
      </c>
      <c r="H36" s="236">
        <f t="shared" si="4"/>
        <v>3.3335600858512761E-2</v>
      </c>
      <c r="I36" s="236">
        <f t="shared" si="5"/>
        <v>3.4485185228833017E-2</v>
      </c>
      <c r="J36" s="236">
        <f t="shared" si="6"/>
        <v>0.14524156617164463</v>
      </c>
      <c r="K36" s="236">
        <f t="shared" si="7"/>
        <v>1.1365400059408559E-2</v>
      </c>
      <c r="L36" s="175">
        <f t="shared" si="8"/>
        <v>125019</v>
      </c>
      <c r="M36" s="175">
        <f>IF($C36=0,0,IF($C$7="Abono Fijo a Capital",IF($B36&gt;$C$9,ROUND(C36/($C$8-COUNTIF(M$14:M35,"&gt;0")),0),0),IF($C$7="Pago Único al Final",C36,0)))</f>
        <v>11000000</v>
      </c>
      <c r="N36" s="175">
        <f t="shared" si="9"/>
        <v>11125019</v>
      </c>
      <c r="O36" s="175">
        <f>IF(ROUNDUP(VLOOKUP($A36,'Ppto-Mes'!$A$8:$AW$68,O$1,0)+VLOOKUP($A36,'Ppto-Mes'!$A$8:$AW$68,O$1+1,0)+IF(A36=0,'Inv Inicial'!$D$15,0),6)&lt;0,-(ROUNDUP(VLOOKUP($A36,'Ppto-Mes'!$A$8:$AW$68,O$1,0)+VLOOKUP($A36,'Ppto-Mes'!$A$8:$AW$68,O$1+1,0)+IF(A36=0,'Inv Inicial'!$D$15,0),-6)),0)</f>
        <v>6000000</v>
      </c>
      <c r="P36" s="175">
        <f t="shared" si="1"/>
        <v>6000000</v>
      </c>
      <c r="Q36" s="513"/>
      <c r="R36" s="175">
        <f>'Inv Temp'!F28</f>
        <v>0</v>
      </c>
      <c r="S36" s="175" t="str">
        <f t="shared" si="10"/>
        <v/>
      </c>
    </row>
    <row r="37" spans="1:19" x14ac:dyDescent="0.35">
      <c r="A37" s="43">
        <v>22</v>
      </c>
      <c r="B37" s="184">
        <v>42674</v>
      </c>
      <c r="C37" s="178">
        <f t="shared" si="11"/>
        <v>6000000</v>
      </c>
      <c r="D37" s="236">
        <f>VLOOKUP($B37,DTF!$B$9:$D$69,IF(Variables!$B$73=1,3,2),0)</f>
        <v>0.05</v>
      </c>
      <c r="E37" s="236">
        <f t="shared" si="2"/>
        <v>4.8493810307703902E-2</v>
      </c>
      <c r="F37" s="236">
        <f t="shared" si="0"/>
        <v>8.2500000000000004E-2</v>
      </c>
      <c r="G37" s="236">
        <f t="shared" si="3"/>
        <v>0.13099381030770391</v>
      </c>
      <c r="H37" s="236">
        <f t="shared" si="4"/>
        <v>3.2748452576925977E-2</v>
      </c>
      <c r="I37" s="236">
        <f t="shared" si="5"/>
        <v>3.3857224280667772E-2</v>
      </c>
      <c r="J37" s="236">
        <f t="shared" si="6"/>
        <v>0.14246332468960832</v>
      </c>
      <c r="K37" s="236">
        <f t="shared" si="7"/>
        <v>1.1160716436643403E-2</v>
      </c>
      <c r="L37" s="175">
        <f t="shared" si="8"/>
        <v>66964</v>
      </c>
      <c r="M37" s="175">
        <f>IF($C37=0,0,IF($C$7="Abono Fijo a Capital",IF($B37&gt;$C$9,ROUND(C37/($C$8-COUNTIF(M$14:M36,"&gt;0")),0),0),IF($C$7="Pago Único al Final",C37,0)))</f>
        <v>6000000</v>
      </c>
      <c r="N37" s="175">
        <f t="shared" si="9"/>
        <v>6066964</v>
      </c>
      <c r="O37" s="175">
        <f>IF(ROUNDUP(VLOOKUP($A37,'Ppto-Mes'!$A$8:$AW$68,O$1,0)+VLOOKUP($A37,'Ppto-Mes'!$A$8:$AW$68,O$1+1,0)+IF(A37=0,'Inv Inicial'!$D$15,0),6)&lt;0,-(ROUNDUP(VLOOKUP($A37,'Ppto-Mes'!$A$8:$AW$68,O$1,0)+VLOOKUP($A37,'Ppto-Mes'!$A$8:$AW$68,O$1+1,0)+IF(A37=0,'Inv Inicial'!$D$15,0),-6)),0)</f>
        <v>12000000</v>
      </c>
      <c r="P37" s="175">
        <f t="shared" si="1"/>
        <v>12000000</v>
      </c>
      <c r="Q37" s="513"/>
      <c r="R37" s="175">
        <f>'Inv Temp'!F29</f>
        <v>0</v>
      </c>
      <c r="S37" s="175" t="str">
        <f t="shared" si="10"/>
        <v/>
      </c>
    </row>
    <row r="38" spans="1:19" x14ac:dyDescent="0.35">
      <c r="A38" s="43">
        <v>23</v>
      </c>
      <c r="B38" s="184">
        <v>42704</v>
      </c>
      <c r="C38" s="178">
        <f t="shared" si="11"/>
        <v>12000000</v>
      </c>
      <c r="D38" s="236">
        <f>VLOOKUP($B38,DTF!$B$9:$D$69,IF(Variables!$B$73=1,3,2),0)</f>
        <v>0.05</v>
      </c>
      <c r="E38" s="236">
        <f t="shared" si="2"/>
        <v>4.8493810307703902E-2</v>
      </c>
      <c r="F38" s="236">
        <f t="shared" si="0"/>
        <v>8.2500000000000004E-2</v>
      </c>
      <c r="G38" s="236">
        <f t="shared" si="3"/>
        <v>0.13099381030770391</v>
      </c>
      <c r="H38" s="236">
        <f t="shared" si="4"/>
        <v>3.2748452576925977E-2</v>
      </c>
      <c r="I38" s="236">
        <f t="shared" si="5"/>
        <v>3.3857224280667772E-2</v>
      </c>
      <c r="J38" s="236">
        <f t="shared" si="6"/>
        <v>0.14246332468960832</v>
      </c>
      <c r="K38" s="236">
        <f t="shared" si="7"/>
        <v>1.1160716436643403E-2</v>
      </c>
      <c r="L38" s="175">
        <f t="shared" si="8"/>
        <v>133929</v>
      </c>
      <c r="M38" s="175">
        <f>IF($C38=0,0,IF($C$7="Abono Fijo a Capital",IF($B38&gt;$C$9,ROUND(C38/($C$8-COUNTIF(M$14:M37,"&gt;0")),0),0),IF($C$7="Pago Único al Final",C38,0)))</f>
        <v>12000000</v>
      </c>
      <c r="N38" s="175">
        <f t="shared" si="9"/>
        <v>12133929</v>
      </c>
      <c r="O38" s="175">
        <f>IF(ROUNDUP(VLOOKUP($A38,'Ppto-Mes'!$A$8:$AW$68,O$1,0)+VLOOKUP($A38,'Ppto-Mes'!$A$8:$AW$68,O$1+1,0)+IF(A38=0,'Inv Inicial'!$D$15,0),6)&lt;0,-(ROUNDUP(VLOOKUP($A38,'Ppto-Mes'!$A$8:$AW$68,O$1,0)+VLOOKUP($A38,'Ppto-Mes'!$A$8:$AW$68,O$1+1,0)+IF(A38=0,'Inv Inicial'!$D$15,0),-6)),0)</f>
        <v>10000000</v>
      </c>
      <c r="P38" s="175">
        <f t="shared" si="1"/>
        <v>10000000</v>
      </c>
      <c r="Q38" s="513"/>
      <c r="R38" s="175">
        <f>'Inv Temp'!F30</f>
        <v>0</v>
      </c>
      <c r="S38" s="175" t="str">
        <f t="shared" si="10"/>
        <v/>
      </c>
    </row>
    <row r="39" spans="1:19" x14ac:dyDescent="0.35">
      <c r="A39" s="43">
        <v>24</v>
      </c>
      <c r="B39" s="184">
        <v>42735</v>
      </c>
      <c r="C39" s="178">
        <f t="shared" si="11"/>
        <v>10000000</v>
      </c>
      <c r="D39" s="236">
        <f>VLOOKUP($B39,DTF!$B$9:$D$69,IF(Variables!$B$73=1,3,2),0)</f>
        <v>0.05</v>
      </c>
      <c r="E39" s="236">
        <f t="shared" si="2"/>
        <v>4.8493810307703902E-2</v>
      </c>
      <c r="F39" s="236">
        <f t="shared" si="0"/>
        <v>8.2500000000000004E-2</v>
      </c>
      <c r="G39" s="236">
        <f t="shared" si="3"/>
        <v>0.13099381030770391</v>
      </c>
      <c r="H39" s="236">
        <f t="shared" si="4"/>
        <v>3.2748452576925977E-2</v>
      </c>
      <c r="I39" s="236">
        <f t="shared" si="5"/>
        <v>3.3857224280667772E-2</v>
      </c>
      <c r="J39" s="236">
        <f t="shared" si="6"/>
        <v>0.14246332468960832</v>
      </c>
      <c r="K39" s="236">
        <f t="shared" si="7"/>
        <v>1.1160716436643403E-2</v>
      </c>
      <c r="L39" s="175">
        <f t="shared" si="8"/>
        <v>111607</v>
      </c>
      <c r="M39" s="175">
        <f>IF($C39=0,0,IF($C$7="Abono Fijo a Capital",IF($B39&gt;$C$9,ROUND(C39/($C$8-COUNTIF(M$14:M38,"&gt;0")),0),0),IF($C$7="Pago Único al Final",C39,0)))</f>
        <v>10000000</v>
      </c>
      <c r="N39" s="175">
        <f t="shared" si="9"/>
        <v>10111607</v>
      </c>
      <c r="O39" s="175">
        <f>IF(ROUNDUP(VLOOKUP($A39,'Ppto-Mes'!$A$8:$AW$68,O$1,0)+VLOOKUP($A39,'Ppto-Mes'!$A$8:$AW$68,O$1+1,0)+IF(A39=0,'Inv Inicial'!$D$15,0),6)&lt;0,-(ROUNDUP(VLOOKUP($A39,'Ppto-Mes'!$A$8:$AW$68,O$1,0)+VLOOKUP($A39,'Ppto-Mes'!$A$8:$AW$68,O$1+1,0)+IF(A39=0,'Inv Inicial'!$D$15,0),-6)),0)</f>
        <v>76000000</v>
      </c>
      <c r="P39" s="175">
        <f t="shared" si="1"/>
        <v>76000000</v>
      </c>
      <c r="Q39" s="513"/>
      <c r="R39" s="175">
        <f>'Inv Temp'!F31</f>
        <v>0</v>
      </c>
      <c r="S39" s="175" t="str">
        <f t="shared" si="10"/>
        <v/>
      </c>
    </row>
    <row r="40" spans="1:19" x14ac:dyDescent="0.35">
      <c r="A40" s="43">
        <v>25</v>
      </c>
      <c r="B40" s="184">
        <v>42766</v>
      </c>
      <c r="C40" s="178">
        <f t="shared" si="11"/>
        <v>76000000</v>
      </c>
      <c r="D40" s="236">
        <f>VLOOKUP($B40,DTF!$B$9:$D$69,IF(Variables!$B$73=1,3,2),0)</f>
        <v>5.2500000000000005E-2</v>
      </c>
      <c r="E40" s="236">
        <f t="shared" si="2"/>
        <v>5.0842403434051039E-2</v>
      </c>
      <c r="F40" s="236">
        <f t="shared" si="0"/>
        <v>8.2500000000000004E-2</v>
      </c>
      <c r="G40" s="236">
        <f t="shared" si="3"/>
        <v>0.13334240343405104</v>
      </c>
      <c r="H40" s="236">
        <f t="shared" si="4"/>
        <v>3.3335600858512761E-2</v>
      </c>
      <c r="I40" s="236">
        <f t="shared" si="5"/>
        <v>3.4485185228833017E-2</v>
      </c>
      <c r="J40" s="236">
        <f t="shared" si="6"/>
        <v>0.14524156617164463</v>
      </c>
      <c r="K40" s="236">
        <f t="shared" si="7"/>
        <v>1.1365400059408559E-2</v>
      </c>
      <c r="L40" s="175">
        <f t="shared" si="8"/>
        <v>863770</v>
      </c>
      <c r="M40" s="175">
        <f>IF($C40=0,0,IF($C$7="Abono Fijo a Capital",IF($B40&gt;$C$9,ROUND(C40/($C$8-COUNTIF(M$14:M39,"&gt;0")),0),0),IF($C$7="Pago Único al Final",C40,0)))</f>
        <v>76000000</v>
      </c>
      <c r="N40" s="175">
        <f t="shared" si="9"/>
        <v>76863770</v>
      </c>
      <c r="O40" s="175">
        <f>IF(ROUNDUP(VLOOKUP($A40,'Ppto-Mes'!$A$8:$AW$68,O$1,0)+VLOOKUP($A40,'Ppto-Mes'!$A$8:$AW$68,O$1+1,0)+IF(A40=0,'Inv Inicial'!$D$15,0),6)&lt;0,-(ROUNDUP(VLOOKUP($A40,'Ppto-Mes'!$A$8:$AW$68,O$1,0)+VLOOKUP($A40,'Ppto-Mes'!$A$8:$AW$68,O$1+1,0)+IF(A40=0,'Inv Inicial'!$D$15,0),-6)),0)</f>
        <v>28000000</v>
      </c>
      <c r="P40" s="175">
        <f t="shared" si="1"/>
        <v>28000000</v>
      </c>
      <c r="Q40" s="513"/>
      <c r="R40" s="175">
        <f>'Inv Temp'!F32</f>
        <v>0</v>
      </c>
      <c r="S40" s="175" t="str">
        <f t="shared" si="10"/>
        <v/>
      </c>
    </row>
    <row r="41" spans="1:19" x14ac:dyDescent="0.35">
      <c r="A41" s="43">
        <v>26</v>
      </c>
      <c r="B41" s="184">
        <v>42794</v>
      </c>
      <c r="C41" s="178">
        <f t="shared" si="11"/>
        <v>28000000</v>
      </c>
      <c r="D41" s="236">
        <f>VLOOKUP($B41,DTF!$B$9:$D$69,IF(Variables!$B$73=1,3,2),0)</f>
        <v>5.2500000000000005E-2</v>
      </c>
      <c r="E41" s="236">
        <f t="shared" si="2"/>
        <v>5.0842403434051039E-2</v>
      </c>
      <c r="F41" s="236">
        <f t="shared" si="0"/>
        <v>8.2500000000000004E-2</v>
      </c>
      <c r="G41" s="236">
        <f t="shared" si="3"/>
        <v>0.13334240343405104</v>
      </c>
      <c r="H41" s="236">
        <f t="shared" si="4"/>
        <v>3.3335600858512761E-2</v>
      </c>
      <c r="I41" s="236">
        <f t="shared" si="5"/>
        <v>3.4485185228833017E-2</v>
      </c>
      <c r="J41" s="236">
        <f t="shared" si="6"/>
        <v>0.14524156617164463</v>
      </c>
      <c r="K41" s="236">
        <f t="shared" si="7"/>
        <v>1.1365400059408559E-2</v>
      </c>
      <c r="L41" s="175">
        <f t="shared" si="8"/>
        <v>318231</v>
      </c>
      <c r="M41" s="175">
        <f>IF($C41=0,0,IF($C$7="Abono Fijo a Capital",IF($B41&gt;$C$9,ROUND(C41/($C$8-COUNTIF(M$14:M40,"&gt;0")),0),0),IF($C$7="Pago Único al Final",C41,0)))</f>
        <v>28000000</v>
      </c>
      <c r="N41" s="175">
        <f t="shared" si="9"/>
        <v>28318231</v>
      </c>
      <c r="O41" s="175">
        <f>IF(ROUNDUP(VLOOKUP($A41,'Ppto-Mes'!$A$8:$AW$68,O$1,0)+VLOOKUP($A41,'Ppto-Mes'!$A$8:$AW$68,O$1+1,0)+IF(A41=0,'Inv Inicial'!$D$15,0),6)&lt;0,-(ROUNDUP(VLOOKUP($A41,'Ppto-Mes'!$A$8:$AW$68,O$1,0)+VLOOKUP($A41,'Ppto-Mes'!$A$8:$AW$68,O$1+1,0)+IF(A41=0,'Inv Inicial'!$D$15,0),-6)),0)</f>
        <v>76000000</v>
      </c>
      <c r="P41" s="175">
        <f t="shared" si="1"/>
        <v>76000000</v>
      </c>
      <c r="Q41" s="513"/>
      <c r="R41" s="175">
        <f>'Inv Temp'!F33</f>
        <v>0</v>
      </c>
      <c r="S41" s="175" t="str">
        <f t="shared" si="10"/>
        <v/>
      </c>
    </row>
    <row r="42" spans="1:19" x14ac:dyDescent="0.35">
      <c r="A42" s="43">
        <v>27</v>
      </c>
      <c r="B42" s="184">
        <v>42825</v>
      </c>
      <c r="C42" s="178">
        <f t="shared" si="11"/>
        <v>76000000</v>
      </c>
      <c r="D42" s="236">
        <f>VLOOKUP($B42,DTF!$B$9:$D$69,IF(Variables!$B$73=1,3,2),0)</f>
        <v>5.2500000000000005E-2</v>
      </c>
      <c r="E42" s="236">
        <f t="shared" si="2"/>
        <v>5.0842403434051039E-2</v>
      </c>
      <c r="F42" s="236">
        <f t="shared" si="0"/>
        <v>8.2500000000000004E-2</v>
      </c>
      <c r="G42" s="236">
        <f t="shared" si="3"/>
        <v>0.13334240343405104</v>
      </c>
      <c r="H42" s="236">
        <f t="shared" si="4"/>
        <v>3.3335600858512761E-2</v>
      </c>
      <c r="I42" s="236">
        <f t="shared" si="5"/>
        <v>3.4485185228833017E-2</v>
      </c>
      <c r="J42" s="236">
        <f t="shared" si="6"/>
        <v>0.14524156617164463</v>
      </c>
      <c r="K42" s="236">
        <f t="shared" si="7"/>
        <v>1.1365400059408559E-2</v>
      </c>
      <c r="L42" s="175">
        <f t="shared" si="8"/>
        <v>863770</v>
      </c>
      <c r="M42" s="175">
        <f>IF($C42=0,0,IF($C$7="Abono Fijo a Capital",IF($B42&gt;$C$9,ROUND(C42/($C$8-COUNTIF(M$14:M41,"&gt;0")),0),0),IF($C$7="Pago Único al Final",C42,0)))</f>
        <v>76000000</v>
      </c>
      <c r="N42" s="175">
        <f t="shared" si="9"/>
        <v>76863770</v>
      </c>
      <c r="O42" s="175">
        <f>IF(ROUNDUP(VLOOKUP($A42,'Ppto-Mes'!$A$8:$AW$68,O$1,0)+VLOOKUP($A42,'Ppto-Mes'!$A$8:$AW$68,O$1+1,0)+IF(A42=0,'Inv Inicial'!$D$15,0),6)&lt;0,-(ROUNDUP(VLOOKUP($A42,'Ppto-Mes'!$A$8:$AW$68,O$1,0)+VLOOKUP($A42,'Ppto-Mes'!$A$8:$AW$68,O$1+1,0)+IF(A42=0,'Inv Inicial'!$D$15,0),-6)),0)</f>
        <v>28000000</v>
      </c>
      <c r="P42" s="175">
        <f t="shared" si="1"/>
        <v>28000000</v>
      </c>
      <c r="Q42" s="513"/>
      <c r="R42" s="175">
        <f>'Inv Temp'!F34</f>
        <v>0</v>
      </c>
      <c r="S42" s="175" t="str">
        <f t="shared" si="10"/>
        <v/>
      </c>
    </row>
    <row r="43" spans="1:19" x14ac:dyDescent="0.35">
      <c r="A43" s="43">
        <v>28</v>
      </c>
      <c r="B43" s="184">
        <v>42855</v>
      </c>
      <c r="C43" s="178">
        <f t="shared" si="11"/>
        <v>28000000</v>
      </c>
      <c r="D43" s="236">
        <f>VLOOKUP($B43,DTF!$B$9:$D$69,IF(Variables!$B$73=1,3,2),0)</f>
        <v>0.05</v>
      </c>
      <c r="E43" s="236">
        <f t="shared" si="2"/>
        <v>4.8493810307703902E-2</v>
      </c>
      <c r="F43" s="236">
        <f t="shared" si="0"/>
        <v>8.2500000000000004E-2</v>
      </c>
      <c r="G43" s="236">
        <f t="shared" si="3"/>
        <v>0.13099381030770391</v>
      </c>
      <c r="H43" s="236">
        <f t="shared" si="4"/>
        <v>3.2748452576925977E-2</v>
      </c>
      <c r="I43" s="236">
        <f t="shared" si="5"/>
        <v>3.3857224280667772E-2</v>
      </c>
      <c r="J43" s="236">
        <f t="shared" si="6"/>
        <v>0.14246332468960832</v>
      </c>
      <c r="K43" s="236">
        <f t="shared" si="7"/>
        <v>1.1160716436643403E-2</v>
      </c>
      <c r="L43" s="175">
        <f t="shared" si="8"/>
        <v>312500</v>
      </c>
      <c r="M43" s="175">
        <f>IF($C43=0,0,IF($C$7="Abono Fijo a Capital",IF($B43&gt;$C$9,ROUND(C43/($C$8-COUNTIF(M$14:M42,"&gt;0")),0),0),IF($C$7="Pago Único al Final",C43,0)))</f>
        <v>28000000</v>
      </c>
      <c r="N43" s="175">
        <f t="shared" si="9"/>
        <v>28312500</v>
      </c>
      <c r="O43" s="175">
        <f>IF(ROUNDUP(VLOOKUP($A43,'Ppto-Mes'!$A$8:$AW$68,O$1,0)+VLOOKUP($A43,'Ppto-Mes'!$A$8:$AW$68,O$1+1,0)+IF(A43=0,'Inv Inicial'!$D$15,0),6)&lt;0,-(ROUNDUP(VLOOKUP($A43,'Ppto-Mes'!$A$8:$AW$68,O$1,0)+VLOOKUP($A43,'Ppto-Mes'!$A$8:$AW$68,O$1+1,0)+IF(A43=0,'Inv Inicial'!$D$15,0),-6)),0)</f>
        <v>79000000</v>
      </c>
      <c r="P43" s="175">
        <f t="shared" si="1"/>
        <v>79000000</v>
      </c>
      <c r="Q43" s="513"/>
      <c r="R43" s="175">
        <f>'Inv Temp'!F35</f>
        <v>0</v>
      </c>
      <c r="S43" s="175" t="str">
        <f t="shared" si="10"/>
        <v/>
      </c>
    </row>
    <row r="44" spans="1:19" x14ac:dyDescent="0.35">
      <c r="A44" s="43">
        <v>29</v>
      </c>
      <c r="B44" s="184">
        <v>42886</v>
      </c>
      <c r="C44" s="178">
        <f t="shared" si="11"/>
        <v>79000000</v>
      </c>
      <c r="D44" s="236">
        <f>VLOOKUP($B44,DTF!$B$9:$D$69,IF(Variables!$B$73=1,3,2),0)</f>
        <v>0.05</v>
      </c>
      <c r="E44" s="236">
        <f t="shared" si="2"/>
        <v>4.8493810307703902E-2</v>
      </c>
      <c r="F44" s="236">
        <f t="shared" si="0"/>
        <v>8.2500000000000004E-2</v>
      </c>
      <c r="G44" s="236">
        <f t="shared" si="3"/>
        <v>0.13099381030770391</v>
      </c>
      <c r="H44" s="236">
        <f t="shared" si="4"/>
        <v>3.2748452576925977E-2</v>
      </c>
      <c r="I44" s="236">
        <f t="shared" si="5"/>
        <v>3.3857224280667772E-2</v>
      </c>
      <c r="J44" s="236">
        <f t="shared" si="6"/>
        <v>0.14246332468960832</v>
      </c>
      <c r="K44" s="236">
        <f t="shared" si="7"/>
        <v>1.1160716436643403E-2</v>
      </c>
      <c r="L44" s="175">
        <f t="shared" si="8"/>
        <v>881697</v>
      </c>
      <c r="M44" s="175">
        <f>IF($C44=0,0,IF($C$7="Abono Fijo a Capital",IF($B44&gt;$C$9,ROUND(C44/($C$8-COUNTIF(M$14:M43,"&gt;0")),0),0),IF($C$7="Pago Único al Final",C44,0)))</f>
        <v>79000000</v>
      </c>
      <c r="N44" s="175">
        <f t="shared" si="9"/>
        <v>79881697</v>
      </c>
      <c r="O44" s="175">
        <f>IF(ROUNDUP(VLOOKUP($A44,'Ppto-Mes'!$A$8:$AW$68,O$1,0)+VLOOKUP($A44,'Ppto-Mes'!$A$8:$AW$68,O$1+1,0)+IF(A44=0,'Inv Inicial'!$D$15,0),6)&lt;0,-(ROUNDUP(VLOOKUP($A44,'Ppto-Mes'!$A$8:$AW$68,O$1,0)+VLOOKUP($A44,'Ppto-Mes'!$A$8:$AW$68,O$1+1,0)+IF(A44=0,'Inv Inicial'!$D$15,0),-6)),0)</f>
        <v>30000000</v>
      </c>
      <c r="P44" s="175">
        <f t="shared" si="1"/>
        <v>30000000</v>
      </c>
      <c r="Q44" s="513"/>
      <c r="R44" s="175">
        <f>'Inv Temp'!F36</f>
        <v>0</v>
      </c>
      <c r="S44" s="175" t="str">
        <f t="shared" si="10"/>
        <v/>
      </c>
    </row>
    <row r="45" spans="1:19" x14ac:dyDescent="0.35">
      <c r="A45" s="43">
        <v>30</v>
      </c>
      <c r="B45" s="184">
        <v>42916</v>
      </c>
      <c r="C45" s="178">
        <f t="shared" si="11"/>
        <v>30000000</v>
      </c>
      <c r="D45" s="236">
        <f>VLOOKUP($B45,DTF!$B$9:$D$69,IF(Variables!$B$73=1,3,2),0)</f>
        <v>0.05</v>
      </c>
      <c r="E45" s="236">
        <f t="shared" si="2"/>
        <v>4.8493810307703902E-2</v>
      </c>
      <c r="F45" s="236">
        <f t="shared" si="0"/>
        <v>8.2500000000000004E-2</v>
      </c>
      <c r="G45" s="236">
        <f t="shared" si="3"/>
        <v>0.13099381030770391</v>
      </c>
      <c r="H45" s="236">
        <f t="shared" si="4"/>
        <v>3.2748452576925977E-2</v>
      </c>
      <c r="I45" s="236">
        <f t="shared" si="5"/>
        <v>3.3857224280667772E-2</v>
      </c>
      <c r="J45" s="236">
        <f t="shared" si="6"/>
        <v>0.14246332468960832</v>
      </c>
      <c r="K45" s="236">
        <f t="shared" si="7"/>
        <v>1.1160716436643403E-2</v>
      </c>
      <c r="L45" s="175">
        <f t="shared" si="8"/>
        <v>334821</v>
      </c>
      <c r="M45" s="175">
        <f>IF($C45=0,0,IF($C$7="Abono Fijo a Capital",IF($B45&gt;$C$9,ROUND(C45/($C$8-COUNTIF(M$14:M44,"&gt;0")),0),0),IF($C$7="Pago Único al Final",C45,0)))</f>
        <v>30000000</v>
      </c>
      <c r="N45" s="175">
        <f t="shared" si="9"/>
        <v>30334821</v>
      </c>
      <c r="O45" s="175">
        <f>IF(ROUNDUP(VLOOKUP($A45,'Ppto-Mes'!$A$8:$AW$68,O$1,0)+VLOOKUP($A45,'Ppto-Mes'!$A$8:$AW$68,O$1+1,0)+IF(A45=0,'Inv Inicial'!$D$15,0),6)&lt;0,-(ROUNDUP(VLOOKUP($A45,'Ppto-Mes'!$A$8:$AW$68,O$1,0)+VLOOKUP($A45,'Ppto-Mes'!$A$8:$AW$68,O$1+1,0)+IF(A45=0,'Inv Inicial'!$D$15,0),-6)),0)</f>
        <v>89000000</v>
      </c>
      <c r="P45" s="175">
        <f t="shared" si="1"/>
        <v>89000000</v>
      </c>
      <c r="Q45" s="513"/>
      <c r="R45" s="175">
        <f>'Inv Temp'!F37</f>
        <v>0</v>
      </c>
      <c r="S45" s="175" t="str">
        <f t="shared" si="10"/>
        <v/>
      </c>
    </row>
    <row r="46" spans="1:19" x14ac:dyDescent="0.35">
      <c r="A46" s="43">
        <v>31</v>
      </c>
      <c r="B46" s="184">
        <v>42947</v>
      </c>
      <c r="C46" s="178">
        <f t="shared" si="11"/>
        <v>89000000</v>
      </c>
      <c r="D46" s="236">
        <f>VLOOKUP($B46,DTF!$B$9:$D$69,IF(Variables!$B$73=1,3,2),0)</f>
        <v>4.7500000000000001E-2</v>
      </c>
      <c r="E46" s="236">
        <f t="shared" si="2"/>
        <v>4.6138216898191912E-2</v>
      </c>
      <c r="F46" s="236">
        <f t="shared" si="0"/>
        <v>8.2500000000000004E-2</v>
      </c>
      <c r="G46" s="236">
        <f t="shared" si="3"/>
        <v>0.12863821689819191</v>
      </c>
      <c r="H46" s="236">
        <f t="shared" si="4"/>
        <v>3.2159554224547977E-2</v>
      </c>
      <c r="I46" s="236">
        <f t="shared" si="5"/>
        <v>3.3228156939423145E-2</v>
      </c>
      <c r="J46" s="236">
        <f t="shared" si="6"/>
        <v>0.13968525951544808</v>
      </c>
      <c r="K46" s="236">
        <f t="shared" si="7"/>
        <v>1.0955589066731664E-2</v>
      </c>
      <c r="L46" s="175">
        <f t="shared" si="8"/>
        <v>975047</v>
      </c>
      <c r="M46" s="175">
        <f>IF($C46=0,0,IF($C$7="Abono Fijo a Capital",IF($B46&gt;$C$9,ROUND(C46/($C$8-COUNTIF(M$14:M45,"&gt;0")),0),0),IF($C$7="Pago Único al Final",C46,0)))</f>
        <v>89000000</v>
      </c>
      <c r="N46" s="175">
        <f t="shared" si="9"/>
        <v>89975047</v>
      </c>
      <c r="O46" s="175">
        <f>IF(ROUNDUP(VLOOKUP($A46,'Ppto-Mes'!$A$8:$AW$68,O$1,0)+VLOOKUP($A46,'Ppto-Mes'!$A$8:$AW$68,O$1+1,0)+IF(A46=0,'Inv Inicial'!$D$15,0),6)&lt;0,-(ROUNDUP(VLOOKUP($A46,'Ppto-Mes'!$A$8:$AW$68,O$1,0)+VLOOKUP($A46,'Ppto-Mes'!$A$8:$AW$68,O$1+1,0)+IF(A46=0,'Inv Inicial'!$D$15,0),-6)),0)</f>
        <v>30000000</v>
      </c>
      <c r="P46" s="175">
        <f t="shared" si="1"/>
        <v>30000000</v>
      </c>
      <c r="Q46" s="513"/>
      <c r="R46" s="175">
        <f>'Inv Temp'!F38</f>
        <v>0</v>
      </c>
      <c r="S46" s="175" t="str">
        <f t="shared" si="10"/>
        <v/>
      </c>
    </row>
    <row r="47" spans="1:19" x14ac:dyDescent="0.35">
      <c r="A47" s="43">
        <v>32</v>
      </c>
      <c r="B47" s="184">
        <v>42978</v>
      </c>
      <c r="C47" s="178">
        <f t="shared" si="11"/>
        <v>30000000</v>
      </c>
      <c r="D47" s="236">
        <f>VLOOKUP($B47,DTF!$B$9:$D$69,IF(Variables!$B$73=1,3,2),0)</f>
        <v>4.7500000000000001E-2</v>
      </c>
      <c r="E47" s="236">
        <f t="shared" si="2"/>
        <v>4.6138216898191912E-2</v>
      </c>
      <c r="F47" s="236">
        <f t="shared" si="0"/>
        <v>8.2500000000000004E-2</v>
      </c>
      <c r="G47" s="236">
        <f t="shared" si="3"/>
        <v>0.12863821689819191</v>
      </c>
      <c r="H47" s="236">
        <f t="shared" si="4"/>
        <v>3.2159554224547977E-2</v>
      </c>
      <c r="I47" s="236">
        <f t="shared" si="5"/>
        <v>3.3228156939423145E-2</v>
      </c>
      <c r="J47" s="236">
        <f t="shared" si="6"/>
        <v>0.13968525951544808</v>
      </c>
      <c r="K47" s="236">
        <f t="shared" si="7"/>
        <v>1.0955589066731664E-2</v>
      </c>
      <c r="L47" s="175">
        <f t="shared" si="8"/>
        <v>328668</v>
      </c>
      <c r="M47" s="175">
        <f>IF($C47=0,0,IF($C$7="Abono Fijo a Capital",IF($B47&gt;$C$9,ROUND(C47/($C$8-COUNTIF(M$14:M46,"&gt;0")),0),0),IF($C$7="Pago Único al Final",C47,0)))</f>
        <v>30000000</v>
      </c>
      <c r="N47" s="175">
        <f t="shared" si="9"/>
        <v>30328668</v>
      </c>
      <c r="O47" s="175">
        <f>IF(ROUNDUP(VLOOKUP($A47,'Ppto-Mes'!$A$8:$AW$68,O$1,0)+VLOOKUP($A47,'Ppto-Mes'!$A$8:$AW$68,O$1+1,0)+IF(A47=0,'Inv Inicial'!$D$15,0),6)&lt;0,-(ROUNDUP(VLOOKUP($A47,'Ppto-Mes'!$A$8:$AW$68,O$1,0)+VLOOKUP($A47,'Ppto-Mes'!$A$8:$AW$68,O$1+1,0)+IF(A47=0,'Inv Inicial'!$D$15,0),-6)),0)</f>
        <v>89000000</v>
      </c>
      <c r="P47" s="175">
        <f t="shared" si="1"/>
        <v>89000000</v>
      </c>
      <c r="Q47" s="513"/>
      <c r="R47" s="175">
        <f>'Inv Temp'!F39</f>
        <v>0</v>
      </c>
      <c r="S47" s="175" t="str">
        <f t="shared" si="10"/>
        <v/>
      </c>
    </row>
    <row r="48" spans="1:19" x14ac:dyDescent="0.35">
      <c r="A48" s="43">
        <v>33</v>
      </c>
      <c r="B48" s="184">
        <v>43008</v>
      </c>
      <c r="C48" s="178">
        <f t="shared" si="11"/>
        <v>89000000</v>
      </c>
      <c r="D48" s="236">
        <f>VLOOKUP($B48,DTF!$B$9:$D$69,IF(Variables!$B$73=1,3,2),0)</f>
        <v>4.7500000000000001E-2</v>
      </c>
      <c r="E48" s="236">
        <f t="shared" si="2"/>
        <v>4.6138216898191912E-2</v>
      </c>
      <c r="F48" s="236">
        <f t="shared" si="0"/>
        <v>8.2500000000000004E-2</v>
      </c>
      <c r="G48" s="236">
        <f t="shared" si="3"/>
        <v>0.12863821689819191</v>
      </c>
      <c r="H48" s="236">
        <f t="shared" si="4"/>
        <v>3.2159554224547977E-2</v>
      </c>
      <c r="I48" s="236">
        <f t="shared" si="5"/>
        <v>3.3228156939423145E-2</v>
      </c>
      <c r="J48" s="236">
        <f t="shared" si="6"/>
        <v>0.13968525951544808</v>
      </c>
      <c r="K48" s="236">
        <f t="shared" si="7"/>
        <v>1.0955589066731664E-2</v>
      </c>
      <c r="L48" s="175">
        <f t="shared" si="8"/>
        <v>975047</v>
      </c>
      <c r="M48" s="175">
        <f>IF($C48=0,0,IF($C$7="Abono Fijo a Capital",IF($B48&gt;$C$9,ROUND(C48/($C$8-COUNTIF(M$14:M47,"&gt;0")),0),0),IF($C$7="Pago Único al Final",C48,0)))</f>
        <v>89000000</v>
      </c>
      <c r="N48" s="175">
        <f t="shared" si="9"/>
        <v>89975047</v>
      </c>
      <c r="O48" s="175">
        <f>IF(ROUNDUP(VLOOKUP($A48,'Ppto-Mes'!$A$8:$AW$68,O$1,0)+VLOOKUP($A48,'Ppto-Mes'!$A$8:$AW$68,O$1+1,0)+IF(A48=0,'Inv Inicial'!$D$15,0),6)&lt;0,-(ROUNDUP(VLOOKUP($A48,'Ppto-Mes'!$A$8:$AW$68,O$1,0)+VLOOKUP($A48,'Ppto-Mes'!$A$8:$AW$68,O$1+1,0)+IF(A48=0,'Inv Inicial'!$D$15,0),-6)),0)</f>
        <v>30000000</v>
      </c>
      <c r="P48" s="175">
        <f t="shared" si="1"/>
        <v>30000000</v>
      </c>
      <c r="Q48" s="513"/>
      <c r="R48" s="175">
        <f>'Inv Temp'!F40</f>
        <v>0</v>
      </c>
      <c r="S48" s="175" t="str">
        <f t="shared" si="10"/>
        <v/>
      </c>
    </row>
    <row r="49" spans="1:19" x14ac:dyDescent="0.35">
      <c r="A49" s="43">
        <v>34</v>
      </c>
      <c r="B49" s="184">
        <v>43039</v>
      </c>
      <c r="C49" s="178">
        <f t="shared" si="11"/>
        <v>30000000</v>
      </c>
      <c r="D49" s="236">
        <f>VLOOKUP($B49,DTF!$B$9:$D$69,IF(Variables!$B$73=1,3,2),0)</f>
        <v>4.4999999999999998E-2</v>
      </c>
      <c r="E49" s="236">
        <f t="shared" si="2"/>
        <v>4.3775585558297421E-2</v>
      </c>
      <c r="F49" s="236">
        <f t="shared" si="0"/>
        <v>8.2500000000000004E-2</v>
      </c>
      <c r="G49" s="236">
        <f t="shared" si="3"/>
        <v>0.12627558555829743</v>
      </c>
      <c r="H49" s="236">
        <f t="shared" si="4"/>
        <v>3.1568896389574358E-2</v>
      </c>
      <c r="I49" s="236">
        <f t="shared" si="5"/>
        <v>3.2597978598458664E-2</v>
      </c>
      <c r="J49" s="236">
        <f t="shared" si="6"/>
        <v>0.13690737095120031</v>
      </c>
      <c r="K49" s="236">
        <f t="shared" si="7"/>
        <v>1.0750015923009615E-2</v>
      </c>
      <c r="L49" s="175">
        <f t="shared" si="8"/>
        <v>322500</v>
      </c>
      <c r="M49" s="175">
        <f>IF($C49=0,0,IF($C$7="Abono Fijo a Capital",IF($B49&gt;$C$9,ROUND(C49/($C$8-COUNTIF(M$14:M48,"&gt;0")),0),0),IF($C$7="Pago Único al Final",C49,0)))</f>
        <v>30000000</v>
      </c>
      <c r="N49" s="175">
        <f t="shared" si="9"/>
        <v>30322500</v>
      </c>
      <c r="O49" s="175">
        <f>IF(ROUNDUP(VLOOKUP($A49,'Ppto-Mes'!$A$8:$AW$68,O$1,0)+VLOOKUP($A49,'Ppto-Mes'!$A$8:$AW$68,O$1+1,0)+IF(A49=0,'Inv Inicial'!$D$15,0),6)&lt;0,-(ROUNDUP(VLOOKUP($A49,'Ppto-Mes'!$A$8:$AW$68,O$1,0)+VLOOKUP($A49,'Ppto-Mes'!$A$8:$AW$68,O$1+1,0)+IF(A49=0,'Inv Inicial'!$D$15,0),-6)),0)</f>
        <v>89000000</v>
      </c>
      <c r="P49" s="175">
        <f t="shared" si="1"/>
        <v>89000000</v>
      </c>
      <c r="Q49" s="513"/>
      <c r="R49" s="175">
        <f>'Inv Temp'!F41</f>
        <v>0</v>
      </c>
      <c r="S49" s="175" t="str">
        <f t="shared" si="10"/>
        <v/>
      </c>
    </row>
    <row r="50" spans="1:19" x14ac:dyDescent="0.35">
      <c r="A50" s="43">
        <v>35</v>
      </c>
      <c r="B50" s="184">
        <v>43069</v>
      </c>
      <c r="C50" s="178">
        <f t="shared" si="11"/>
        <v>89000000</v>
      </c>
      <c r="D50" s="236">
        <f>VLOOKUP($B50,DTF!$B$9:$D$69,IF(Variables!$B$73=1,3,2),0)</f>
        <v>4.4999999999999998E-2</v>
      </c>
      <c r="E50" s="236">
        <f t="shared" si="2"/>
        <v>4.3775585558297421E-2</v>
      </c>
      <c r="F50" s="236">
        <f t="shared" si="0"/>
        <v>8.2500000000000004E-2</v>
      </c>
      <c r="G50" s="236">
        <f t="shared" si="3"/>
        <v>0.12627558555829743</v>
      </c>
      <c r="H50" s="236">
        <f t="shared" si="4"/>
        <v>3.1568896389574358E-2</v>
      </c>
      <c r="I50" s="236">
        <f t="shared" si="5"/>
        <v>3.2597978598458664E-2</v>
      </c>
      <c r="J50" s="236">
        <f t="shared" si="6"/>
        <v>0.13690737095120031</v>
      </c>
      <c r="K50" s="236">
        <f t="shared" si="7"/>
        <v>1.0750015923009615E-2</v>
      </c>
      <c r="L50" s="175">
        <f t="shared" si="8"/>
        <v>956751</v>
      </c>
      <c r="M50" s="175">
        <f>IF($C50=0,0,IF($C$7="Abono Fijo a Capital",IF($B50&gt;$C$9,ROUND(C50/($C$8-COUNTIF(M$14:M49,"&gt;0")),0),0),IF($C$7="Pago Único al Final",C50,0)))</f>
        <v>89000000</v>
      </c>
      <c r="N50" s="175">
        <f t="shared" si="9"/>
        <v>89956751</v>
      </c>
      <c r="O50" s="175">
        <f>IF(ROUNDUP(VLOOKUP($A50,'Ppto-Mes'!$A$8:$AW$68,O$1,0)+VLOOKUP($A50,'Ppto-Mes'!$A$8:$AW$68,O$1+1,0)+IF(A50=0,'Inv Inicial'!$D$15,0),6)&lt;0,-(ROUNDUP(VLOOKUP($A50,'Ppto-Mes'!$A$8:$AW$68,O$1,0)+VLOOKUP($A50,'Ppto-Mes'!$A$8:$AW$68,O$1+1,0)+IF(A50=0,'Inv Inicial'!$D$15,0),-6)),0)</f>
        <v>32000000</v>
      </c>
      <c r="P50" s="175">
        <f t="shared" si="1"/>
        <v>32000000</v>
      </c>
      <c r="Q50" s="513"/>
      <c r="R50" s="175">
        <f>'Inv Temp'!F42</f>
        <v>0</v>
      </c>
      <c r="S50" s="175" t="str">
        <f t="shared" si="10"/>
        <v/>
      </c>
    </row>
    <row r="51" spans="1:19" x14ac:dyDescent="0.35">
      <c r="A51" s="43">
        <v>36</v>
      </c>
      <c r="B51" s="184">
        <v>43100</v>
      </c>
      <c r="C51" s="178">
        <f t="shared" si="11"/>
        <v>32000000</v>
      </c>
      <c r="D51" s="236">
        <f>VLOOKUP($B51,DTF!$B$9:$D$69,IF(Variables!$B$73=1,3,2),0)</f>
        <v>4.4999999999999998E-2</v>
      </c>
      <c r="E51" s="236">
        <f t="shared" si="2"/>
        <v>4.3775585558297421E-2</v>
      </c>
      <c r="F51" s="236">
        <f t="shared" si="0"/>
        <v>8.2500000000000004E-2</v>
      </c>
      <c r="G51" s="236">
        <f t="shared" si="3"/>
        <v>0.12627558555829743</v>
      </c>
      <c r="H51" s="236">
        <f t="shared" si="4"/>
        <v>3.1568896389574358E-2</v>
      </c>
      <c r="I51" s="236">
        <f t="shared" si="5"/>
        <v>3.2597978598458664E-2</v>
      </c>
      <c r="J51" s="236">
        <f t="shared" si="6"/>
        <v>0.13690737095120031</v>
      </c>
      <c r="K51" s="236">
        <f t="shared" si="7"/>
        <v>1.0750015923009615E-2</v>
      </c>
      <c r="L51" s="175">
        <f t="shared" si="8"/>
        <v>344001</v>
      </c>
      <c r="M51" s="175">
        <f>IF($C51=0,0,IF($C$7="Abono Fijo a Capital",IF($B51&gt;$C$9,ROUND(C51/($C$8-COUNTIF(M$14:M50,"&gt;0")),0),0),IF($C$7="Pago Único al Final",C51,0)))</f>
        <v>32000000</v>
      </c>
      <c r="N51" s="175">
        <f t="shared" si="9"/>
        <v>32344001</v>
      </c>
      <c r="O51" s="175">
        <f>IF(ROUNDUP(VLOOKUP($A51,'Ppto-Mes'!$A$8:$AW$68,O$1,0)+VLOOKUP($A51,'Ppto-Mes'!$A$8:$AW$68,O$1+1,0)+IF(A51=0,'Inv Inicial'!$D$15,0),6)&lt;0,-(ROUNDUP(VLOOKUP($A51,'Ppto-Mes'!$A$8:$AW$68,O$1,0)+VLOOKUP($A51,'Ppto-Mes'!$A$8:$AW$68,O$1+1,0)+IF(A51=0,'Inv Inicial'!$D$15,0),-6)),0)</f>
        <v>119000000</v>
      </c>
      <c r="P51" s="175">
        <f t="shared" si="1"/>
        <v>119000000</v>
      </c>
      <c r="Q51" s="513"/>
      <c r="R51" s="175">
        <f>'Inv Temp'!F43</f>
        <v>0</v>
      </c>
      <c r="S51" s="175" t="str">
        <f t="shared" si="10"/>
        <v/>
      </c>
    </row>
    <row r="52" spans="1:19" x14ac:dyDescent="0.35">
      <c r="A52" s="43">
        <v>37</v>
      </c>
      <c r="B52" s="184">
        <v>43131</v>
      </c>
      <c r="C52" s="178">
        <f t="shared" si="11"/>
        <v>119000000</v>
      </c>
      <c r="D52" s="236">
        <f>VLOOKUP($B52,DTF!$B$9:$D$69,IF(Variables!$B$73=1,3,2),0)</f>
        <v>4.7500000000000001E-2</v>
      </c>
      <c r="E52" s="236">
        <f t="shared" si="2"/>
        <v>4.6138216898191912E-2</v>
      </c>
      <c r="F52" s="236">
        <f t="shared" si="0"/>
        <v>8.2500000000000004E-2</v>
      </c>
      <c r="G52" s="236">
        <f t="shared" si="3"/>
        <v>0.12863821689819191</v>
      </c>
      <c r="H52" s="236">
        <f t="shared" si="4"/>
        <v>3.2159554224547977E-2</v>
      </c>
      <c r="I52" s="236">
        <f t="shared" si="5"/>
        <v>3.3228156939423145E-2</v>
      </c>
      <c r="J52" s="236">
        <f t="shared" si="6"/>
        <v>0.13968525951544808</v>
      </c>
      <c r="K52" s="236">
        <f t="shared" si="7"/>
        <v>1.0955589066731664E-2</v>
      </c>
      <c r="L52" s="175">
        <f t="shared" si="8"/>
        <v>1303715</v>
      </c>
      <c r="M52" s="175">
        <f>IF($C52=0,0,IF($C$7="Abono Fijo a Capital",IF($B52&gt;$C$9,ROUND(C52/($C$8-COUNTIF(M$14:M51,"&gt;0")),0),0),IF($C$7="Pago Único al Final",C52,0)))</f>
        <v>119000000</v>
      </c>
      <c r="N52" s="175">
        <f t="shared" si="9"/>
        <v>120303715</v>
      </c>
      <c r="O52" s="175">
        <f>IF(ROUNDUP(VLOOKUP($A52,'Ppto-Mes'!$A$8:$AW$68,O$1,0)+VLOOKUP($A52,'Ppto-Mes'!$A$8:$AW$68,O$1+1,0)+IF(A52=0,'Inv Inicial'!$D$15,0),6)&lt;0,-(ROUNDUP(VLOOKUP($A52,'Ppto-Mes'!$A$8:$AW$68,O$1,0)+VLOOKUP($A52,'Ppto-Mes'!$A$8:$AW$68,O$1+1,0)+IF(A52=0,'Inv Inicial'!$D$15,0),-6)),0)</f>
        <v>41000000</v>
      </c>
      <c r="P52" s="175">
        <f t="shared" si="1"/>
        <v>41000000</v>
      </c>
      <c r="Q52" s="513"/>
      <c r="R52" s="175">
        <f>'Inv Temp'!F44</f>
        <v>0</v>
      </c>
      <c r="S52" s="175" t="str">
        <f t="shared" si="10"/>
        <v/>
      </c>
    </row>
    <row r="53" spans="1:19" x14ac:dyDescent="0.35">
      <c r="A53" s="43">
        <v>38</v>
      </c>
      <c r="B53" s="184">
        <v>43159</v>
      </c>
      <c r="C53" s="178">
        <f t="shared" si="11"/>
        <v>41000000</v>
      </c>
      <c r="D53" s="236">
        <f>VLOOKUP($B53,DTF!$B$9:$D$69,IF(Variables!$B$73=1,3,2),0)</f>
        <v>4.7500000000000001E-2</v>
      </c>
      <c r="E53" s="236">
        <f t="shared" si="2"/>
        <v>4.6138216898191912E-2</v>
      </c>
      <c r="F53" s="236">
        <f t="shared" si="0"/>
        <v>8.2500000000000004E-2</v>
      </c>
      <c r="G53" s="236">
        <f t="shared" si="3"/>
        <v>0.12863821689819191</v>
      </c>
      <c r="H53" s="236">
        <f t="shared" si="4"/>
        <v>3.2159554224547977E-2</v>
      </c>
      <c r="I53" s="236">
        <f t="shared" si="5"/>
        <v>3.3228156939423145E-2</v>
      </c>
      <c r="J53" s="236">
        <f t="shared" si="6"/>
        <v>0.13968525951544808</v>
      </c>
      <c r="K53" s="236">
        <f t="shared" si="7"/>
        <v>1.0955589066731664E-2</v>
      </c>
      <c r="L53" s="175">
        <f t="shared" si="8"/>
        <v>449179</v>
      </c>
      <c r="M53" s="175">
        <f>IF($C53=0,0,IF($C$7="Abono Fijo a Capital",IF($B53&gt;$C$9,ROUND(C53/($C$8-COUNTIF(M$14:M52,"&gt;0")),0),0),IF($C$7="Pago Único al Final",C53,0)))</f>
        <v>41000000</v>
      </c>
      <c r="N53" s="175">
        <f t="shared" si="9"/>
        <v>41449179</v>
      </c>
      <c r="O53" s="175">
        <f>IF(ROUNDUP(VLOOKUP($A53,'Ppto-Mes'!$A$8:$AW$68,O$1,0)+VLOOKUP($A53,'Ppto-Mes'!$A$8:$AW$68,O$1+1,0)+IF(A53=0,'Inv Inicial'!$D$15,0),6)&lt;0,-(ROUNDUP(VLOOKUP($A53,'Ppto-Mes'!$A$8:$AW$68,O$1,0)+VLOOKUP($A53,'Ppto-Mes'!$A$8:$AW$68,O$1+1,0)+IF(A53=0,'Inv Inicial'!$D$15,0),-6)),0)</f>
        <v>109000000</v>
      </c>
      <c r="P53" s="175">
        <f t="shared" si="1"/>
        <v>109000000</v>
      </c>
      <c r="Q53" s="513"/>
      <c r="R53" s="175">
        <f>'Inv Temp'!F45</f>
        <v>0</v>
      </c>
      <c r="S53" s="175" t="str">
        <f t="shared" si="10"/>
        <v/>
      </c>
    </row>
    <row r="54" spans="1:19" x14ac:dyDescent="0.35">
      <c r="A54" s="43">
        <v>39</v>
      </c>
      <c r="B54" s="184">
        <v>43190</v>
      </c>
      <c r="C54" s="178">
        <f t="shared" si="11"/>
        <v>109000000</v>
      </c>
      <c r="D54" s="236">
        <f>VLOOKUP($B54,DTF!$B$9:$D$69,IF(Variables!$B$73=1,3,2),0)</f>
        <v>4.7500000000000001E-2</v>
      </c>
      <c r="E54" s="236">
        <f t="shared" si="2"/>
        <v>4.6138216898191912E-2</v>
      </c>
      <c r="F54" s="236">
        <f t="shared" si="0"/>
        <v>8.2500000000000004E-2</v>
      </c>
      <c r="G54" s="236">
        <f t="shared" si="3"/>
        <v>0.12863821689819191</v>
      </c>
      <c r="H54" s="236">
        <f t="shared" si="4"/>
        <v>3.2159554224547977E-2</v>
      </c>
      <c r="I54" s="236">
        <f t="shared" si="5"/>
        <v>3.3228156939423145E-2</v>
      </c>
      <c r="J54" s="236">
        <f t="shared" si="6"/>
        <v>0.13968525951544808</v>
      </c>
      <c r="K54" s="236">
        <f t="shared" si="7"/>
        <v>1.0955589066731664E-2</v>
      </c>
      <c r="L54" s="175">
        <f t="shared" si="8"/>
        <v>1194159</v>
      </c>
      <c r="M54" s="175">
        <f>IF($C54=0,0,IF($C$7="Abono Fijo a Capital",IF($B54&gt;$C$9,ROUND(C54/($C$8-COUNTIF(M$14:M53,"&gt;0")),0),0),IF($C$7="Pago Único al Final",C54,0)))</f>
        <v>109000000</v>
      </c>
      <c r="N54" s="175">
        <f t="shared" si="9"/>
        <v>110194159</v>
      </c>
      <c r="O54" s="175">
        <f>IF(ROUNDUP(VLOOKUP($A54,'Ppto-Mes'!$A$8:$AW$68,O$1,0)+VLOOKUP($A54,'Ppto-Mes'!$A$8:$AW$68,O$1+1,0)+IF(A54=0,'Inv Inicial'!$D$15,0),6)&lt;0,-(ROUNDUP(VLOOKUP($A54,'Ppto-Mes'!$A$8:$AW$68,O$1,0)+VLOOKUP($A54,'Ppto-Mes'!$A$8:$AW$68,O$1+1,0)+IF(A54=0,'Inv Inicial'!$D$15,0),-6)),0)</f>
        <v>30000000</v>
      </c>
      <c r="P54" s="175">
        <f t="shared" si="1"/>
        <v>30000000</v>
      </c>
      <c r="Q54" s="513"/>
      <c r="R54" s="175">
        <f>'Inv Temp'!F46</f>
        <v>0</v>
      </c>
      <c r="S54" s="175" t="str">
        <f t="shared" si="10"/>
        <v/>
      </c>
    </row>
    <row r="55" spans="1:19" x14ac:dyDescent="0.35">
      <c r="A55" s="43">
        <v>40</v>
      </c>
      <c r="B55" s="184">
        <v>43220</v>
      </c>
      <c r="C55" s="178">
        <f t="shared" si="11"/>
        <v>30000000</v>
      </c>
      <c r="D55" s="236">
        <f>VLOOKUP($B55,DTF!$B$9:$D$69,IF(Variables!$B$73=1,3,2),0)</f>
        <v>4.4999999999999998E-2</v>
      </c>
      <c r="E55" s="236">
        <f t="shared" si="2"/>
        <v>4.3775585558297421E-2</v>
      </c>
      <c r="F55" s="236">
        <f t="shared" si="0"/>
        <v>8.2500000000000004E-2</v>
      </c>
      <c r="G55" s="236">
        <f t="shared" si="3"/>
        <v>0.12627558555829743</v>
      </c>
      <c r="H55" s="236">
        <f t="shared" si="4"/>
        <v>3.1568896389574358E-2</v>
      </c>
      <c r="I55" s="236">
        <f t="shared" si="5"/>
        <v>3.2597978598458664E-2</v>
      </c>
      <c r="J55" s="236">
        <f t="shared" si="6"/>
        <v>0.13690737095120031</v>
      </c>
      <c r="K55" s="236">
        <f t="shared" si="7"/>
        <v>1.0750015923009615E-2</v>
      </c>
      <c r="L55" s="175">
        <f t="shared" si="8"/>
        <v>322500</v>
      </c>
      <c r="M55" s="175">
        <f>IF($C55=0,0,IF($C$7="Abono Fijo a Capital",IF($B55&gt;$C$9,ROUND(C55/($C$8-COUNTIF(M$14:M54,"&gt;0")),0),0),IF($C$7="Pago Único al Final",C55,0)))</f>
        <v>30000000</v>
      </c>
      <c r="N55" s="175">
        <f t="shared" si="9"/>
        <v>30322500</v>
      </c>
      <c r="O55" s="175">
        <f>IF(ROUNDUP(VLOOKUP($A55,'Ppto-Mes'!$A$8:$AW$68,O$1,0)+VLOOKUP($A55,'Ppto-Mes'!$A$8:$AW$68,O$1+1,0)+IF(A55=0,'Inv Inicial'!$D$15,0),6)&lt;0,-(ROUNDUP(VLOOKUP($A55,'Ppto-Mes'!$A$8:$AW$68,O$1,0)+VLOOKUP($A55,'Ppto-Mes'!$A$8:$AW$68,O$1+1,0)+IF(A55=0,'Inv Inicial'!$D$15,0),-6)),0)</f>
        <v>103000000</v>
      </c>
      <c r="P55" s="175">
        <f t="shared" si="1"/>
        <v>103000000</v>
      </c>
      <c r="Q55" s="513"/>
      <c r="R55" s="175">
        <f>'Inv Temp'!F47</f>
        <v>0</v>
      </c>
      <c r="S55" s="175" t="str">
        <f t="shared" si="10"/>
        <v/>
      </c>
    </row>
    <row r="56" spans="1:19" x14ac:dyDescent="0.35">
      <c r="A56" s="43">
        <v>41</v>
      </c>
      <c r="B56" s="184">
        <v>43251</v>
      </c>
      <c r="C56" s="178">
        <f t="shared" si="11"/>
        <v>103000000</v>
      </c>
      <c r="D56" s="236">
        <f>VLOOKUP($B56,DTF!$B$9:$D$69,IF(Variables!$B$73=1,3,2),0)</f>
        <v>4.4999999999999998E-2</v>
      </c>
      <c r="E56" s="236">
        <f t="shared" si="2"/>
        <v>4.3775585558297421E-2</v>
      </c>
      <c r="F56" s="236">
        <f t="shared" si="0"/>
        <v>8.2500000000000004E-2</v>
      </c>
      <c r="G56" s="236">
        <f t="shared" si="3"/>
        <v>0.12627558555829743</v>
      </c>
      <c r="H56" s="236">
        <f t="shared" si="4"/>
        <v>3.1568896389574358E-2</v>
      </c>
      <c r="I56" s="236">
        <f t="shared" si="5"/>
        <v>3.2597978598458664E-2</v>
      </c>
      <c r="J56" s="236">
        <f t="shared" si="6"/>
        <v>0.13690737095120031</v>
      </c>
      <c r="K56" s="236">
        <f t="shared" si="7"/>
        <v>1.0750015923009615E-2</v>
      </c>
      <c r="L56" s="175">
        <f t="shared" si="8"/>
        <v>1107252</v>
      </c>
      <c r="M56" s="175">
        <f>IF($C56=0,0,IF($C$7="Abono Fijo a Capital",IF($B56&gt;$C$9,ROUND(C56/($C$8-COUNTIF(M$14:M55,"&gt;0")),0),0),IF($C$7="Pago Único al Final",C56,0)))</f>
        <v>103000000</v>
      </c>
      <c r="N56" s="175">
        <f t="shared" si="9"/>
        <v>104107252</v>
      </c>
      <c r="O56" s="175">
        <f>IF(ROUNDUP(VLOOKUP($A56,'Ppto-Mes'!$A$8:$AW$68,O$1,0)+VLOOKUP($A56,'Ppto-Mes'!$A$8:$AW$68,O$1+1,0)+IF(A56=0,'Inv Inicial'!$D$15,0),6)&lt;0,-(ROUNDUP(VLOOKUP($A56,'Ppto-Mes'!$A$8:$AW$68,O$1,0)+VLOOKUP($A56,'Ppto-Mes'!$A$8:$AW$68,O$1+1,0)+IF(A56=0,'Inv Inicial'!$D$15,0),-6)),0)</f>
        <v>21000000</v>
      </c>
      <c r="P56" s="175">
        <f t="shared" si="1"/>
        <v>21000000</v>
      </c>
      <c r="Q56" s="513"/>
      <c r="R56" s="175">
        <f>'Inv Temp'!F48</f>
        <v>0</v>
      </c>
      <c r="S56" s="175" t="str">
        <f t="shared" si="10"/>
        <v/>
      </c>
    </row>
    <row r="57" spans="1:19" x14ac:dyDescent="0.35">
      <c r="A57" s="43">
        <v>42</v>
      </c>
      <c r="B57" s="184">
        <v>43281</v>
      </c>
      <c r="C57" s="178">
        <f t="shared" si="11"/>
        <v>21000000</v>
      </c>
      <c r="D57" s="236">
        <f>VLOOKUP($B57,DTF!$B$9:$D$69,IF(Variables!$B$73=1,3,2),0)</f>
        <v>4.4999999999999998E-2</v>
      </c>
      <c r="E57" s="236">
        <f t="shared" si="2"/>
        <v>4.3775585558297421E-2</v>
      </c>
      <c r="F57" s="236">
        <f t="shared" si="0"/>
        <v>8.2500000000000004E-2</v>
      </c>
      <c r="G57" s="236">
        <f t="shared" si="3"/>
        <v>0.12627558555829743</v>
      </c>
      <c r="H57" s="236">
        <f t="shared" si="4"/>
        <v>3.1568896389574358E-2</v>
      </c>
      <c r="I57" s="236">
        <f t="shared" si="5"/>
        <v>3.2597978598458664E-2</v>
      </c>
      <c r="J57" s="236">
        <f t="shared" si="6"/>
        <v>0.13690737095120031</v>
      </c>
      <c r="K57" s="236">
        <f t="shared" si="7"/>
        <v>1.0750015923009615E-2</v>
      </c>
      <c r="L57" s="175">
        <f t="shared" si="8"/>
        <v>225750</v>
      </c>
      <c r="M57" s="175">
        <f>IF($C57=0,0,IF($C$7="Abono Fijo a Capital",IF($B57&gt;$C$9,ROUND(C57/($C$8-COUNTIF(M$14:M56,"&gt;0")),0),0),IF($C$7="Pago Único al Final",C57,0)))</f>
        <v>21000000</v>
      </c>
      <c r="N57" s="175">
        <f t="shared" si="9"/>
        <v>21225750</v>
      </c>
      <c r="O57" s="175">
        <f>IF(ROUNDUP(VLOOKUP($A57,'Ppto-Mes'!$A$8:$AW$68,O$1,0)+VLOOKUP($A57,'Ppto-Mes'!$A$8:$AW$68,O$1+1,0)+IF(A57=0,'Inv Inicial'!$D$15,0),6)&lt;0,-(ROUNDUP(VLOOKUP($A57,'Ppto-Mes'!$A$8:$AW$68,O$1,0)+VLOOKUP($A57,'Ppto-Mes'!$A$8:$AW$68,O$1+1,0)+IF(A57=0,'Inv Inicial'!$D$15,0),-6)),0)</f>
        <v>106000000</v>
      </c>
      <c r="P57" s="175">
        <f t="shared" si="1"/>
        <v>106000000</v>
      </c>
      <c r="Q57" s="513"/>
      <c r="R57" s="175">
        <f>'Inv Temp'!F49</f>
        <v>0</v>
      </c>
      <c r="S57" s="175" t="str">
        <f t="shared" si="10"/>
        <v/>
      </c>
    </row>
    <row r="58" spans="1:19" x14ac:dyDescent="0.35">
      <c r="A58" s="43">
        <v>43</v>
      </c>
      <c r="B58" s="184">
        <v>43312</v>
      </c>
      <c r="C58" s="178">
        <f t="shared" si="11"/>
        <v>106000000</v>
      </c>
      <c r="D58" s="236">
        <f>VLOOKUP($B58,DTF!$B$9:$D$69,IF(Variables!$B$73=1,3,2),0)</f>
        <v>4.4999999999999998E-2</v>
      </c>
      <c r="E58" s="236">
        <f t="shared" si="2"/>
        <v>4.3775585558297421E-2</v>
      </c>
      <c r="F58" s="236">
        <f t="shared" si="0"/>
        <v>8.2500000000000004E-2</v>
      </c>
      <c r="G58" s="236">
        <f t="shared" si="3"/>
        <v>0.12627558555829743</v>
      </c>
      <c r="H58" s="236">
        <f t="shared" si="4"/>
        <v>3.1568896389574358E-2</v>
      </c>
      <c r="I58" s="236">
        <f t="shared" si="5"/>
        <v>3.2597978598458664E-2</v>
      </c>
      <c r="J58" s="236">
        <f t="shared" si="6"/>
        <v>0.13690737095120031</v>
      </c>
      <c r="K58" s="236">
        <f t="shared" si="7"/>
        <v>1.0750015923009615E-2</v>
      </c>
      <c r="L58" s="175">
        <f t="shared" si="8"/>
        <v>1139502</v>
      </c>
      <c r="M58" s="175">
        <f>IF($C58=0,0,IF($C$7="Abono Fijo a Capital",IF($B58&gt;$C$9,ROUND(C58/($C$8-COUNTIF(M$14:M57,"&gt;0")),0),0),IF($C$7="Pago Único al Final",C58,0)))</f>
        <v>106000000</v>
      </c>
      <c r="N58" s="175">
        <f t="shared" si="9"/>
        <v>107139502</v>
      </c>
      <c r="O58" s="175">
        <f>IF(ROUNDUP(VLOOKUP($A58,'Ppto-Mes'!$A$8:$AW$68,O$1,0)+VLOOKUP($A58,'Ppto-Mes'!$A$8:$AW$68,O$1+1,0)+IF(A58=0,'Inv Inicial'!$D$15,0),6)&lt;0,-(ROUNDUP(VLOOKUP($A58,'Ppto-Mes'!$A$8:$AW$68,O$1,0)+VLOOKUP($A58,'Ppto-Mes'!$A$8:$AW$68,O$1+1,0)+IF(A58=0,'Inv Inicial'!$D$15,0),-6)),0)</f>
        <v>10000000</v>
      </c>
      <c r="P58" s="175">
        <f t="shared" si="1"/>
        <v>10000000</v>
      </c>
      <c r="Q58" s="513"/>
      <c r="R58" s="175">
        <f>'Inv Temp'!F50</f>
        <v>0</v>
      </c>
      <c r="S58" s="175" t="str">
        <f t="shared" si="10"/>
        <v/>
      </c>
    </row>
    <row r="59" spans="1:19" x14ac:dyDescent="0.35">
      <c r="A59" s="43">
        <v>44</v>
      </c>
      <c r="B59" s="184">
        <v>43343</v>
      </c>
      <c r="C59" s="178">
        <f t="shared" si="11"/>
        <v>10000000</v>
      </c>
      <c r="D59" s="236">
        <f>VLOOKUP($B59,DTF!$B$9:$D$69,IF(Variables!$B$73=1,3,2),0)</f>
        <v>4.4999999999999998E-2</v>
      </c>
      <c r="E59" s="236">
        <f t="shared" si="2"/>
        <v>4.3775585558297421E-2</v>
      </c>
      <c r="F59" s="236">
        <f t="shared" si="0"/>
        <v>8.2500000000000004E-2</v>
      </c>
      <c r="G59" s="236">
        <f t="shared" si="3"/>
        <v>0.12627558555829743</v>
      </c>
      <c r="H59" s="236">
        <f t="shared" si="4"/>
        <v>3.1568896389574358E-2</v>
      </c>
      <c r="I59" s="236">
        <f t="shared" si="5"/>
        <v>3.2597978598458664E-2</v>
      </c>
      <c r="J59" s="236">
        <f t="shared" si="6"/>
        <v>0.13690737095120031</v>
      </c>
      <c r="K59" s="236">
        <f t="shared" si="7"/>
        <v>1.0750015923009615E-2</v>
      </c>
      <c r="L59" s="175">
        <f t="shared" si="8"/>
        <v>107500</v>
      </c>
      <c r="M59" s="175">
        <f>IF($C59=0,0,IF($C$7="Abono Fijo a Capital",IF($B59&gt;$C$9,ROUND(C59/($C$8-COUNTIF(M$14:M58,"&gt;0")),0),0),IF($C$7="Pago Único al Final",C59,0)))</f>
        <v>10000000</v>
      </c>
      <c r="N59" s="175">
        <f t="shared" si="9"/>
        <v>10107500</v>
      </c>
      <c r="O59" s="175">
        <f>IF(ROUNDUP(VLOOKUP($A59,'Ppto-Mes'!$A$8:$AW$68,O$1,0)+VLOOKUP($A59,'Ppto-Mes'!$A$8:$AW$68,O$1+1,0)+IF(A59=0,'Inv Inicial'!$D$15,0),6)&lt;0,-(ROUNDUP(VLOOKUP($A59,'Ppto-Mes'!$A$8:$AW$68,O$1,0)+VLOOKUP($A59,'Ppto-Mes'!$A$8:$AW$68,O$1+1,0)+IF(A59=0,'Inv Inicial'!$D$15,0),-6)),0)</f>
        <v>95000000</v>
      </c>
      <c r="P59" s="175">
        <f t="shared" si="1"/>
        <v>95000000</v>
      </c>
      <c r="Q59" s="513"/>
      <c r="R59" s="175">
        <f>'Inv Temp'!F51</f>
        <v>0</v>
      </c>
      <c r="S59" s="175" t="str">
        <f t="shared" si="10"/>
        <v/>
      </c>
    </row>
    <row r="60" spans="1:19" x14ac:dyDescent="0.35">
      <c r="A60" s="43">
        <v>45</v>
      </c>
      <c r="B60" s="184">
        <v>43373</v>
      </c>
      <c r="C60" s="178">
        <f t="shared" si="11"/>
        <v>95000000</v>
      </c>
      <c r="D60" s="236">
        <f>VLOOKUP($B60,DTF!$B$9:$D$69,IF(Variables!$B$73=1,3,2),0)</f>
        <v>4.4999999999999998E-2</v>
      </c>
      <c r="E60" s="236">
        <f t="shared" si="2"/>
        <v>4.3775585558297421E-2</v>
      </c>
      <c r="F60" s="236">
        <f t="shared" si="0"/>
        <v>8.2500000000000004E-2</v>
      </c>
      <c r="G60" s="236">
        <f t="shared" si="3"/>
        <v>0.12627558555829743</v>
      </c>
      <c r="H60" s="236">
        <f t="shared" si="4"/>
        <v>3.1568896389574358E-2</v>
      </c>
      <c r="I60" s="236">
        <f t="shared" si="5"/>
        <v>3.2597978598458664E-2</v>
      </c>
      <c r="J60" s="236">
        <f t="shared" si="6"/>
        <v>0.13690737095120031</v>
      </c>
      <c r="K60" s="236">
        <f t="shared" si="7"/>
        <v>1.0750015923009615E-2</v>
      </c>
      <c r="L60" s="175">
        <f t="shared" si="8"/>
        <v>1021252</v>
      </c>
      <c r="M60" s="175">
        <f>IF($C60=0,0,IF($C$7="Abono Fijo a Capital",IF($B60&gt;$C$9,ROUND(C60/($C$8-COUNTIF(M$14:M59,"&gt;0")),0),0),IF($C$7="Pago Único al Final",C60,0)))</f>
        <v>95000000</v>
      </c>
      <c r="N60" s="175">
        <f t="shared" si="9"/>
        <v>96021252</v>
      </c>
      <c r="O60" s="175">
        <f>IF(ROUNDUP(VLOOKUP($A60,'Ppto-Mes'!$A$8:$AW$68,O$1,0)+VLOOKUP($A60,'Ppto-Mes'!$A$8:$AW$68,O$1+1,0)+IF(A60=0,'Inv Inicial'!$D$15,0),6)&lt;0,-(ROUNDUP(VLOOKUP($A60,'Ppto-Mes'!$A$8:$AW$68,O$1,0)+VLOOKUP($A60,'Ppto-Mes'!$A$8:$AW$68,O$1+1,0)+IF(A60=0,'Inv Inicial'!$D$15,0),-6)),0)</f>
        <v>0</v>
      </c>
      <c r="P60" s="175">
        <f t="shared" si="1"/>
        <v>0</v>
      </c>
      <c r="Q60" s="513"/>
      <c r="R60" s="175">
        <f>'Inv Temp'!F52</f>
        <v>0</v>
      </c>
      <c r="S60" s="175" t="str">
        <f t="shared" si="10"/>
        <v/>
      </c>
    </row>
    <row r="61" spans="1:19" x14ac:dyDescent="0.35">
      <c r="A61" s="43">
        <v>46</v>
      </c>
      <c r="B61" s="184">
        <v>43404</v>
      </c>
      <c r="C61" s="178">
        <f t="shared" si="11"/>
        <v>0</v>
      </c>
      <c r="D61" s="236">
        <f>VLOOKUP($B61,DTF!$B$9:$D$69,IF(Variables!$B$73=1,3,2),0)</f>
        <v>4.4999999999999998E-2</v>
      </c>
      <c r="E61" s="236">
        <f t="shared" si="2"/>
        <v>4.3775585558297421E-2</v>
      </c>
      <c r="F61" s="236">
        <f t="shared" si="0"/>
        <v>8.2500000000000004E-2</v>
      </c>
      <c r="G61" s="236">
        <f t="shared" si="3"/>
        <v>0.12627558555829743</v>
      </c>
      <c r="H61" s="236">
        <f t="shared" si="4"/>
        <v>3.1568896389574358E-2</v>
      </c>
      <c r="I61" s="236">
        <f t="shared" si="5"/>
        <v>3.2597978598458664E-2</v>
      </c>
      <c r="J61" s="236">
        <f t="shared" si="6"/>
        <v>0.13690737095120031</v>
      </c>
      <c r="K61" s="236">
        <f t="shared" si="7"/>
        <v>1.0750015923009615E-2</v>
      </c>
      <c r="L61" s="175">
        <f t="shared" si="8"/>
        <v>0</v>
      </c>
      <c r="M61" s="175">
        <f>IF($C61=0,0,IF($C$7="Abono Fijo a Capital",IF($B61&gt;$C$9,ROUND(C61/($C$8-COUNTIF(M$14:M60,"&gt;0")),0),0),IF($C$7="Pago Único al Final",C61,0)))</f>
        <v>0</v>
      </c>
      <c r="N61" s="175">
        <f t="shared" si="9"/>
        <v>0</v>
      </c>
      <c r="O61" s="175">
        <f>IF(ROUNDUP(VLOOKUP($A61,'Ppto-Mes'!$A$8:$AW$68,O$1,0)+VLOOKUP($A61,'Ppto-Mes'!$A$8:$AW$68,O$1+1,0)+IF(A61=0,'Inv Inicial'!$D$15,0),6)&lt;0,-(ROUNDUP(VLOOKUP($A61,'Ppto-Mes'!$A$8:$AW$68,O$1,0)+VLOOKUP($A61,'Ppto-Mes'!$A$8:$AW$68,O$1+1,0)+IF(A61=0,'Inv Inicial'!$D$15,0),-6)),0)</f>
        <v>83000000</v>
      </c>
      <c r="P61" s="175">
        <f t="shared" si="1"/>
        <v>83000000</v>
      </c>
      <c r="Q61" s="513"/>
      <c r="R61" s="175">
        <f>'Inv Temp'!F53</f>
        <v>0</v>
      </c>
      <c r="S61" s="175" t="str">
        <f t="shared" si="10"/>
        <v/>
      </c>
    </row>
    <row r="62" spans="1:19" x14ac:dyDescent="0.35">
      <c r="A62" s="43">
        <v>47</v>
      </c>
      <c r="B62" s="184">
        <v>43434</v>
      </c>
      <c r="C62" s="178">
        <f t="shared" si="11"/>
        <v>83000000</v>
      </c>
      <c r="D62" s="236">
        <f>VLOOKUP($B62,DTF!$B$9:$D$69,IF(Variables!$B$73=1,3,2),0)</f>
        <v>4.4999999999999998E-2</v>
      </c>
      <c r="E62" s="236">
        <f t="shared" si="2"/>
        <v>4.3775585558297421E-2</v>
      </c>
      <c r="F62" s="236">
        <f t="shared" si="0"/>
        <v>8.2500000000000004E-2</v>
      </c>
      <c r="G62" s="236">
        <f t="shared" si="3"/>
        <v>0.12627558555829743</v>
      </c>
      <c r="H62" s="236">
        <f t="shared" si="4"/>
        <v>3.1568896389574358E-2</v>
      </c>
      <c r="I62" s="236">
        <f t="shared" si="5"/>
        <v>3.2597978598458664E-2</v>
      </c>
      <c r="J62" s="236">
        <f t="shared" si="6"/>
        <v>0.13690737095120031</v>
      </c>
      <c r="K62" s="236">
        <f t="shared" si="7"/>
        <v>1.0750015923009615E-2</v>
      </c>
      <c r="L62" s="175">
        <f t="shared" si="8"/>
        <v>892251</v>
      </c>
      <c r="M62" s="175">
        <f>IF($C62=0,0,IF($C$7="Abono Fijo a Capital",IF($B62&gt;$C$9,ROUND(C62/($C$8-COUNTIF(M$14:M61,"&gt;0")),0),0),IF($C$7="Pago Único al Final",C62,0)))</f>
        <v>83000000</v>
      </c>
      <c r="N62" s="175">
        <f t="shared" si="9"/>
        <v>83892251</v>
      </c>
      <c r="O62" s="175">
        <f>IF(ROUNDUP(VLOOKUP($A62,'Ppto-Mes'!$A$8:$AW$68,O$1,0)+VLOOKUP($A62,'Ppto-Mes'!$A$8:$AW$68,O$1+1,0)+IF(A62=0,'Inv Inicial'!$D$15,0),6)&lt;0,-(ROUNDUP(VLOOKUP($A62,'Ppto-Mes'!$A$8:$AW$68,O$1,0)+VLOOKUP($A62,'Ppto-Mes'!$A$8:$AW$68,O$1+1,0)+IF(A62=0,'Inv Inicial'!$D$15,0),-6)),0)</f>
        <v>0</v>
      </c>
      <c r="P62" s="175">
        <f t="shared" si="1"/>
        <v>0</v>
      </c>
      <c r="Q62" s="513"/>
      <c r="R62" s="175">
        <f>'Inv Temp'!F54</f>
        <v>0</v>
      </c>
      <c r="S62" s="175" t="str">
        <f t="shared" si="10"/>
        <v/>
      </c>
    </row>
    <row r="63" spans="1:19" x14ac:dyDescent="0.35">
      <c r="A63" s="43">
        <v>48</v>
      </c>
      <c r="B63" s="184">
        <v>43465</v>
      </c>
      <c r="C63" s="178">
        <f t="shared" si="11"/>
        <v>0</v>
      </c>
      <c r="D63" s="236">
        <f>VLOOKUP($B63,DTF!$B$9:$D$69,IF(Variables!$B$73=1,3,2),0)</f>
        <v>4.4999999999999998E-2</v>
      </c>
      <c r="E63" s="236">
        <f t="shared" si="2"/>
        <v>4.3775585558297421E-2</v>
      </c>
      <c r="F63" s="236">
        <f t="shared" si="0"/>
        <v>8.2500000000000004E-2</v>
      </c>
      <c r="G63" s="236">
        <f t="shared" si="3"/>
        <v>0.12627558555829743</v>
      </c>
      <c r="H63" s="236">
        <f t="shared" si="4"/>
        <v>3.1568896389574358E-2</v>
      </c>
      <c r="I63" s="236">
        <f t="shared" si="5"/>
        <v>3.2597978598458664E-2</v>
      </c>
      <c r="J63" s="236">
        <f t="shared" si="6"/>
        <v>0.13690737095120031</v>
      </c>
      <c r="K63" s="236">
        <f t="shared" si="7"/>
        <v>1.0750015923009615E-2</v>
      </c>
      <c r="L63" s="175">
        <f t="shared" si="8"/>
        <v>0</v>
      </c>
      <c r="M63" s="175">
        <f>IF($C63=0,0,IF($C$7="Abono Fijo a Capital",IF($B63&gt;$C$9,ROUND(C63/($C$8-COUNTIF(M$14:M62,"&gt;0")),0),0),IF($C$7="Pago Único al Final",C63,0)))</f>
        <v>0</v>
      </c>
      <c r="N63" s="175">
        <f t="shared" si="9"/>
        <v>0</v>
      </c>
      <c r="O63" s="175">
        <f>IF(ROUNDUP(VLOOKUP($A63,'Ppto-Mes'!$A$8:$AW$68,O$1,0)+VLOOKUP($A63,'Ppto-Mes'!$A$8:$AW$68,O$1+1,0)+IF(A63=0,'Inv Inicial'!$D$15,0),6)&lt;0,-(ROUNDUP(VLOOKUP($A63,'Ppto-Mes'!$A$8:$AW$68,O$1,0)+VLOOKUP($A63,'Ppto-Mes'!$A$8:$AW$68,O$1+1,0)+IF(A63=0,'Inv Inicial'!$D$15,0),-6)),0)</f>
        <v>130000000</v>
      </c>
      <c r="P63" s="175">
        <f t="shared" si="1"/>
        <v>130000000</v>
      </c>
      <c r="Q63" s="513"/>
      <c r="R63" s="175">
        <f>'Inv Temp'!F55</f>
        <v>0</v>
      </c>
      <c r="S63" s="175" t="str">
        <f t="shared" si="10"/>
        <v/>
      </c>
    </row>
    <row r="64" spans="1:19" x14ac:dyDescent="0.35">
      <c r="A64" s="43">
        <v>49</v>
      </c>
      <c r="B64" s="184">
        <v>43496</v>
      </c>
      <c r="C64" s="178">
        <f t="shared" si="11"/>
        <v>130000000</v>
      </c>
      <c r="D64" s="236">
        <f>VLOOKUP($B64,DTF!$B$9:$D$69,IF(Variables!$B$73=1,3,2),0)</f>
        <v>4.4999999999999998E-2</v>
      </c>
      <c r="E64" s="236">
        <f t="shared" si="2"/>
        <v>4.3775585558297421E-2</v>
      </c>
      <c r="F64" s="236">
        <f t="shared" si="0"/>
        <v>8.2500000000000004E-2</v>
      </c>
      <c r="G64" s="236">
        <f t="shared" si="3"/>
        <v>0.12627558555829743</v>
      </c>
      <c r="H64" s="236">
        <f t="shared" si="4"/>
        <v>3.1568896389574358E-2</v>
      </c>
      <c r="I64" s="236">
        <f t="shared" si="5"/>
        <v>3.2597978598458664E-2</v>
      </c>
      <c r="J64" s="236">
        <f t="shared" si="6"/>
        <v>0.13690737095120031</v>
      </c>
      <c r="K64" s="236">
        <f t="shared" si="7"/>
        <v>1.0750015923009615E-2</v>
      </c>
      <c r="L64" s="175">
        <f t="shared" si="8"/>
        <v>1397502</v>
      </c>
      <c r="M64" s="175">
        <f>IF($C64=0,0,IF($C$7="Abono Fijo a Capital",IF($B64&gt;$C$9,ROUND(C64/($C$8-COUNTIF(M$14:M63,"&gt;0")),0),0),IF($C$7="Pago Único al Final",C64,0)))</f>
        <v>130000000</v>
      </c>
      <c r="N64" s="175">
        <f t="shared" si="9"/>
        <v>131397502</v>
      </c>
      <c r="O64" s="175">
        <f>IF(ROUNDUP(VLOOKUP($A64,'Ppto-Mes'!$A$8:$AW$68,O$1,0)+VLOOKUP($A64,'Ppto-Mes'!$A$8:$AW$68,O$1+1,0)+IF(A64=0,'Inv Inicial'!$D$15,0),6)&lt;0,-(ROUNDUP(VLOOKUP($A64,'Ppto-Mes'!$A$8:$AW$68,O$1,0)+VLOOKUP($A64,'Ppto-Mes'!$A$8:$AW$68,O$1+1,0)+IF(A64=0,'Inv Inicial'!$D$15,0),-6)),0)</f>
        <v>2000000</v>
      </c>
      <c r="P64" s="175">
        <f t="shared" si="1"/>
        <v>2000000</v>
      </c>
      <c r="Q64" s="513"/>
      <c r="R64" s="175">
        <f>'Inv Temp'!F56</f>
        <v>0</v>
      </c>
      <c r="S64" s="175" t="str">
        <f t="shared" si="10"/>
        <v/>
      </c>
    </row>
    <row r="65" spans="1:19" x14ac:dyDescent="0.35">
      <c r="A65" s="43">
        <v>50</v>
      </c>
      <c r="B65" s="184">
        <v>43524</v>
      </c>
      <c r="C65" s="178">
        <f t="shared" si="11"/>
        <v>2000000</v>
      </c>
      <c r="D65" s="236">
        <f>VLOOKUP($B65,DTF!$B$9:$D$69,IF(Variables!$B$73=1,3,2),0)</f>
        <v>4.4999999999999998E-2</v>
      </c>
      <c r="E65" s="236">
        <f t="shared" si="2"/>
        <v>4.3775585558297421E-2</v>
      </c>
      <c r="F65" s="236">
        <f t="shared" si="0"/>
        <v>8.2500000000000004E-2</v>
      </c>
      <c r="G65" s="236">
        <f t="shared" si="3"/>
        <v>0.12627558555829743</v>
      </c>
      <c r="H65" s="236">
        <f t="shared" si="4"/>
        <v>3.1568896389574358E-2</v>
      </c>
      <c r="I65" s="236">
        <f t="shared" si="5"/>
        <v>3.2597978598458664E-2</v>
      </c>
      <c r="J65" s="236">
        <f t="shared" si="6"/>
        <v>0.13690737095120031</v>
      </c>
      <c r="K65" s="236">
        <f t="shared" si="7"/>
        <v>1.0750015923009615E-2</v>
      </c>
      <c r="L65" s="175">
        <f t="shared" si="8"/>
        <v>21500</v>
      </c>
      <c r="M65" s="175">
        <f>IF($C65=0,0,IF($C$7="Abono Fijo a Capital",IF($B65&gt;$C$9,ROUND(C65/($C$8-COUNTIF(M$14:M64,"&gt;0")),0),0),IF($C$7="Pago Único al Final",C65,0)))</f>
        <v>2000000</v>
      </c>
      <c r="N65" s="175">
        <f t="shared" si="9"/>
        <v>2021500</v>
      </c>
      <c r="O65" s="175">
        <f>IF(ROUNDUP(VLOOKUP($A65,'Ppto-Mes'!$A$8:$AW$68,O$1,0)+VLOOKUP($A65,'Ppto-Mes'!$A$8:$AW$68,O$1+1,0)+IF(A65=0,'Inv Inicial'!$D$15,0),6)&lt;0,-(ROUNDUP(VLOOKUP($A65,'Ppto-Mes'!$A$8:$AW$68,O$1,0)+VLOOKUP($A65,'Ppto-Mes'!$A$8:$AW$68,O$1+1,0)+IF(A65=0,'Inv Inicial'!$D$15,0),-6)),0)</f>
        <v>119000000</v>
      </c>
      <c r="P65" s="175">
        <f t="shared" si="1"/>
        <v>119000000</v>
      </c>
      <c r="Q65" s="513"/>
      <c r="R65" s="175">
        <f>'Inv Temp'!F57</f>
        <v>0</v>
      </c>
      <c r="S65" s="175" t="str">
        <f t="shared" si="10"/>
        <v/>
      </c>
    </row>
    <row r="66" spans="1:19" x14ac:dyDescent="0.35">
      <c r="A66" s="43">
        <v>51</v>
      </c>
      <c r="B66" s="184">
        <v>43555</v>
      </c>
      <c r="C66" s="178">
        <f t="shared" si="11"/>
        <v>119000000</v>
      </c>
      <c r="D66" s="236">
        <f>VLOOKUP($B66,DTF!$B$9:$D$69,IF(Variables!$B$73=1,3,2),0)</f>
        <v>4.4999999999999998E-2</v>
      </c>
      <c r="E66" s="236">
        <f t="shared" si="2"/>
        <v>4.3775585558297421E-2</v>
      </c>
      <c r="F66" s="236">
        <f t="shared" si="0"/>
        <v>8.2500000000000004E-2</v>
      </c>
      <c r="G66" s="236">
        <f t="shared" si="3"/>
        <v>0.12627558555829743</v>
      </c>
      <c r="H66" s="236">
        <f t="shared" si="4"/>
        <v>3.1568896389574358E-2</v>
      </c>
      <c r="I66" s="236">
        <f t="shared" si="5"/>
        <v>3.2597978598458664E-2</v>
      </c>
      <c r="J66" s="236">
        <f t="shared" si="6"/>
        <v>0.13690737095120031</v>
      </c>
      <c r="K66" s="236">
        <f t="shared" si="7"/>
        <v>1.0750015923009615E-2</v>
      </c>
      <c r="L66" s="175">
        <f t="shared" si="8"/>
        <v>1279252</v>
      </c>
      <c r="M66" s="175">
        <f>IF($C66=0,0,IF($C$7="Abono Fijo a Capital",IF($B66&gt;$C$9,ROUND(C66/($C$8-COUNTIF(M$14:M65,"&gt;0")),0),0),IF($C$7="Pago Único al Final",C66,0)))</f>
        <v>119000000</v>
      </c>
      <c r="N66" s="175">
        <f t="shared" si="9"/>
        <v>120279252</v>
      </c>
      <c r="O66" s="175">
        <f>IF(ROUNDUP(VLOOKUP($A66,'Ppto-Mes'!$A$8:$AW$68,O$1,0)+VLOOKUP($A66,'Ppto-Mes'!$A$8:$AW$68,O$1+1,0)+IF(A66=0,'Inv Inicial'!$D$15,0),6)&lt;0,-(ROUNDUP(VLOOKUP($A66,'Ppto-Mes'!$A$8:$AW$68,O$1,0)+VLOOKUP($A66,'Ppto-Mes'!$A$8:$AW$68,O$1+1,0)+IF(A66=0,'Inv Inicial'!$D$15,0),-6)),0)</f>
        <v>0</v>
      </c>
      <c r="P66" s="175">
        <f t="shared" si="1"/>
        <v>0</v>
      </c>
      <c r="Q66" s="513"/>
      <c r="R66" s="175">
        <f>'Inv Temp'!F58</f>
        <v>0</v>
      </c>
      <c r="S66" s="175" t="str">
        <f t="shared" si="10"/>
        <v/>
      </c>
    </row>
    <row r="67" spans="1:19" x14ac:dyDescent="0.35">
      <c r="A67" s="43">
        <v>52</v>
      </c>
      <c r="B67" s="184">
        <v>43585</v>
      </c>
      <c r="C67" s="178">
        <f t="shared" si="11"/>
        <v>0</v>
      </c>
      <c r="D67" s="236">
        <f>VLOOKUP($B67,DTF!$B$9:$D$69,IF(Variables!$B$73=1,3,2),0)</f>
        <v>4.7500000000000001E-2</v>
      </c>
      <c r="E67" s="236">
        <f t="shared" si="2"/>
        <v>4.6138216898191912E-2</v>
      </c>
      <c r="F67" s="236">
        <f t="shared" si="0"/>
        <v>8.2500000000000004E-2</v>
      </c>
      <c r="G67" s="236">
        <f t="shared" si="3"/>
        <v>0.12863821689819191</v>
      </c>
      <c r="H67" s="236">
        <f t="shared" si="4"/>
        <v>3.2159554224547977E-2</v>
      </c>
      <c r="I67" s="236">
        <f t="shared" si="5"/>
        <v>3.3228156939423145E-2</v>
      </c>
      <c r="J67" s="236">
        <f t="shared" si="6"/>
        <v>0.13968525951544808</v>
      </c>
      <c r="K67" s="236">
        <f t="shared" si="7"/>
        <v>1.0955589066731664E-2</v>
      </c>
      <c r="L67" s="175">
        <f t="shared" si="8"/>
        <v>0</v>
      </c>
      <c r="M67" s="175">
        <f>IF($C67=0,0,IF($C$7="Abono Fijo a Capital",IF($B67&gt;$C$9,ROUND(C67/($C$8-COUNTIF(M$14:M66,"&gt;0")),0),0),IF($C$7="Pago Único al Final",C67,0)))</f>
        <v>0</v>
      </c>
      <c r="N67" s="175">
        <f t="shared" si="9"/>
        <v>0</v>
      </c>
      <c r="O67" s="175">
        <f>IF(ROUNDUP(VLOOKUP($A67,'Ppto-Mes'!$A$8:$AW$68,O$1,0)+VLOOKUP($A67,'Ppto-Mes'!$A$8:$AW$68,O$1+1,0)+IF(A67=0,'Inv Inicial'!$D$15,0),6)&lt;0,-(ROUNDUP(VLOOKUP($A67,'Ppto-Mes'!$A$8:$AW$68,O$1,0)+VLOOKUP($A67,'Ppto-Mes'!$A$8:$AW$68,O$1+1,0)+IF(A67=0,'Inv Inicial'!$D$15,0),-6)),0)</f>
        <v>106000000</v>
      </c>
      <c r="P67" s="175">
        <f t="shared" si="1"/>
        <v>106000000</v>
      </c>
      <c r="Q67" s="513"/>
      <c r="R67" s="175">
        <f>'Inv Temp'!F59</f>
        <v>0</v>
      </c>
      <c r="S67" s="175" t="str">
        <f t="shared" si="10"/>
        <v/>
      </c>
    </row>
    <row r="68" spans="1:19" x14ac:dyDescent="0.35">
      <c r="A68" s="43">
        <v>53</v>
      </c>
      <c r="B68" s="184">
        <v>43616</v>
      </c>
      <c r="C68" s="178">
        <f t="shared" si="11"/>
        <v>106000000</v>
      </c>
      <c r="D68" s="236">
        <f>VLOOKUP($B68,DTF!$B$9:$D$69,IF(Variables!$B$73=1,3,2),0)</f>
        <v>4.7500000000000001E-2</v>
      </c>
      <c r="E68" s="236">
        <f t="shared" si="2"/>
        <v>4.6138216898191912E-2</v>
      </c>
      <c r="F68" s="236">
        <f t="shared" si="0"/>
        <v>8.2500000000000004E-2</v>
      </c>
      <c r="G68" s="236">
        <f t="shared" si="3"/>
        <v>0.12863821689819191</v>
      </c>
      <c r="H68" s="236">
        <f t="shared" si="4"/>
        <v>3.2159554224547977E-2</v>
      </c>
      <c r="I68" s="236">
        <f t="shared" si="5"/>
        <v>3.3228156939423145E-2</v>
      </c>
      <c r="J68" s="236">
        <f t="shared" si="6"/>
        <v>0.13968525951544808</v>
      </c>
      <c r="K68" s="236">
        <f t="shared" si="7"/>
        <v>1.0955589066731664E-2</v>
      </c>
      <c r="L68" s="175">
        <f t="shared" si="8"/>
        <v>1161292</v>
      </c>
      <c r="M68" s="175">
        <f>IF($C68=0,0,IF($C$7="Abono Fijo a Capital",IF($B68&gt;$C$9,ROUND(C68/($C$8-COUNTIF(M$14:M67,"&gt;0")),0),0),IF($C$7="Pago Único al Final",C68,0)))</f>
        <v>106000000</v>
      </c>
      <c r="N68" s="175">
        <f t="shared" si="9"/>
        <v>107161292</v>
      </c>
      <c r="O68" s="175">
        <f>IF(ROUNDUP(VLOOKUP($A68,'Ppto-Mes'!$A$8:$AW$68,O$1,0)+VLOOKUP($A68,'Ppto-Mes'!$A$8:$AW$68,O$1+1,0)+IF(A68=0,'Inv Inicial'!$D$15,0),6)&lt;0,-(ROUNDUP(VLOOKUP($A68,'Ppto-Mes'!$A$8:$AW$68,O$1,0)+VLOOKUP($A68,'Ppto-Mes'!$A$8:$AW$68,O$1+1,0)+IF(A68=0,'Inv Inicial'!$D$15,0),-6)),0)</f>
        <v>0</v>
      </c>
      <c r="P68" s="175">
        <f t="shared" si="1"/>
        <v>0</v>
      </c>
      <c r="Q68" s="513"/>
      <c r="R68" s="175">
        <f>'Inv Temp'!F60</f>
        <v>0</v>
      </c>
      <c r="S68" s="175" t="str">
        <f t="shared" si="10"/>
        <v/>
      </c>
    </row>
    <row r="69" spans="1:19" x14ac:dyDescent="0.35">
      <c r="A69" s="43">
        <v>54</v>
      </c>
      <c r="B69" s="184">
        <v>43646</v>
      </c>
      <c r="C69" s="178">
        <f t="shared" si="11"/>
        <v>0</v>
      </c>
      <c r="D69" s="236">
        <f>VLOOKUP($B69,DTF!$B$9:$D$69,IF(Variables!$B$73=1,3,2),0)</f>
        <v>4.7500000000000001E-2</v>
      </c>
      <c r="E69" s="236">
        <f t="shared" si="2"/>
        <v>4.6138216898191912E-2</v>
      </c>
      <c r="F69" s="236">
        <f t="shared" si="0"/>
        <v>8.2500000000000004E-2</v>
      </c>
      <c r="G69" s="236">
        <f t="shared" si="3"/>
        <v>0.12863821689819191</v>
      </c>
      <c r="H69" s="236">
        <f t="shared" si="4"/>
        <v>3.2159554224547977E-2</v>
      </c>
      <c r="I69" s="236">
        <f t="shared" si="5"/>
        <v>3.3228156939423145E-2</v>
      </c>
      <c r="J69" s="236">
        <f t="shared" si="6"/>
        <v>0.13968525951544808</v>
      </c>
      <c r="K69" s="236">
        <f t="shared" si="7"/>
        <v>1.0955589066731664E-2</v>
      </c>
      <c r="L69" s="175">
        <f t="shared" si="8"/>
        <v>0</v>
      </c>
      <c r="M69" s="175">
        <f>IF($C69=0,0,IF($C$7="Abono Fijo a Capital",IF($B69&gt;$C$9,ROUND(C69/($C$8-COUNTIF(M$14:M68,"&gt;0")),0),0),IF($C$7="Pago Único al Final",C69,0)))</f>
        <v>0</v>
      </c>
      <c r="N69" s="175">
        <f t="shared" si="9"/>
        <v>0</v>
      </c>
      <c r="O69" s="175">
        <f>IF(ROUNDUP(VLOOKUP($A69,'Ppto-Mes'!$A$8:$AW$68,O$1,0)+VLOOKUP($A69,'Ppto-Mes'!$A$8:$AW$68,O$1+1,0)+IF(A69=0,'Inv Inicial'!$D$15,0),6)&lt;0,-(ROUNDUP(VLOOKUP($A69,'Ppto-Mes'!$A$8:$AW$68,O$1,0)+VLOOKUP($A69,'Ppto-Mes'!$A$8:$AW$68,O$1+1,0)+IF(A69=0,'Inv Inicial'!$D$15,0),-6)),0)</f>
        <v>104000000</v>
      </c>
      <c r="P69" s="175">
        <f t="shared" si="1"/>
        <v>104000000</v>
      </c>
      <c r="Q69" s="513"/>
      <c r="R69" s="175">
        <f>'Inv Temp'!F61</f>
        <v>0</v>
      </c>
      <c r="S69" s="175" t="str">
        <f t="shared" si="10"/>
        <v/>
      </c>
    </row>
    <row r="70" spans="1:19" x14ac:dyDescent="0.35">
      <c r="A70" s="43">
        <v>55</v>
      </c>
      <c r="B70" s="184">
        <v>43677</v>
      </c>
      <c r="C70" s="178">
        <f t="shared" si="11"/>
        <v>104000000</v>
      </c>
      <c r="D70" s="236">
        <f>VLOOKUP($B70,DTF!$B$9:$D$69,IF(Variables!$B$73=1,3,2),0)</f>
        <v>0.05</v>
      </c>
      <c r="E70" s="236">
        <f t="shared" si="2"/>
        <v>4.8493810307703902E-2</v>
      </c>
      <c r="F70" s="236">
        <f t="shared" si="0"/>
        <v>8.2500000000000004E-2</v>
      </c>
      <c r="G70" s="236">
        <f t="shared" si="3"/>
        <v>0.13099381030770391</v>
      </c>
      <c r="H70" s="236">
        <f t="shared" si="4"/>
        <v>3.2748452576925977E-2</v>
      </c>
      <c r="I70" s="236">
        <f t="shared" si="5"/>
        <v>3.3857224280667772E-2</v>
      </c>
      <c r="J70" s="236">
        <f t="shared" si="6"/>
        <v>0.14246332468960832</v>
      </c>
      <c r="K70" s="236">
        <f t="shared" si="7"/>
        <v>1.1160716436643403E-2</v>
      </c>
      <c r="L70" s="175">
        <f t="shared" si="8"/>
        <v>1160715</v>
      </c>
      <c r="M70" s="175">
        <f>IF($C70=0,0,IF($C$7="Abono Fijo a Capital",IF($B70&gt;$C$9,ROUND(C70/($C$8-COUNTIF(M$14:M69,"&gt;0")),0),0),IF($C$7="Pago Único al Final",C70,0)))</f>
        <v>104000000</v>
      </c>
      <c r="N70" s="175">
        <f t="shared" si="9"/>
        <v>105160715</v>
      </c>
      <c r="O70" s="175">
        <f>IF(ROUNDUP(VLOOKUP($A70,'Ppto-Mes'!$A$8:$AW$68,O$1,0)+VLOOKUP($A70,'Ppto-Mes'!$A$8:$AW$68,O$1+1,0)+IF(A70=0,'Inv Inicial'!$D$15,0),6)&lt;0,-(ROUNDUP(VLOOKUP($A70,'Ppto-Mes'!$A$8:$AW$68,O$1,0)+VLOOKUP($A70,'Ppto-Mes'!$A$8:$AW$68,O$1+1,0)+IF(A70=0,'Inv Inicial'!$D$15,0),-6)),0)</f>
        <v>0</v>
      </c>
      <c r="P70" s="175">
        <f t="shared" si="1"/>
        <v>0</v>
      </c>
      <c r="Q70" s="513"/>
      <c r="R70" s="175">
        <f>'Inv Temp'!F62</f>
        <v>0</v>
      </c>
      <c r="S70" s="175" t="str">
        <f t="shared" si="10"/>
        <v/>
      </c>
    </row>
    <row r="71" spans="1:19" x14ac:dyDescent="0.35">
      <c r="A71" s="43">
        <v>56</v>
      </c>
      <c r="B71" s="184">
        <v>43708</v>
      </c>
      <c r="C71" s="178">
        <f t="shared" si="11"/>
        <v>0</v>
      </c>
      <c r="D71" s="236">
        <f>VLOOKUP($B71,DTF!$B$9:$D$69,IF(Variables!$B$73=1,3,2),0)</f>
        <v>0.05</v>
      </c>
      <c r="E71" s="236">
        <f t="shared" si="2"/>
        <v>4.8493810307703902E-2</v>
      </c>
      <c r="F71" s="236">
        <f t="shared" si="0"/>
        <v>8.2500000000000004E-2</v>
      </c>
      <c r="G71" s="236">
        <f t="shared" si="3"/>
        <v>0.13099381030770391</v>
      </c>
      <c r="H71" s="236">
        <f t="shared" si="4"/>
        <v>3.2748452576925977E-2</v>
      </c>
      <c r="I71" s="236">
        <f t="shared" si="5"/>
        <v>3.3857224280667772E-2</v>
      </c>
      <c r="J71" s="236">
        <f t="shared" si="6"/>
        <v>0.14246332468960832</v>
      </c>
      <c r="K71" s="236">
        <f t="shared" si="7"/>
        <v>1.1160716436643403E-2</v>
      </c>
      <c r="L71" s="175">
        <f t="shared" si="8"/>
        <v>0</v>
      </c>
      <c r="M71" s="175">
        <f>IF($C71=0,0,IF($C$7="Abono Fijo a Capital",IF($B71&gt;$C$9,ROUND(C71/($C$8-COUNTIF(M$14:M70,"&gt;0")),0),0),IF($C$7="Pago Único al Final",C71,0)))</f>
        <v>0</v>
      </c>
      <c r="N71" s="175">
        <f t="shared" si="9"/>
        <v>0</v>
      </c>
      <c r="O71" s="175">
        <f>IF(ROUNDUP(VLOOKUP($A71,'Ppto-Mes'!$A$8:$AW$68,O$1,0)+VLOOKUP($A71,'Ppto-Mes'!$A$8:$AW$68,O$1+1,0)+IF(A71=0,'Inv Inicial'!$D$15,0),6)&lt;0,-(ROUNDUP(VLOOKUP($A71,'Ppto-Mes'!$A$8:$AW$68,O$1,0)+VLOOKUP($A71,'Ppto-Mes'!$A$8:$AW$68,O$1+1,0)+IF(A71=0,'Inv Inicial'!$D$15,0),-6)),0)</f>
        <v>80000000</v>
      </c>
      <c r="P71" s="175">
        <f t="shared" si="1"/>
        <v>80000000</v>
      </c>
      <c r="Q71" s="513"/>
      <c r="R71" s="175">
        <f>'Inv Temp'!F63</f>
        <v>0</v>
      </c>
      <c r="S71" s="175" t="str">
        <f t="shared" si="10"/>
        <v/>
      </c>
    </row>
    <row r="72" spans="1:19" x14ac:dyDescent="0.35">
      <c r="A72" s="43">
        <v>57</v>
      </c>
      <c r="B72" s="184">
        <v>43738</v>
      </c>
      <c r="C72" s="178">
        <f t="shared" si="11"/>
        <v>80000000</v>
      </c>
      <c r="D72" s="236">
        <f>VLOOKUP($B72,DTF!$B$9:$D$69,IF(Variables!$B$73=1,3,2),0)</f>
        <v>0.05</v>
      </c>
      <c r="E72" s="236">
        <f t="shared" si="2"/>
        <v>4.8493810307703902E-2</v>
      </c>
      <c r="F72" s="236">
        <f t="shared" si="0"/>
        <v>8.2500000000000004E-2</v>
      </c>
      <c r="G72" s="236">
        <f t="shared" si="3"/>
        <v>0.13099381030770391</v>
      </c>
      <c r="H72" s="236">
        <f t="shared" si="4"/>
        <v>3.2748452576925977E-2</v>
      </c>
      <c r="I72" s="236">
        <f t="shared" si="5"/>
        <v>3.3857224280667772E-2</v>
      </c>
      <c r="J72" s="236">
        <f t="shared" si="6"/>
        <v>0.14246332468960832</v>
      </c>
      <c r="K72" s="236">
        <f t="shared" si="7"/>
        <v>1.1160716436643403E-2</v>
      </c>
      <c r="L72" s="175">
        <f t="shared" si="8"/>
        <v>892857</v>
      </c>
      <c r="M72" s="175">
        <f>IF($C72=0,0,IF($C$7="Abono Fijo a Capital",IF($B72&gt;$C$9,ROUND(C72/($C$8-COUNTIF(M$14:M71,"&gt;0")),0),0),IF($C$7="Pago Único al Final",C72,0)))</f>
        <v>80000000</v>
      </c>
      <c r="N72" s="175">
        <f t="shared" si="9"/>
        <v>80892857</v>
      </c>
      <c r="O72" s="175">
        <f>IF(ROUNDUP(VLOOKUP($A72,'Ppto-Mes'!$A$8:$AW$68,O$1,0)+VLOOKUP($A72,'Ppto-Mes'!$A$8:$AW$68,O$1+1,0)+IF(A72=0,'Inv Inicial'!$D$15,0),6)&lt;0,-(ROUNDUP(VLOOKUP($A72,'Ppto-Mes'!$A$8:$AW$68,O$1,0)+VLOOKUP($A72,'Ppto-Mes'!$A$8:$AW$68,O$1+1,0)+IF(A72=0,'Inv Inicial'!$D$15,0),-6)),0)</f>
        <v>0</v>
      </c>
      <c r="P72" s="175">
        <f t="shared" si="1"/>
        <v>0</v>
      </c>
      <c r="Q72" s="513"/>
      <c r="R72" s="175">
        <f>'Inv Temp'!F64</f>
        <v>0</v>
      </c>
      <c r="S72" s="175" t="str">
        <f t="shared" si="10"/>
        <v/>
      </c>
    </row>
    <row r="73" spans="1:19" x14ac:dyDescent="0.35">
      <c r="A73" s="43">
        <v>58</v>
      </c>
      <c r="B73" s="184">
        <v>43769</v>
      </c>
      <c r="C73" s="178">
        <f t="shared" si="11"/>
        <v>0</v>
      </c>
      <c r="D73" s="236">
        <f>VLOOKUP($B73,DTF!$B$9:$D$69,IF(Variables!$B$73=1,3,2),0)</f>
        <v>5.2500000000000005E-2</v>
      </c>
      <c r="E73" s="236">
        <f t="shared" si="2"/>
        <v>5.0842403434051039E-2</v>
      </c>
      <c r="F73" s="236">
        <f t="shared" si="0"/>
        <v>8.2500000000000004E-2</v>
      </c>
      <c r="G73" s="236">
        <f t="shared" si="3"/>
        <v>0.13334240343405104</v>
      </c>
      <c r="H73" s="236">
        <f t="shared" si="4"/>
        <v>3.3335600858512761E-2</v>
      </c>
      <c r="I73" s="236">
        <f t="shared" si="5"/>
        <v>3.4485185228833017E-2</v>
      </c>
      <c r="J73" s="236">
        <f t="shared" si="6"/>
        <v>0.14524156617164463</v>
      </c>
      <c r="K73" s="236">
        <f t="shared" si="7"/>
        <v>1.1365400059408559E-2</v>
      </c>
      <c r="L73" s="175">
        <f t="shared" si="8"/>
        <v>0</v>
      </c>
      <c r="M73" s="175">
        <f>IF($C73=0,0,IF($C$7="Abono Fijo a Capital",IF($B73&gt;$C$9,ROUND(C73/($C$8-COUNTIF(M$14:M72,"&gt;0")),0),0),IF($C$7="Pago Único al Final",C73,0)))</f>
        <v>0</v>
      </c>
      <c r="N73" s="175">
        <f t="shared" si="9"/>
        <v>0</v>
      </c>
      <c r="O73" s="175">
        <f>IF(ROUNDUP(VLOOKUP($A73,'Ppto-Mes'!$A$8:$AW$68,O$1,0)+VLOOKUP($A73,'Ppto-Mes'!$A$8:$AW$68,O$1+1,0)+IF(A73=0,'Inv Inicial'!$D$15,0),6)&lt;0,-(ROUNDUP(VLOOKUP($A73,'Ppto-Mes'!$A$8:$AW$68,O$1,0)+VLOOKUP($A73,'Ppto-Mes'!$A$8:$AW$68,O$1+1,0)+IF(A73=0,'Inv Inicial'!$D$15,0),-6)),0)</f>
        <v>56000000</v>
      </c>
      <c r="P73" s="175">
        <f t="shared" si="1"/>
        <v>56000000</v>
      </c>
      <c r="Q73" s="513"/>
      <c r="R73" s="175">
        <f>'Inv Temp'!F65</f>
        <v>0</v>
      </c>
      <c r="S73" s="175" t="str">
        <f t="shared" si="10"/>
        <v/>
      </c>
    </row>
    <row r="74" spans="1:19" x14ac:dyDescent="0.35">
      <c r="A74" s="43">
        <v>59</v>
      </c>
      <c r="B74" s="184">
        <v>43799</v>
      </c>
      <c r="C74" s="178">
        <f t="shared" si="11"/>
        <v>56000000</v>
      </c>
      <c r="D74" s="236">
        <f>VLOOKUP($B74,DTF!$B$9:$D$69,IF(Variables!$B$73=1,3,2),0)</f>
        <v>5.2500000000000005E-2</v>
      </c>
      <c r="E74" s="236">
        <f t="shared" si="2"/>
        <v>5.0842403434051039E-2</v>
      </c>
      <c r="F74" s="236">
        <f t="shared" si="0"/>
        <v>8.2500000000000004E-2</v>
      </c>
      <c r="G74" s="236">
        <f t="shared" si="3"/>
        <v>0.13334240343405104</v>
      </c>
      <c r="H74" s="236">
        <f t="shared" si="4"/>
        <v>3.3335600858512761E-2</v>
      </c>
      <c r="I74" s="236">
        <f t="shared" si="5"/>
        <v>3.4485185228833017E-2</v>
      </c>
      <c r="J74" s="236">
        <f t="shared" si="6"/>
        <v>0.14524156617164463</v>
      </c>
      <c r="K74" s="236">
        <f t="shared" si="7"/>
        <v>1.1365400059408559E-2</v>
      </c>
      <c r="L74" s="175">
        <f t="shared" si="8"/>
        <v>636462</v>
      </c>
      <c r="M74" s="175">
        <f>IF($C74=0,0,IF($C$7="Abono Fijo a Capital",IF($B74&gt;$C$9,ROUND(C74/($C$8-COUNTIF(M$14:M73,"&gt;0")),0),0),IF($C$7="Pago Único al Final",C74,0)))</f>
        <v>56000000</v>
      </c>
      <c r="N74" s="175">
        <f t="shared" si="9"/>
        <v>56636462</v>
      </c>
      <c r="O74" s="175">
        <f>IF(ROUNDUP(VLOOKUP($A74,'Ppto-Mes'!$A$8:$AW$68,O$1,0)+VLOOKUP($A74,'Ppto-Mes'!$A$8:$AW$68,O$1+1,0)+IF(A74=0,'Inv Inicial'!$D$15,0),6)&lt;0,-(ROUNDUP(VLOOKUP($A74,'Ppto-Mes'!$A$8:$AW$68,O$1,0)+VLOOKUP($A74,'Ppto-Mes'!$A$8:$AW$68,O$1+1,0)+IF(A74=0,'Inv Inicial'!$D$15,0),-6)),0)</f>
        <v>0</v>
      </c>
      <c r="P74" s="175">
        <f t="shared" si="1"/>
        <v>0</v>
      </c>
      <c r="Q74" s="513"/>
      <c r="R74" s="175">
        <f>'Inv Temp'!F66</f>
        <v>0</v>
      </c>
      <c r="S74" s="175" t="str">
        <f t="shared" si="10"/>
        <v/>
      </c>
    </row>
    <row r="75" spans="1:19" x14ac:dyDescent="0.35">
      <c r="A75" s="43">
        <v>60</v>
      </c>
      <c r="B75" s="184">
        <v>43830</v>
      </c>
      <c r="C75" s="178">
        <f t="shared" si="11"/>
        <v>0</v>
      </c>
      <c r="D75" s="236">
        <f>VLOOKUP($B75,DTF!$B$9:$D$69,IF(Variables!$B$73=1,3,2),0)</f>
        <v>5.2500000000000005E-2</v>
      </c>
      <c r="E75" s="236">
        <f t="shared" si="2"/>
        <v>5.0842403434051039E-2</v>
      </c>
      <c r="F75" s="236">
        <f t="shared" si="0"/>
        <v>8.2500000000000004E-2</v>
      </c>
      <c r="G75" s="236">
        <f t="shared" si="3"/>
        <v>0.13334240343405104</v>
      </c>
      <c r="H75" s="236">
        <f t="shared" si="4"/>
        <v>3.3335600858512761E-2</v>
      </c>
      <c r="I75" s="236">
        <f t="shared" si="5"/>
        <v>3.4485185228833017E-2</v>
      </c>
      <c r="J75" s="236">
        <f t="shared" si="6"/>
        <v>0.14524156617164463</v>
      </c>
      <c r="K75" s="236">
        <f t="shared" si="7"/>
        <v>1.1365400059408559E-2</v>
      </c>
      <c r="L75" s="175">
        <f t="shared" si="8"/>
        <v>0</v>
      </c>
      <c r="M75" s="175">
        <f>IF($C75=0,0,IF($C$7="Abono Fijo a Capital",IF($B75&gt;$C$9,ROUND(C75/($C$8-COUNTIF(M$14:M74,"&gt;0")),0),0),IF($C$7="Pago Único al Final",C75,0)))</f>
        <v>0</v>
      </c>
      <c r="N75" s="175">
        <f t="shared" si="9"/>
        <v>0</v>
      </c>
      <c r="O75" s="175">
        <f>IF(ROUNDUP(VLOOKUP($A75,'Ppto-Mes'!$A$8:$AW$68,O$1,0)+VLOOKUP($A75,'Ppto-Mes'!$A$8:$AW$68,O$1+1,0)+IF(A75=0,'Inv Inicial'!$D$15,0),6)&lt;0,-(ROUNDUP(VLOOKUP($A75,'Ppto-Mes'!$A$8:$AW$68,O$1,0)+VLOOKUP($A75,'Ppto-Mes'!$A$8:$AW$68,O$1+1,0)+IF(A75=0,'Inv Inicial'!$D$15,0),-6)),0)</f>
        <v>39000000</v>
      </c>
      <c r="P75" s="175">
        <f t="shared" si="1"/>
        <v>39000000</v>
      </c>
      <c r="Q75" s="513"/>
      <c r="R75" s="175">
        <f>'Inv Temp'!F67</f>
        <v>0</v>
      </c>
      <c r="S75" s="175" t="str">
        <f t="shared" si="10"/>
        <v/>
      </c>
    </row>
    <row r="76" spans="1:19" x14ac:dyDescent="0.35"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</row>
    <row r="77" spans="1:19" x14ac:dyDescent="0.35"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245">
        <f>SUM(L15:L75)</f>
        <v>22454268</v>
      </c>
      <c r="M77" s="245">
        <f>SUM(M15:M75)</f>
        <v>2049000000</v>
      </c>
      <c r="N77" s="245">
        <f>SUM(N15:N75)</f>
        <v>2071454268</v>
      </c>
      <c r="O77" s="245">
        <f>SUM(O15:O75)</f>
        <v>2088000000</v>
      </c>
      <c r="P77" s="172"/>
      <c r="Q77" s="172"/>
    </row>
    <row r="78" spans="1:19" x14ac:dyDescent="0.35"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</row>
    <row r="79" spans="1:19" x14ac:dyDescent="0.35"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</row>
    <row r="80" spans="1:19" x14ac:dyDescent="0.35"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</row>
    <row r="81" spans="2:17" x14ac:dyDescent="0.35"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</row>
    <row r="82" spans="2:17" x14ac:dyDescent="0.35">
      <c r="B82" s="172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</row>
    <row r="83" spans="2:17" x14ac:dyDescent="0.35">
      <c r="B83" s="172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</row>
    <row r="84" spans="2:17" x14ac:dyDescent="0.35"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</row>
    <row r="85" spans="2:17" x14ac:dyDescent="0.35">
      <c r="B85" s="172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</row>
    <row r="86" spans="2:17" x14ac:dyDescent="0.35"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</row>
    <row r="87" spans="2:17" x14ac:dyDescent="0.35">
      <c r="B87" s="172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</row>
    <row r="88" spans="2:17" x14ac:dyDescent="0.35"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</row>
    <row r="89" spans="2:17" x14ac:dyDescent="0.35">
      <c r="B89" s="172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</row>
  </sheetData>
  <mergeCells count="7">
    <mergeCell ref="R12:S13"/>
    <mergeCell ref="C11:P11"/>
    <mergeCell ref="C12:C13"/>
    <mergeCell ref="D12:J12"/>
    <mergeCell ref="L12:N12"/>
    <mergeCell ref="O12:O13"/>
    <mergeCell ref="P12:P13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4:F84"/>
  <sheetViews>
    <sheetView showGridLines="0" workbookViewId="0">
      <pane xSplit="2" ySplit="8" topLeftCell="C15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1" max="1" width="7.36328125" bestFit="1" customWidth="1"/>
    <col min="3" max="3" width="11.6328125" customWidth="1"/>
    <col min="4" max="5" width="12.36328125" bestFit="1" customWidth="1"/>
    <col min="6" max="6" width="12.453125" customWidth="1"/>
  </cols>
  <sheetData>
    <row r="4" spans="1:6" x14ac:dyDescent="0.35">
      <c r="C4">
        <v>11</v>
      </c>
      <c r="D4">
        <v>12</v>
      </c>
      <c r="F4">
        <v>14</v>
      </c>
    </row>
    <row r="6" spans="1:6" ht="14.5" customHeight="1" x14ac:dyDescent="0.35">
      <c r="A6" s="243" t="s">
        <v>179</v>
      </c>
      <c r="B6" s="243" t="s">
        <v>180</v>
      </c>
      <c r="C6" s="968"/>
      <c r="D6" s="968"/>
      <c r="E6" s="968"/>
      <c r="F6" s="968"/>
    </row>
    <row r="7" spans="1:6" ht="14" customHeight="1" x14ac:dyDescent="0.35">
      <c r="A7" s="244"/>
      <c r="B7" s="244"/>
      <c r="C7" s="973" t="s">
        <v>210</v>
      </c>
      <c r="D7" s="974"/>
      <c r="E7" s="975"/>
      <c r="F7" s="961" t="s">
        <v>221</v>
      </c>
    </row>
    <row r="8" spans="1:6" x14ac:dyDescent="0.35">
      <c r="A8" s="244"/>
      <c r="B8" s="244"/>
      <c r="C8" s="235" t="s">
        <v>187</v>
      </c>
      <c r="D8" s="235" t="s">
        <v>155</v>
      </c>
      <c r="E8" s="235" t="s">
        <v>65</v>
      </c>
      <c r="F8" s="962"/>
    </row>
    <row r="9" spans="1:6" x14ac:dyDescent="0.35">
      <c r="A9" s="181"/>
      <c r="B9" s="181"/>
      <c r="C9" s="176"/>
      <c r="D9" s="176"/>
      <c r="E9" s="225"/>
      <c r="F9" s="225"/>
    </row>
    <row r="10" spans="1:6" x14ac:dyDescent="0.35">
      <c r="A10" s="43">
        <v>0</v>
      </c>
      <c r="B10" s="184">
        <v>42004</v>
      </c>
      <c r="C10" s="175">
        <f>VLOOKUP($B10,'Financ 1'!$B$15:$P$75,C$4,0)+VLOOKUP($B10,'Financ 2'!$B$15:$P$75,C$4,0)+VLOOKUP($B10,'Financ 3'!$B$15:$P$75,C$4,0)</f>
        <v>0</v>
      </c>
      <c r="D10" s="175">
        <f>VLOOKUP($B10,'Financ 1'!$B$15:$P$75,D$4,0)+VLOOKUP($B10,'Financ 2'!$B$15:$P$75,D$4,0)+VLOOKUP($B10,'Financ 3'!$B$15:$P$75,D$4,0)</f>
        <v>0</v>
      </c>
      <c r="E10" s="175">
        <f>SUM(C10:D10)</f>
        <v>0</v>
      </c>
      <c r="F10" s="175">
        <f>VLOOKUP($B10,'Financ 1'!$B$15:$P$75,F$4,0)+VLOOKUP($B10,'Financ 2'!$B$15:$P$75,F$4,0)+VLOOKUP($B10,'Financ 3'!$B$15:$P$75,F$4,0)</f>
        <v>214650000</v>
      </c>
    </row>
    <row r="11" spans="1:6" x14ac:dyDescent="0.35">
      <c r="A11" s="43">
        <v>1</v>
      </c>
      <c r="B11" s="184">
        <v>42035</v>
      </c>
      <c r="C11" s="175">
        <f>VLOOKUP($B11,'Financ 1'!$B$15:$P$75,C$4,0)+VLOOKUP($B11,'Financ 2'!$B$15:$P$75,C$4,0)+VLOOKUP($B11,'Financ 3'!$B$15:$P$75,C$4,0)</f>
        <v>1747752</v>
      </c>
      <c r="D11" s="175">
        <f>VLOOKUP($B11,'Financ 1'!$B$15:$P$75,D$4,0)+VLOOKUP($B11,'Financ 2'!$B$15:$P$75,D$4,0)+VLOOKUP($B11,'Financ 3'!$B$15:$P$75,D$4,0)</f>
        <v>0</v>
      </c>
      <c r="E11" s="175">
        <f t="shared" ref="E11:E70" si="0">SUM(C11:D11)</f>
        <v>1747752</v>
      </c>
      <c r="F11" s="175">
        <f>VLOOKUP($B11,'Financ 1'!$B$15:$P$75,F$4,0)+VLOOKUP($B11,'Financ 2'!$B$15:$P$75,F$4,0)+VLOOKUP($B11,'Financ 3'!$B$15:$P$75,F$4,0)</f>
        <v>2000000</v>
      </c>
    </row>
    <row r="12" spans="1:6" x14ac:dyDescent="0.35">
      <c r="A12" s="43">
        <v>2</v>
      </c>
      <c r="B12" s="184">
        <v>42063</v>
      </c>
      <c r="C12" s="175">
        <f>VLOOKUP($B12,'Financ 1'!$B$15:$P$75,C$4,0)+VLOOKUP($B12,'Financ 2'!$B$15:$P$75,C$4,0)+VLOOKUP($B12,'Financ 3'!$B$15:$P$75,C$4,0)</f>
        <v>1769663</v>
      </c>
      <c r="D12" s="175">
        <f>VLOOKUP($B12,'Financ 1'!$B$15:$P$75,D$4,0)+VLOOKUP($B12,'Financ 2'!$B$15:$P$75,D$4,0)+VLOOKUP($B12,'Financ 3'!$B$15:$P$75,D$4,0)</f>
        <v>2000000</v>
      </c>
      <c r="E12" s="175">
        <f t="shared" si="0"/>
        <v>3769663</v>
      </c>
      <c r="F12" s="175">
        <f>VLOOKUP($B12,'Financ 1'!$B$15:$P$75,F$4,0)+VLOOKUP($B12,'Financ 2'!$B$15:$P$75,F$4,0)+VLOOKUP($B12,'Financ 3'!$B$15:$P$75,F$4,0)</f>
        <v>0</v>
      </c>
    </row>
    <row r="13" spans="1:6" x14ac:dyDescent="0.35">
      <c r="A13" s="43">
        <v>3</v>
      </c>
      <c r="B13" s="184">
        <v>42094</v>
      </c>
      <c r="C13" s="175">
        <f>VLOOKUP($B13,'Financ 1'!$B$15:$P$75,C$4,0)+VLOOKUP($B13,'Financ 2'!$B$15:$P$75,C$4,0)+VLOOKUP($B13,'Financ 3'!$B$15:$P$75,C$4,0)</f>
        <v>1747752</v>
      </c>
      <c r="D13" s="175">
        <f>VLOOKUP($B13,'Financ 1'!$B$15:$P$75,D$4,0)+VLOOKUP($B13,'Financ 2'!$B$15:$P$75,D$4,0)+VLOOKUP($B13,'Financ 3'!$B$15:$P$75,D$4,0)</f>
        <v>0</v>
      </c>
      <c r="E13" s="175">
        <f t="shared" si="0"/>
        <v>1747752</v>
      </c>
      <c r="F13" s="175">
        <f>VLOOKUP($B13,'Financ 1'!$B$15:$P$75,F$4,0)+VLOOKUP($B13,'Financ 2'!$B$15:$P$75,F$4,0)+VLOOKUP($B13,'Financ 3'!$B$15:$P$75,F$4,0)</f>
        <v>0</v>
      </c>
    </row>
    <row r="14" spans="1:6" x14ac:dyDescent="0.35">
      <c r="A14" s="43">
        <v>4</v>
      </c>
      <c r="B14" s="184">
        <v>42124</v>
      </c>
      <c r="C14" s="175">
        <f>VLOOKUP($B14,'Financ 1'!$B$15:$P$75,C$4,0)+VLOOKUP($B14,'Financ 2'!$B$15:$P$75,C$4,0)+VLOOKUP($B14,'Financ 3'!$B$15:$P$75,C$4,0)</f>
        <v>1791295</v>
      </c>
      <c r="D14" s="175">
        <f>VLOOKUP($B14,'Financ 1'!$B$15:$P$75,D$4,0)+VLOOKUP($B14,'Financ 2'!$B$15:$P$75,D$4,0)+VLOOKUP($B14,'Financ 3'!$B$15:$P$75,D$4,0)</f>
        <v>0</v>
      </c>
      <c r="E14" s="175">
        <f t="shared" si="0"/>
        <v>1791295</v>
      </c>
      <c r="F14" s="175">
        <f>VLOOKUP($B14,'Financ 1'!$B$15:$P$75,F$4,0)+VLOOKUP($B14,'Financ 2'!$B$15:$P$75,F$4,0)+VLOOKUP($B14,'Financ 3'!$B$15:$P$75,F$4,0)</f>
        <v>0</v>
      </c>
    </row>
    <row r="15" spans="1:6" x14ac:dyDescent="0.35">
      <c r="A15" s="43">
        <v>5</v>
      </c>
      <c r="B15" s="184">
        <v>42155</v>
      </c>
      <c r="C15" s="175">
        <f>VLOOKUP($B15,'Financ 1'!$B$15:$P$75,C$4,0)+VLOOKUP($B15,'Financ 2'!$B$15:$P$75,C$4,0)+VLOOKUP($B15,'Financ 3'!$B$15:$P$75,C$4,0)</f>
        <v>1791295</v>
      </c>
      <c r="D15" s="175">
        <f>VLOOKUP($B15,'Financ 1'!$B$15:$P$75,D$4,0)+VLOOKUP($B15,'Financ 2'!$B$15:$P$75,D$4,0)+VLOOKUP($B15,'Financ 3'!$B$15:$P$75,D$4,0)</f>
        <v>0</v>
      </c>
      <c r="E15" s="175">
        <f t="shared" si="0"/>
        <v>1791295</v>
      </c>
      <c r="F15" s="175">
        <f>VLOOKUP($B15,'Financ 1'!$B$15:$P$75,F$4,0)+VLOOKUP($B15,'Financ 2'!$B$15:$P$75,F$4,0)+VLOOKUP($B15,'Financ 3'!$B$15:$P$75,F$4,0)</f>
        <v>0</v>
      </c>
    </row>
    <row r="16" spans="1:6" x14ac:dyDescent="0.35">
      <c r="A16" s="43">
        <v>6</v>
      </c>
      <c r="B16" s="184">
        <v>42185</v>
      </c>
      <c r="C16" s="175">
        <f>VLOOKUP($B16,'Financ 1'!$B$15:$P$75,C$4,0)+VLOOKUP($B16,'Financ 2'!$B$15:$P$75,C$4,0)+VLOOKUP($B16,'Financ 3'!$B$15:$P$75,C$4,0)</f>
        <v>1791295</v>
      </c>
      <c r="D16" s="175">
        <f>VLOOKUP($B16,'Financ 1'!$B$15:$P$75,D$4,0)+VLOOKUP($B16,'Financ 2'!$B$15:$P$75,D$4,0)+VLOOKUP($B16,'Financ 3'!$B$15:$P$75,D$4,0)</f>
        <v>0</v>
      </c>
      <c r="E16" s="175">
        <f t="shared" si="0"/>
        <v>1791295</v>
      </c>
      <c r="F16" s="175">
        <f>VLOOKUP($B16,'Financ 1'!$B$15:$P$75,F$4,0)+VLOOKUP($B16,'Financ 2'!$B$15:$P$75,F$4,0)+VLOOKUP($B16,'Financ 3'!$B$15:$P$75,F$4,0)</f>
        <v>0</v>
      </c>
    </row>
    <row r="17" spans="1:6" x14ac:dyDescent="0.35">
      <c r="A17" s="43">
        <v>7</v>
      </c>
      <c r="B17" s="184">
        <v>42216</v>
      </c>
      <c r="C17" s="175">
        <f>VLOOKUP($B17,'Financ 1'!$B$15:$P$75,C$4,0)+VLOOKUP($B17,'Financ 2'!$B$15:$P$75,C$4,0)+VLOOKUP($B17,'Financ 3'!$B$15:$P$75,C$4,0)</f>
        <v>1834743</v>
      </c>
      <c r="D17" s="175">
        <f>VLOOKUP($B17,'Financ 1'!$B$15:$P$75,D$4,0)+VLOOKUP($B17,'Financ 2'!$B$15:$P$75,D$4,0)+VLOOKUP($B17,'Financ 3'!$B$15:$P$75,D$4,0)</f>
        <v>0</v>
      </c>
      <c r="E17" s="175">
        <f t="shared" si="0"/>
        <v>1834743</v>
      </c>
      <c r="F17" s="175">
        <f>VLOOKUP($B17,'Financ 1'!$B$15:$P$75,F$4,0)+VLOOKUP($B17,'Financ 2'!$B$15:$P$75,F$4,0)+VLOOKUP($B17,'Financ 3'!$B$15:$P$75,F$4,0)</f>
        <v>0</v>
      </c>
    </row>
    <row r="18" spans="1:6" x14ac:dyDescent="0.35">
      <c r="A18" s="43">
        <v>8</v>
      </c>
      <c r="B18" s="184">
        <v>42247</v>
      </c>
      <c r="C18" s="175">
        <f>VLOOKUP($B18,'Financ 1'!$B$15:$P$75,C$4,0)+VLOOKUP($B18,'Financ 2'!$B$15:$P$75,C$4,0)+VLOOKUP($B18,'Financ 3'!$B$15:$P$75,C$4,0)</f>
        <v>1834743</v>
      </c>
      <c r="D18" s="175">
        <f>VLOOKUP($B18,'Financ 1'!$B$15:$P$75,D$4,0)+VLOOKUP($B18,'Financ 2'!$B$15:$P$75,D$4,0)+VLOOKUP($B18,'Financ 3'!$B$15:$P$75,D$4,0)</f>
        <v>0</v>
      </c>
      <c r="E18" s="175">
        <f t="shared" si="0"/>
        <v>1834743</v>
      </c>
      <c r="F18" s="175">
        <f>VLOOKUP($B18,'Financ 1'!$B$15:$P$75,F$4,0)+VLOOKUP($B18,'Financ 2'!$B$15:$P$75,F$4,0)+VLOOKUP($B18,'Financ 3'!$B$15:$P$75,F$4,0)</f>
        <v>0</v>
      </c>
    </row>
    <row r="19" spans="1:6" x14ac:dyDescent="0.35">
      <c r="A19" s="43">
        <v>9</v>
      </c>
      <c r="B19" s="184">
        <v>42277</v>
      </c>
      <c r="C19" s="175">
        <f>VLOOKUP($B19,'Financ 1'!$B$15:$P$75,C$4,0)+VLOOKUP($B19,'Financ 2'!$B$15:$P$75,C$4,0)+VLOOKUP($B19,'Financ 3'!$B$15:$P$75,C$4,0)</f>
        <v>1834743</v>
      </c>
      <c r="D19" s="175">
        <f>VLOOKUP($B19,'Financ 1'!$B$15:$P$75,D$4,0)+VLOOKUP($B19,'Financ 2'!$B$15:$P$75,D$4,0)+VLOOKUP($B19,'Financ 3'!$B$15:$P$75,D$4,0)</f>
        <v>0</v>
      </c>
      <c r="E19" s="175">
        <f t="shared" si="0"/>
        <v>1834743</v>
      </c>
      <c r="F19" s="175">
        <f>VLOOKUP($B19,'Financ 1'!$B$15:$P$75,F$4,0)+VLOOKUP($B19,'Financ 2'!$B$15:$P$75,F$4,0)+VLOOKUP($B19,'Financ 3'!$B$15:$P$75,F$4,0)</f>
        <v>0</v>
      </c>
    </row>
    <row r="20" spans="1:6" x14ac:dyDescent="0.35">
      <c r="A20" s="43">
        <v>10</v>
      </c>
      <c r="B20" s="184">
        <v>42308</v>
      </c>
      <c r="C20" s="175">
        <f>VLOOKUP($B20,'Financ 1'!$B$15:$P$75,C$4,0)+VLOOKUP($B20,'Financ 2'!$B$15:$P$75,C$4,0)+VLOOKUP($B20,'Financ 3'!$B$15:$P$75,C$4,0)</f>
        <v>1878096</v>
      </c>
      <c r="D20" s="175">
        <f>VLOOKUP($B20,'Financ 1'!$B$15:$P$75,D$4,0)+VLOOKUP($B20,'Financ 2'!$B$15:$P$75,D$4,0)+VLOOKUP($B20,'Financ 3'!$B$15:$P$75,D$4,0)</f>
        <v>0</v>
      </c>
      <c r="E20" s="175">
        <f t="shared" si="0"/>
        <v>1878096</v>
      </c>
      <c r="F20" s="175">
        <f>VLOOKUP($B20,'Financ 1'!$B$15:$P$75,F$4,0)+VLOOKUP($B20,'Financ 2'!$B$15:$P$75,F$4,0)+VLOOKUP($B20,'Financ 3'!$B$15:$P$75,F$4,0)</f>
        <v>0</v>
      </c>
    </row>
    <row r="21" spans="1:6" x14ac:dyDescent="0.35">
      <c r="A21" s="43">
        <v>11</v>
      </c>
      <c r="B21" s="184">
        <v>42338</v>
      </c>
      <c r="C21" s="175">
        <f>VLOOKUP($B21,'Financ 1'!$B$15:$P$75,C$4,0)+VLOOKUP($B21,'Financ 2'!$B$15:$P$75,C$4,0)+VLOOKUP($B21,'Financ 3'!$B$15:$P$75,C$4,0)</f>
        <v>1878096</v>
      </c>
      <c r="D21" s="175">
        <f>VLOOKUP($B21,'Financ 1'!$B$15:$P$75,D$4,0)+VLOOKUP($B21,'Financ 2'!$B$15:$P$75,D$4,0)+VLOOKUP($B21,'Financ 3'!$B$15:$P$75,D$4,0)</f>
        <v>0</v>
      </c>
      <c r="E21" s="175">
        <f t="shared" si="0"/>
        <v>1878096</v>
      </c>
      <c r="F21" s="175">
        <f>VLOOKUP($B21,'Financ 1'!$B$15:$P$75,F$4,0)+VLOOKUP($B21,'Financ 2'!$B$15:$P$75,F$4,0)+VLOOKUP($B21,'Financ 3'!$B$15:$P$75,F$4,0)</f>
        <v>0</v>
      </c>
    </row>
    <row r="22" spans="1:6" x14ac:dyDescent="0.35">
      <c r="A22" s="43">
        <v>12</v>
      </c>
      <c r="B22" s="184">
        <v>42369</v>
      </c>
      <c r="C22" s="175">
        <f>VLOOKUP($B22,'Financ 1'!$B$15:$P$75,C$4,0)+VLOOKUP($B22,'Financ 2'!$B$15:$P$75,C$4,0)+VLOOKUP($B22,'Financ 3'!$B$15:$P$75,C$4,0)</f>
        <v>1878096</v>
      </c>
      <c r="D22" s="175">
        <f>VLOOKUP($B22,'Financ 1'!$B$15:$P$75,D$4,0)+VLOOKUP($B22,'Financ 2'!$B$15:$P$75,D$4,0)+VLOOKUP($B22,'Financ 3'!$B$15:$P$75,D$4,0)</f>
        <v>0</v>
      </c>
      <c r="E22" s="175">
        <f t="shared" si="0"/>
        <v>1878096</v>
      </c>
      <c r="F22" s="175">
        <f>VLOOKUP($B22,'Financ 1'!$B$15:$P$75,F$4,0)+VLOOKUP($B22,'Financ 2'!$B$15:$P$75,F$4,0)+VLOOKUP($B22,'Financ 3'!$B$15:$P$75,F$4,0)</f>
        <v>0</v>
      </c>
    </row>
    <row r="23" spans="1:6" x14ac:dyDescent="0.35">
      <c r="A23" s="43">
        <v>13</v>
      </c>
      <c r="B23" s="184">
        <v>42400</v>
      </c>
      <c r="C23" s="175">
        <f>VLOOKUP($B23,'Financ 1'!$B$15:$P$75,C$4,0)+VLOOKUP($B23,'Financ 2'!$B$15:$P$75,C$4,0)+VLOOKUP($B23,'Financ 3'!$B$15:$P$75,C$4,0)</f>
        <v>1921357</v>
      </c>
      <c r="D23" s="175">
        <f>VLOOKUP($B23,'Financ 1'!$B$15:$P$75,D$4,0)+VLOOKUP($B23,'Financ 2'!$B$15:$P$75,D$4,0)+VLOOKUP($B23,'Financ 3'!$B$15:$P$75,D$4,0)</f>
        <v>8943750</v>
      </c>
      <c r="E23" s="175">
        <f t="shared" si="0"/>
        <v>10865107</v>
      </c>
      <c r="F23" s="175">
        <f>VLOOKUP($B23,'Financ 1'!$B$15:$P$75,F$4,0)+VLOOKUP($B23,'Financ 2'!$B$15:$P$75,F$4,0)+VLOOKUP($B23,'Financ 3'!$B$15:$P$75,F$4,0)</f>
        <v>0</v>
      </c>
    </row>
    <row r="24" spans="1:6" x14ac:dyDescent="0.35">
      <c r="A24" s="43">
        <v>14</v>
      </c>
      <c r="B24" s="184">
        <v>42429</v>
      </c>
      <c r="C24" s="175">
        <f>VLOOKUP($B24,'Financ 1'!$B$15:$P$75,C$4,0)+VLOOKUP($B24,'Financ 2'!$B$15:$P$75,C$4,0)+VLOOKUP($B24,'Financ 3'!$B$15:$P$75,C$4,0)</f>
        <v>1841300</v>
      </c>
      <c r="D24" s="175">
        <f>VLOOKUP($B24,'Financ 1'!$B$15:$P$75,D$4,0)+VLOOKUP($B24,'Financ 2'!$B$15:$P$75,D$4,0)+VLOOKUP($B24,'Financ 3'!$B$15:$P$75,D$4,0)</f>
        <v>8943750</v>
      </c>
      <c r="E24" s="175">
        <f t="shared" si="0"/>
        <v>10785050</v>
      </c>
      <c r="F24" s="175">
        <f>VLOOKUP($B24,'Financ 1'!$B$15:$P$75,F$4,0)+VLOOKUP($B24,'Financ 2'!$B$15:$P$75,F$4,0)+VLOOKUP($B24,'Financ 3'!$B$15:$P$75,F$4,0)</f>
        <v>0</v>
      </c>
    </row>
    <row r="25" spans="1:6" x14ac:dyDescent="0.35">
      <c r="A25" s="43">
        <v>15</v>
      </c>
      <c r="B25" s="184">
        <v>42460</v>
      </c>
      <c r="C25" s="175">
        <f>VLOOKUP($B25,'Financ 1'!$B$15:$P$75,C$4,0)+VLOOKUP($B25,'Financ 2'!$B$15:$P$75,C$4,0)+VLOOKUP($B25,'Financ 3'!$B$15:$P$75,C$4,0)</f>
        <v>1761244</v>
      </c>
      <c r="D25" s="175">
        <f>VLOOKUP($B25,'Financ 1'!$B$15:$P$75,D$4,0)+VLOOKUP($B25,'Financ 2'!$B$15:$P$75,D$4,0)+VLOOKUP($B25,'Financ 3'!$B$15:$P$75,D$4,0)</f>
        <v>8943750</v>
      </c>
      <c r="E25" s="175">
        <f t="shared" si="0"/>
        <v>10704994</v>
      </c>
      <c r="F25" s="175">
        <f>VLOOKUP($B25,'Financ 1'!$B$15:$P$75,F$4,0)+VLOOKUP($B25,'Financ 2'!$B$15:$P$75,F$4,0)+VLOOKUP($B25,'Financ 3'!$B$15:$P$75,F$4,0)</f>
        <v>0</v>
      </c>
    </row>
    <row r="26" spans="1:6" x14ac:dyDescent="0.35">
      <c r="A26" s="43">
        <v>16</v>
      </c>
      <c r="B26" s="184">
        <v>42490</v>
      </c>
      <c r="C26" s="175">
        <f>VLOOKUP($B26,'Financ 1'!$B$15:$P$75,C$4,0)+VLOOKUP($B26,'Financ 2'!$B$15:$P$75,C$4,0)+VLOOKUP($B26,'Financ 3'!$B$15:$P$75,C$4,0)</f>
        <v>1643334</v>
      </c>
      <c r="D26" s="175">
        <f>VLOOKUP($B26,'Financ 1'!$B$15:$P$75,D$4,0)+VLOOKUP($B26,'Financ 2'!$B$15:$P$75,D$4,0)+VLOOKUP($B26,'Financ 3'!$B$15:$P$75,D$4,0)</f>
        <v>8943750</v>
      </c>
      <c r="E26" s="175">
        <f t="shared" si="0"/>
        <v>10587084</v>
      </c>
      <c r="F26" s="175">
        <f>VLOOKUP($B26,'Financ 1'!$B$15:$P$75,F$4,0)+VLOOKUP($B26,'Financ 2'!$B$15:$P$75,F$4,0)+VLOOKUP($B26,'Financ 3'!$B$15:$P$75,F$4,0)</f>
        <v>0</v>
      </c>
    </row>
    <row r="27" spans="1:6" x14ac:dyDescent="0.35">
      <c r="A27" s="43">
        <v>17</v>
      </c>
      <c r="B27" s="184">
        <v>42521</v>
      </c>
      <c r="C27" s="175">
        <f>VLOOKUP($B27,'Financ 1'!$B$15:$P$75,C$4,0)+VLOOKUP($B27,'Financ 2'!$B$15:$P$75,C$4,0)+VLOOKUP($B27,'Financ 3'!$B$15:$P$75,C$4,0)</f>
        <v>1565080</v>
      </c>
      <c r="D27" s="175">
        <f>VLOOKUP($B27,'Financ 1'!$B$15:$P$75,D$4,0)+VLOOKUP($B27,'Financ 2'!$B$15:$P$75,D$4,0)+VLOOKUP($B27,'Financ 3'!$B$15:$P$75,D$4,0)</f>
        <v>8943750</v>
      </c>
      <c r="E27" s="175">
        <f t="shared" si="0"/>
        <v>10508830</v>
      </c>
      <c r="F27" s="175">
        <f>VLOOKUP($B27,'Financ 1'!$B$15:$P$75,F$4,0)+VLOOKUP($B27,'Financ 2'!$B$15:$P$75,F$4,0)+VLOOKUP($B27,'Financ 3'!$B$15:$P$75,F$4,0)</f>
        <v>4000000</v>
      </c>
    </row>
    <row r="28" spans="1:6" x14ac:dyDescent="0.35">
      <c r="A28" s="43">
        <v>18</v>
      </c>
      <c r="B28" s="184">
        <v>42551</v>
      </c>
      <c r="C28" s="175">
        <f>VLOOKUP($B28,'Financ 1'!$B$15:$P$75,C$4,0)+VLOOKUP($B28,'Financ 2'!$B$15:$P$75,C$4,0)+VLOOKUP($B28,'Financ 3'!$B$15:$P$75,C$4,0)</f>
        <v>1533105</v>
      </c>
      <c r="D28" s="175">
        <f>VLOOKUP($B28,'Financ 1'!$B$15:$P$75,D$4,0)+VLOOKUP($B28,'Financ 2'!$B$15:$P$75,D$4,0)+VLOOKUP($B28,'Financ 3'!$B$15:$P$75,D$4,0)</f>
        <v>12943750</v>
      </c>
      <c r="E28" s="175">
        <f t="shared" si="0"/>
        <v>14476855</v>
      </c>
      <c r="F28" s="175">
        <f>VLOOKUP($B28,'Financ 1'!$B$15:$P$75,F$4,0)+VLOOKUP($B28,'Financ 2'!$B$15:$P$75,F$4,0)+VLOOKUP($B28,'Financ 3'!$B$15:$P$75,F$4,0)</f>
        <v>9000000</v>
      </c>
    </row>
    <row r="29" spans="1:6" x14ac:dyDescent="0.35">
      <c r="A29" s="43">
        <v>19</v>
      </c>
      <c r="B29" s="184">
        <v>42582</v>
      </c>
      <c r="C29" s="175">
        <f>VLOOKUP($B29,'Financ 1'!$B$15:$P$75,C$4,0)+VLOOKUP($B29,'Financ 2'!$B$15:$P$75,C$4,0)+VLOOKUP($B29,'Financ 3'!$B$15:$P$75,C$4,0)</f>
        <v>1478346</v>
      </c>
      <c r="D29" s="175">
        <f>VLOOKUP($B29,'Financ 1'!$B$15:$P$75,D$4,0)+VLOOKUP($B29,'Financ 2'!$B$15:$P$75,D$4,0)+VLOOKUP($B29,'Financ 3'!$B$15:$P$75,D$4,0)</f>
        <v>17943750</v>
      </c>
      <c r="E29" s="175">
        <f t="shared" si="0"/>
        <v>19422096</v>
      </c>
      <c r="F29" s="175">
        <f>VLOOKUP($B29,'Financ 1'!$B$15:$P$75,F$4,0)+VLOOKUP($B29,'Financ 2'!$B$15:$P$75,F$4,0)+VLOOKUP($B29,'Financ 3'!$B$15:$P$75,F$4,0)</f>
        <v>5000000</v>
      </c>
    </row>
    <row r="30" spans="1:6" x14ac:dyDescent="0.35">
      <c r="A30" s="43">
        <v>20</v>
      </c>
      <c r="B30" s="184">
        <v>42613</v>
      </c>
      <c r="C30" s="175">
        <f>VLOOKUP($B30,'Financ 1'!$B$15:$P$75,C$4,0)+VLOOKUP($B30,'Financ 2'!$B$15:$P$75,C$4,0)+VLOOKUP($B30,'Financ 3'!$B$15:$P$75,C$4,0)</f>
        <v>1356436</v>
      </c>
      <c r="D30" s="175">
        <f>VLOOKUP($B30,'Financ 1'!$B$15:$P$75,D$4,0)+VLOOKUP($B30,'Financ 2'!$B$15:$P$75,D$4,0)+VLOOKUP($B30,'Financ 3'!$B$15:$P$75,D$4,0)</f>
        <v>13943750</v>
      </c>
      <c r="E30" s="175">
        <f t="shared" si="0"/>
        <v>15300186</v>
      </c>
      <c r="F30" s="175">
        <f>VLOOKUP($B30,'Financ 1'!$B$15:$P$75,F$4,0)+VLOOKUP($B30,'Financ 2'!$B$15:$P$75,F$4,0)+VLOOKUP($B30,'Financ 3'!$B$15:$P$75,F$4,0)</f>
        <v>11000000</v>
      </c>
    </row>
    <row r="31" spans="1:6" x14ac:dyDescent="0.35">
      <c r="A31" s="43">
        <v>21</v>
      </c>
      <c r="B31" s="184">
        <v>42643</v>
      </c>
      <c r="C31" s="175">
        <f>VLOOKUP($B31,'Financ 1'!$B$15:$P$75,C$4,0)+VLOOKUP($B31,'Financ 2'!$B$15:$P$75,C$4,0)+VLOOKUP($B31,'Financ 3'!$B$15:$P$75,C$4,0)</f>
        <v>1348181</v>
      </c>
      <c r="D31" s="175">
        <f>VLOOKUP($B31,'Financ 1'!$B$15:$P$75,D$4,0)+VLOOKUP($B31,'Financ 2'!$B$15:$P$75,D$4,0)+VLOOKUP($B31,'Financ 3'!$B$15:$P$75,D$4,0)</f>
        <v>19943750</v>
      </c>
      <c r="E31" s="175">
        <f t="shared" si="0"/>
        <v>21291931</v>
      </c>
      <c r="F31" s="175">
        <f>VLOOKUP($B31,'Financ 1'!$B$15:$P$75,F$4,0)+VLOOKUP($B31,'Financ 2'!$B$15:$P$75,F$4,0)+VLOOKUP($B31,'Financ 3'!$B$15:$P$75,F$4,0)</f>
        <v>6000000</v>
      </c>
    </row>
    <row r="32" spans="1:6" x14ac:dyDescent="0.35">
      <c r="A32" s="43">
        <v>22</v>
      </c>
      <c r="B32" s="184">
        <v>42674</v>
      </c>
      <c r="C32" s="175">
        <f>VLOOKUP($B32,'Financ 1'!$B$15:$P$75,C$4,0)+VLOOKUP($B32,'Financ 2'!$B$15:$P$75,C$4,0)+VLOOKUP($B32,'Financ 3'!$B$15:$P$75,C$4,0)</f>
        <v>1186523</v>
      </c>
      <c r="D32" s="175">
        <f>VLOOKUP($B32,'Financ 1'!$B$15:$P$75,D$4,0)+VLOOKUP($B32,'Financ 2'!$B$15:$P$75,D$4,0)+VLOOKUP($B32,'Financ 3'!$B$15:$P$75,D$4,0)</f>
        <v>14943750</v>
      </c>
      <c r="E32" s="175">
        <f t="shared" si="0"/>
        <v>16130273</v>
      </c>
      <c r="F32" s="175">
        <f>VLOOKUP($B32,'Financ 1'!$B$15:$P$75,F$4,0)+VLOOKUP($B32,'Financ 2'!$B$15:$P$75,F$4,0)+VLOOKUP($B32,'Financ 3'!$B$15:$P$75,F$4,0)</f>
        <v>12000000</v>
      </c>
    </row>
    <row r="33" spans="1:6" x14ac:dyDescent="0.35">
      <c r="A33" s="43">
        <v>23</v>
      </c>
      <c r="B33" s="184">
        <v>42704</v>
      </c>
      <c r="C33" s="175">
        <f>VLOOKUP($B33,'Financ 1'!$B$15:$P$75,C$4,0)+VLOOKUP($B33,'Financ 2'!$B$15:$P$75,C$4,0)+VLOOKUP($B33,'Financ 3'!$B$15:$P$75,C$4,0)</f>
        <v>1178851</v>
      </c>
      <c r="D33" s="175">
        <f>VLOOKUP($B33,'Financ 1'!$B$15:$P$75,D$4,0)+VLOOKUP($B33,'Financ 2'!$B$15:$P$75,D$4,0)+VLOOKUP($B33,'Financ 3'!$B$15:$P$75,D$4,0)</f>
        <v>20943750</v>
      </c>
      <c r="E33" s="175">
        <f t="shared" si="0"/>
        <v>22122601</v>
      </c>
      <c r="F33" s="175">
        <f>VLOOKUP($B33,'Financ 1'!$B$15:$P$75,F$4,0)+VLOOKUP($B33,'Financ 2'!$B$15:$P$75,F$4,0)+VLOOKUP($B33,'Financ 3'!$B$15:$P$75,F$4,0)</f>
        <v>10000000</v>
      </c>
    </row>
    <row r="34" spans="1:6" x14ac:dyDescent="0.35">
      <c r="A34" s="43">
        <v>24</v>
      </c>
      <c r="B34" s="184">
        <v>42735</v>
      </c>
      <c r="C34" s="175">
        <f>VLOOKUP($B34,'Financ 1'!$B$15:$P$75,C$4,0)+VLOOKUP($B34,'Financ 2'!$B$15:$P$75,C$4,0)+VLOOKUP($B34,'Financ 3'!$B$15:$P$75,C$4,0)</f>
        <v>1081892</v>
      </c>
      <c r="D34" s="175">
        <f>VLOOKUP($B34,'Financ 1'!$B$15:$P$75,D$4,0)+VLOOKUP($B34,'Financ 2'!$B$15:$P$75,D$4,0)+VLOOKUP($B34,'Financ 3'!$B$15:$P$75,D$4,0)</f>
        <v>18943750</v>
      </c>
      <c r="E34" s="175">
        <f t="shared" si="0"/>
        <v>20025642</v>
      </c>
      <c r="F34" s="175">
        <f>VLOOKUP($B34,'Financ 1'!$B$15:$P$75,F$4,0)+VLOOKUP($B34,'Financ 2'!$B$15:$P$75,F$4,0)+VLOOKUP($B34,'Financ 3'!$B$15:$P$75,F$4,0)</f>
        <v>76000000</v>
      </c>
    </row>
    <row r="35" spans="1:6" x14ac:dyDescent="0.35">
      <c r="A35" s="43">
        <v>25</v>
      </c>
      <c r="B35" s="184">
        <v>42766</v>
      </c>
      <c r="C35" s="175">
        <f>VLOOKUP($B35,'Financ 1'!$B$15:$P$75,C$4,0)+VLOOKUP($B35,'Financ 2'!$B$15:$P$75,C$4,0)+VLOOKUP($B35,'Financ 3'!$B$15:$P$75,C$4,0)</f>
        <v>1781141</v>
      </c>
      <c r="D35" s="175">
        <f>VLOOKUP($B35,'Financ 1'!$B$15:$P$75,D$4,0)+VLOOKUP($B35,'Financ 2'!$B$15:$P$75,D$4,0)+VLOOKUP($B35,'Financ 3'!$B$15:$P$75,D$4,0)</f>
        <v>84943750</v>
      </c>
      <c r="E35" s="175">
        <f t="shared" si="0"/>
        <v>86724891</v>
      </c>
      <c r="F35" s="175">
        <f>VLOOKUP($B35,'Financ 1'!$B$15:$P$75,F$4,0)+VLOOKUP($B35,'Financ 2'!$B$15:$P$75,F$4,0)+VLOOKUP($B35,'Financ 3'!$B$15:$P$75,F$4,0)</f>
        <v>28000000</v>
      </c>
    </row>
    <row r="36" spans="1:6" x14ac:dyDescent="0.35">
      <c r="A36" s="43">
        <v>26</v>
      </c>
      <c r="B36" s="184">
        <v>42794</v>
      </c>
      <c r="C36" s="175">
        <f>VLOOKUP($B36,'Financ 1'!$B$15:$P$75,C$4,0)+VLOOKUP($B36,'Financ 2'!$B$15:$P$75,C$4,0)+VLOOKUP($B36,'Financ 3'!$B$15:$P$75,C$4,0)</f>
        <v>1159155</v>
      </c>
      <c r="D36" s="175">
        <f>VLOOKUP($B36,'Financ 1'!$B$15:$P$75,D$4,0)+VLOOKUP($B36,'Financ 2'!$B$15:$P$75,D$4,0)+VLOOKUP($B36,'Financ 3'!$B$15:$P$75,D$4,0)</f>
        <v>36943750</v>
      </c>
      <c r="E36" s="175">
        <f t="shared" si="0"/>
        <v>38102905</v>
      </c>
      <c r="F36" s="175">
        <f>VLOOKUP($B36,'Financ 1'!$B$15:$P$75,F$4,0)+VLOOKUP($B36,'Financ 2'!$B$15:$P$75,F$4,0)+VLOOKUP($B36,'Financ 3'!$B$15:$P$75,F$4,0)</f>
        <v>76000000</v>
      </c>
    </row>
    <row r="37" spans="1:6" x14ac:dyDescent="0.35">
      <c r="A37" s="43">
        <v>27</v>
      </c>
      <c r="B37" s="184">
        <v>42825</v>
      </c>
      <c r="C37" s="175">
        <f>VLOOKUP($B37,'Financ 1'!$B$15:$P$75,C$4,0)+VLOOKUP($B37,'Financ 2'!$B$15:$P$75,C$4,0)+VLOOKUP($B37,'Financ 3'!$B$15:$P$75,C$4,0)</f>
        <v>1628246</v>
      </c>
      <c r="D37" s="175">
        <f>VLOOKUP($B37,'Financ 1'!$B$15:$P$75,D$4,0)+VLOOKUP($B37,'Financ 2'!$B$15:$P$75,D$4,0)+VLOOKUP($B37,'Financ 3'!$B$15:$P$75,D$4,0)</f>
        <v>84943750</v>
      </c>
      <c r="E37" s="175">
        <f t="shared" si="0"/>
        <v>86571996</v>
      </c>
      <c r="F37" s="175">
        <f>VLOOKUP($B37,'Financ 1'!$B$15:$P$75,F$4,0)+VLOOKUP($B37,'Financ 2'!$B$15:$P$75,F$4,0)+VLOOKUP($B37,'Financ 3'!$B$15:$P$75,F$4,0)</f>
        <v>28000000</v>
      </c>
    </row>
    <row r="38" spans="1:6" x14ac:dyDescent="0.35">
      <c r="A38" s="43">
        <v>28</v>
      </c>
      <c r="B38" s="184">
        <v>42855</v>
      </c>
      <c r="C38" s="175">
        <f>VLOOKUP($B38,'Financ 1'!$B$15:$P$75,C$4,0)+VLOOKUP($B38,'Financ 2'!$B$15:$P$75,C$4,0)+VLOOKUP($B38,'Financ 3'!$B$15:$P$75,C$4,0)</f>
        <v>984236</v>
      </c>
      <c r="D38" s="175">
        <f>VLOOKUP($B38,'Financ 1'!$B$15:$P$75,D$4,0)+VLOOKUP($B38,'Financ 2'!$B$15:$P$75,D$4,0)+VLOOKUP($B38,'Financ 3'!$B$15:$P$75,D$4,0)</f>
        <v>36943750</v>
      </c>
      <c r="E38" s="175">
        <f t="shared" si="0"/>
        <v>37927986</v>
      </c>
      <c r="F38" s="175">
        <f>VLOOKUP($B38,'Financ 1'!$B$15:$P$75,F$4,0)+VLOOKUP($B38,'Financ 2'!$B$15:$P$75,F$4,0)+VLOOKUP($B38,'Financ 3'!$B$15:$P$75,F$4,0)</f>
        <v>79000000</v>
      </c>
    </row>
    <row r="39" spans="1:6" x14ac:dyDescent="0.35">
      <c r="A39" s="43">
        <v>29</v>
      </c>
      <c r="B39" s="184">
        <v>42886</v>
      </c>
      <c r="C39" s="175">
        <f>VLOOKUP($B39,'Financ 1'!$B$15:$P$75,C$4,0)+VLOOKUP($B39,'Financ 2'!$B$15:$P$75,C$4,0)+VLOOKUP($B39,'Financ 3'!$B$15:$P$75,C$4,0)</f>
        <v>1478795</v>
      </c>
      <c r="D39" s="175">
        <f>VLOOKUP($B39,'Financ 1'!$B$15:$P$75,D$4,0)+VLOOKUP($B39,'Financ 2'!$B$15:$P$75,D$4,0)+VLOOKUP($B39,'Financ 3'!$B$15:$P$75,D$4,0)</f>
        <v>87943750</v>
      </c>
      <c r="E39" s="175">
        <f t="shared" si="0"/>
        <v>89422545</v>
      </c>
      <c r="F39" s="175">
        <f>VLOOKUP($B39,'Financ 1'!$B$15:$P$75,F$4,0)+VLOOKUP($B39,'Financ 2'!$B$15:$P$75,F$4,0)+VLOOKUP($B39,'Financ 3'!$B$15:$P$75,F$4,0)</f>
        <v>30000000</v>
      </c>
    </row>
    <row r="40" spans="1:6" x14ac:dyDescent="0.35">
      <c r="A40" s="43">
        <v>30</v>
      </c>
      <c r="B40" s="184">
        <v>42916</v>
      </c>
      <c r="C40" s="175">
        <f>VLOOKUP($B40,'Financ 1'!$B$15:$P$75,C$4,0)+VLOOKUP($B40,'Financ 2'!$B$15:$P$75,C$4,0)+VLOOKUP($B40,'Financ 3'!$B$15:$P$75,C$4,0)</f>
        <v>857282</v>
      </c>
      <c r="D40" s="175">
        <f>VLOOKUP($B40,'Financ 1'!$B$15:$P$75,D$4,0)+VLOOKUP($B40,'Financ 2'!$B$15:$P$75,D$4,0)+VLOOKUP($B40,'Financ 3'!$B$15:$P$75,D$4,0)</f>
        <v>38943750</v>
      </c>
      <c r="E40" s="175">
        <f t="shared" si="0"/>
        <v>39801032</v>
      </c>
      <c r="F40" s="175">
        <f>VLOOKUP($B40,'Financ 1'!$B$15:$P$75,F$4,0)+VLOOKUP($B40,'Financ 2'!$B$15:$P$75,F$4,0)+VLOOKUP($B40,'Financ 3'!$B$15:$P$75,F$4,0)</f>
        <v>89000000</v>
      </c>
    </row>
    <row r="41" spans="1:6" x14ac:dyDescent="0.35">
      <c r="A41" s="43">
        <v>31</v>
      </c>
      <c r="B41" s="184">
        <v>42947</v>
      </c>
      <c r="C41" s="175">
        <f>VLOOKUP($B41,'Financ 1'!$B$15:$P$75,C$4,0)+VLOOKUP($B41,'Financ 2'!$B$15:$P$75,C$4,0)+VLOOKUP($B41,'Financ 3'!$B$15:$P$75,C$4,0)</f>
        <v>1411985</v>
      </c>
      <c r="D41" s="175">
        <f>VLOOKUP($B41,'Financ 1'!$B$15:$P$75,D$4,0)+VLOOKUP($B41,'Financ 2'!$B$15:$P$75,D$4,0)+VLOOKUP($B41,'Financ 3'!$B$15:$P$75,D$4,0)</f>
        <v>97943750</v>
      </c>
      <c r="E41" s="175">
        <f t="shared" si="0"/>
        <v>99355735</v>
      </c>
      <c r="F41" s="175">
        <f>VLOOKUP($B41,'Financ 1'!$B$15:$P$75,F$4,0)+VLOOKUP($B41,'Financ 2'!$B$15:$P$75,F$4,0)+VLOOKUP($B41,'Financ 3'!$B$15:$P$75,F$4,0)</f>
        <v>30000000</v>
      </c>
    </row>
    <row r="42" spans="1:6" x14ac:dyDescent="0.35">
      <c r="A42" s="43">
        <v>32</v>
      </c>
      <c r="B42" s="184">
        <v>42978</v>
      </c>
      <c r="C42" s="175">
        <f>VLOOKUP($B42,'Financ 1'!$B$15:$P$75,C$4,0)+VLOOKUP($B42,'Financ 2'!$B$15:$P$75,C$4,0)+VLOOKUP($B42,'Financ 3'!$B$15:$P$75,C$4,0)</f>
        <v>692783</v>
      </c>
      <c r="D42" s="175">
        <f>VLOOKUP($B42,'Financ 1'!$B$15:$P$75,D$4,0)+VLOOKUP($B42,'Financ 2'!$B$15:$P$75,D$4,0)+VLOOKUP($B42,'Financ 3'!$B$15:$P$75,D$4,0)</f>
        <v>38943750</v>
      </c>
      <c r="E42" s="175">
        <f t="shared" si="0"/>
        <v>39636533</v>
      </c>
      <c r="F42" s="175">
        <f>VLOOKUP($B42,'Financ 1'!$B$15:$P$75,F$4,0)+VLOOKUP($B42,'Financ 2'!$B$15:$P$75,F$4,0)+VLOOKUP($B42,'Financ 3'!$B$15:$P$75,F$4,0)</f>
        <v>89000000</v>
      </c>
    </row>
    <row r="43" spans="1:6" x14ac:dyDescent="0.35">
      <c r="A43" s="43">
        <v>33</v>
      </c>
      <c r="B43" s="184">
        <v>43008</v>
      </c>
      <c r="C43" s="175">
        <f>VLOOKUP($B43,'Financ 1'!$B$15:$P$75,C$4,0)+VLOOKUP($B43,'Financ 2'!$B$15:$P$75,C$4,0)+VLOOKUP($B43,'Financ 3'!$B$15:$P$75,C$4,0)</f>
        <v>1266339</v>
      </c>
      <c r="D43" s="175">
        <f>VLOOKUP($B43,'Financ 1'!$B$15:$P$75,D$4,0)+VLOOKUP($B43,'Financ 2'!$B$15:$P$75,D$4,0)+VLOOKUP($B43,'Financ 3'!$B$15:$P$75,D$4,0)</f>
        <v>97943750</v>
      </c>
      <c r="E43" s="175">
        <f t="shared" si="0"/>
        <v>99210089</v>
      </c>
      <c r="F43" s="175">
        <f>VLOOKUP($B43,'Financ 1'!$B$15:$P$75,F$4,0)+VLOOKUP($B43,'Financ 2'!$B$15:$P$75,F$4,0)+VLOOKUP($B43,'Financ 3'!$B$15:$P$75,F$4,0)</f>
        <v>30000000</v>
      </c>
    </row>
    <row r="44" spans="1:6" x14ac:dyDescent="0.35">
      <c r="A44" s="43">
        <v>34</v>
      </c>
      <c r="B44" s="184">
        <v>43039</v>
      </c>
      <c r="C44" s="175">
        <f>VLOOKUP($B44,'Financ 1'!$B$15:$P$75,C$4,0)+VLOOKUP($B44,'Financ 2'!$B$15:$P$75,C$4,0)+VLOOKUP($B44,'Financ 3'!$B$15:$P$75,C$4,0)</f>
        <v>535514</v>
      </c>
      <c r="D44" s="175">
        <f>VLOOKUP($B44,'Financ 1'!$B$15:$P$75,D$4,0)+VLOOKUP($B44,'Financ 2'!$B$15:$P$75,D$4,0)+VLOOKUP($B44,'Financ 3'!$B$15:$P$75,D$4,0)</f>
        <v>38943750</v>
      </c>
      <c r="E44" s="175">
        <f t="shared" si="0"/>
        <v>39479264</v>
      </c>
      <c r="F44" s="175">
        <f>VLOOKUP($B44,'Financ 1'!$B$15:$P$75,F$4,0)+VLOOKUP($B44,'Financ 2'!$B$15:$P$75,F$4,0)+VLOOKUP($B44,'Financ 3'!$B$15:$P$75,F$4,0)</f>
        <v>89000000</v>
      </c>
    </row>
    <row r="45" spans="1:6" x14ac:dyDescent="0.35">
      <c r="A45" s="43">
        <v>35</v>
      </c>
      <c r="B45" s="184">
        <v>43069</v>
      </c>
      <c r="C45" s="175">
        <f>VLOOKUP($B45,'Financ 1'!$B$15:$P$75,C$4,0)+VLOOKUP($B45,'Financ 2'!$B$15:$P$75,C$4,0)+VLOOKUP($B45,'Financ 3'!$B$15:$P$75,C$4,0)</f>
        <v>1098761</v>
      </c>
      <c r="D45" s="175">
        <f>VLOOKUP($B45,'Financ 1'!$B$15:$P$75,D$4,0)+VLOOKUP($B45,'Financ 2'!$B$15:$P$75,D$4,0)+VLOOKUP($B45,'Financ 3'!$B$15:$P$75,D$4,0)</f>
        <v>97943750</v>
      </c>
      <c r="E45" s="175">
        <f t="shared" si="0"/>
        <v>99042511</v>
      </c>
      <c r="F45" s="175">
        <f>VLOOKUP($B45,'Financ 1'!$B$15:$P$75,F$4,0)+VLOOKUP($B45,'Financ 2'!$B$15:$P$75,F$4,0)+VLOOKUP($B45,'Financ 3'!$B$15:$P$75,F$4,0)</f>
        <v>32000000</v>
      </c>
    </row>
    <row r="46" spans="1:6" x14ac:dyDescent="0.35">
      <c r="A46" s="43">
        <v>36</v>
      </c>
      <c r="B46" s="184">
        <v>43100</v>
      </c>
      <c r="C46" s="175">
        <f>VLOOKUP($B46,'Financ 1'!$B$15:$P$75,C$4,0)+VLOOKUP($B46,'Financ 2'!$B$15:$P$75,C$4,0)+VLOOKUP($B46,'Financ 3'!$B$15:$P$75,C$4,0)</f>
        <v>415006</v>
      </c>
      <c r="D46" s="175">
        <f>VLOOKUP($B46,'Financ 1'!$B$15:$P$75,D$4,0)+VLOOKUP($B46,'Financ 2'!$B$15:$P$75,D$4,0)+VLOOKUP($B46,'Financ 3'!$B$15:$P$75,D$4,0)</f>
        <v>40943750</v>
      </c>
      <c r="E46" s="175">
        <f t="shared" si="0"/>
        <v>41358756</v>
      </c>
      <c r="F46" s="175">
        <f>VLOOKUP($B46,'Financ 1'!$B$15:$P$75,F$4,0)+VLOOKUP($B46,'Financ 2'!$B$15:$P$75,F$4,0)+VLOOKUP($B46,'Financ 3'!$B$15:$P$75,F$4,0)</f>
        <v>119000000</v>
      </c>
    </row>
    <row r="47" spans="1:6" x14ac:dyDescent="0.35">
      <c r="A47" s="43">
        <v>37</v>
      </c>
      <c r="B47" s="184">
        <v>43131</v>
      </c>
      <c r="C47" s="175">
        <f>VLOOKUP($B47,'Financ 1'!$B$15:$P$75,C$4,0)+VLOOKUP($B47,'Financ 2'!$B$15:$P$75,C$4,0)+VLOOKUP($B47,'Financ 3'!$B$15:$P$75,C$4,0)</f>
        <v>1303715</v>
      </c>
      <c r="D47" s="175">
        <f>VLOOKUP($B47,'Financ 1'!$B$15:$P$75,D$4,0)+VLOOKUP($B47,'Financ 2'!$B$15:$P$75,D$4,0)+VLOOKUP($B47,'Financ 3'!$B$15:$P$75,D$4,0)</f>
        <v>119000000</v>
      </c>
      <c r="E47" s="175">
        <f t="shared" si="0"/>
        <v>120303715</v>
      </c>
      <c r="F47" s="175">
        <f>VLOOKUP($B47,'Financ 1'!$B$15:$P$75,F$4,0)+VLOOKUP($B47,'Financ 2'!$B$15:$P$75,F$4,0)+VLOOKUP($B47,'Financ 3'!$B$15:$P$75,F$4,0)</f>
        <v>41000000</v>
      </c>
    </row>
    <row r="48" spans="1:6" x14ac:dyDescent="0.35">
      <c r="A48" s="43">
        <v>38</v>
      </c>
      <c r="B48" s="184">
        <v>43159</v>
      </c>
      <c r="C48" s="175">
        <f>VLOOKUP($B48,'Financ 1'!$B$15:$P$75,C$4,0)+VLOOKUP($B48,'Financ 2'!$B$15:$P$75,C$4,0)+VLOOKUP($B48,'Financ 3'!$B$15:$P$75,C$4,0)</f>
        <v>449179</v>
      </c>
      <c r="D48" s="175">
        <f>VLOOKUP($B48,'Financ 1'!$B$15:$P$75,D$4,0)+VLOOKUP($B48,'Financ 2'!$B$15:$P$75,D$4,0)+VLOOKUP($B48,'Financ 3'!$B$15:$P$75,D$4,0)</f>
        <v>41000000</v>
      </c>
      <c r="E48" s="175">
        <f t="shared" si="0"/>
        <v>41449179</v>
      </c>
      <c r="F48" s="175">
        <f>VLOOKUP($B48,'Financ 1'!$B$15:$P$75,F$4,0)+VLOOKUP($B48,'Financ 2'!$B$15:$P$75,F$4,0)+VLOOKUP($B48,'Financ 3'!$B$15:$P$75,F$4,0)</f>
        <v>109000000</v>
      </c>
    </row>
    <row r="49" spans="1:6" x14ac:dyDescent="0.35">
      <c r="A49" s="43">
        <v>39</v>
      </c>
      <c r="B49" s="184">
        <v>43190</v>
      </c>
      <c r="C49" s="175">
        <f>VLOOKUP($B49,'Financ 1'!$B$15:$P$75,C$4,0)+VLOOKUP($B49,'Financ 2'!$B$15:$P$75,C$4,0)+VLOOKUP($B49,'Financ 3'!$B$15:$P$75,C$4,0)</f>
        <v>1194159</v>
      </c>
      <c r="D49" s="175">
        <f>VLOOKUP($B49,'Financ 1'!$B$15:$P$75,D$4,0)+VLOOKUP($B49,'Financ 2'!$B$15:$P$75,D$4,0)+VLOOKUP($B49,'Financ 3'!$B$15:$P$75,D$4,0)</f>
        <v>109000000</v>
      </c>
      <c r="E49" s="175">
        <f t="shared" si="0"/>
        <v>110194159</v>
      </c>
      <c r="F49" s="175">
        <f>VLOOKUP($B49,'Financ 1'!$B$15:$P$75,F$4,0)+VLOOKUP($B49,'Financ 2'!$B$15:$P$75,F$4,0)+VLOOKUP($B49,'Financ 3'!$B$15:$P$75,F$4,0)</f>
        <v>30000000</v>
      </c>
    </row>
    <row r="50" spans="1:6" x14ac:dyDescent="0.35">
      <c r="A50" s="43">
        <v>40</v>
      </c>
      <c r="B50" s="184">
        <v>43220</v>
      </c>
      <c r="C50" s="175">
        <f>VLOOKUP($B50,'Financ 1'!$B$15:$P$75,C$4,0)+VLOOKUP($B50,'Financ 2'!$B$15:$P$75,C$4,0)+VLOOKUP($B50,'Financ 3'!$B$15:$P$75,C$4,0)</f>
        <v>322500</v>
      </c>
      <c r="D50" s="175">
        <f>VLOOKUP($B50,'Financ 1'!$B$15:$P$75,D$4,0)+VLOOKUP($B50,'Financ 2'!$B$15:$P$75,D$4,0)+VLOOKUP($B50,'Financ 3'!$B$15:$P$75,D$4,0)</f>
        <v>30000000</v>
      </c>
      <c r="E50" s="175">
        <f t="shared" si="0"/>
        <v>30322500</v>
      </c>
      <c r="F50" s="175">
        <f>VLOOKUP($B50,'Financ 1'!$B$15:$P$75,F$4,0)+VLOOKUP($B50,'Financ 2'!$B$15:$P$75,F$4,0)+VLOOKUP($B50,'Financ 3'!$B$15:$P$75,F$4,0)</f>
        <v>103000000</v>
      </c>
    </row>
    <row r="51" spans="1:6" x14ac:dyDescent="0.35">
      <c r="A51" s="43">
        <v>41</v>
      </c>
      <c r="B51" s="184">
        <v>43251</v>
      </c>
      <c r="C51" s="175">
        <f>VLOOKUP($B51,'Financ 1'!$B$15:$P$75,C$4,0)+VLOOKUP($B51,'Financ 2'!$B$15:$P$75,C$4,0)+VLOOKUP($B51,'Financ 3'!$B$15:$P$75,C$4,0)</f>
        <v>1107252</v>
      </c>
      <c r="D51" s="175">
        <f>VLOOKUP($B51,'Financ 1'!$B$15:$P$75,D$4,0)+VLOOKUP($B51,'Financ 2'!$B$15:$P$75,D$4,0)+VLOOKUP($B51,'Financ 3'!$B$15:$P$75,D$4,0)</f>
        <v>103000000</v>
      </c>
      <c r="E51" s="175">
        <f t="shared" si="0"/>
        <v>104107252</v>
      </c>
      <c r="F51" s="175">
        <f>VLOOKUP($B51,'Financ 1'!$B$15:$P$75,F$4,0)+VLOOKUP($B51,'Financ 2'!$B$15:$P$75,F$4,0)+VLOOKUP($B51,'Financ 3'!$B$15:$P$75,F$4,0)</f>
        <v>21000000</v>
      </c>
    </row>
    <row r="52" spans="1:6" x14ac:dyDescent="0.35">
      <c r="A52" s="43">
        <v>42</v>
      </c>
      <c r="B52" s="184">
        <v>43281</v>
      </c>
      <c r="C52" s="175">
        <f>VLOOKUP($B52,'Financ 1'!$B$15:$P$75,C$4,0)+VLOOKUP($B52,'Financ 2'!$B$15:$P$75,C$4,0)+VLOOKUP($B52,'Financ 3'!$B$15:$P$75,C$4,0)</f>
        <v>225750</v>
      </c>
      <c r="D52" s="175">
        <f>VLOOKUP($B52,'Financ 1'!$B$15:$P$75,D$4,0)+VLOOKUP($B52,'Financ 2'!$B$15:$P$75,D$4,0)+VLOOKUP($B52,'Financ 3'!$B$15:$P$75,D$4,0)</f>
        <v>21000000</v>
      </c>
      <c r="E52" s="175">
        <f t="shared" si="0"/>
        <v>21225750</v>
      </c>
      <c r="F52" s="175">
        <f>VLOOKUP($B52,'Financ 1'!$B$15:$P$75,F$4,0)+VLOOKUP($B52,'Financ 2'!$B$15:$P$75,F$4,0)+VLOOKUP($B52,'Financ 3'!$B$15:$P$75,F$4,0)</f>
        <v>106000000</v>
      </c>
    </row>
    <row r="53" spans="1:6" x14ac:dyDescent="0.35">
      <c r="A53" s="43">
        <v>43</v>
      </c>
      <c r="B53" s="184">
        <v>43312</v>
      </c>
      <c r="C53" s="175">
        <f>VLOOKUP($B53,'Financ 1'!$B$15:$P$75,C$4,0)+VLOOKUP($B53,'Financ 2'!$B$15:$P$75,C$4,0)+VLOOKUP($B53,'Financ 3'!$B$15:$P$75,C$4,0)</f>
        <v>1139502</v>
      </c>
      <c r="D53" s="175">
        <f>VLOOKUP($B53,'Financ 1'!$B$15:$P$75,D$4,0)+VLOOKUP($B53,'Financ 2'!$B$15:$P$75,D$4,0)+VLOOKUP($B53,'Financ 3'!$B$15:$P$75,D$4,0)</f>
        <v>106000000</v>
      </c>
      <c r="E53" s="175">
        <f t="shared" si="0"/>
        <v>107139502</v>
      </c>
      <c r="F53" s="175">
        <f>VLOOKUP($B53,'Financ 1'!$B$15:$P$75,F$4,0)+VLOOKUP($B53,'Financ 2'!$B$15:$P$75,F$4,0)+VLOOKUP($B53,'Financ 3'!$B$15:$P$75,F$4,0)</f>
        <v>10000000</v>
      </c>
    </row>
    <row r="54" spans="1:6" x14ac:dyDescent="0.35">
      <c r="A54" s="43">
        <v>44</v>
      </c>
      <c r="B54" s="184">
        <v>43343</v>
      </c>
      <c r="C54" s="175">
        <f>VLOOKUP($B54,'Financ 1'!$B$15:$P$75,C$4,0)+VLOOKUP($B54,'Financ 2'!$B$15:$P$75,C$4,0)+VLOOKUP($B54,'Financ 3'!$B$15:$P$75,C$4,0)</f>
        <v>107500</v>
      </c>
      <c r="D54" s="175">
        <f>VLOOKUP($B54,'Financ 1'!$B$15:$P$75,D$4,0)+VLOOKUP($B54,'Financ 2'!$B$15:$P$75,D$4,0)+VLOOKUP($B54,'Financ 3'!$B$15:$P$75,D$4,0)</f>
        <v>10000000</v>
      </c>
      <c r="E54" s="175">
        <f t="shared" si="0"/>
        <v>10107500</v>
      </c>
      <c r="F54" s="175">
        <f>VLOOKUP($B54,'Financ 1'!$B$15:$P$75,F$4,0)+VLOOKUP($B54,'Financ 2'!$B$15:$P$75,F$4,0)+VLOOKUP($B54,'Financ 3'!$B$15:$P$75,F$4,0)</f>
        <v>95000000</v>
      </c>
    </row>
    <row r="55" spans="1:6" x14ac:dyDescent="0.35">
      <c r="A55" s="43">
        <v>45</v>
      </c>
      <c r="B55" s="184">
        <v>43373</v>
      </c>
      <c r="C55" s="175">
        <f>VLOOKUP($B55,'Financ 1'!$B$15:$P$75,C$4,0)+VLOOKUP($B55,'Financ 2'!$B$15:$P$75,C$4,0)+VLOOKUP($B55,'Financ 3'!$B$15:$P$75,C$4,0)</f>
        <v>1021252</v>
      </c>
      <c r="D55" s="175">
        <f>VLOOKUP($B55,'Financ 1'!$B$15:$P$75,D$4,0)+VLOOKUP($B55,'Financ 2'!$B$15:$P$75,D$4,0)+VLOOKUP($B55,'Financ 3'!$B$15:$P$75,D$4,0)</f>
        <v>95000000</v>
      </c>
      <c r="E55" s="175">
        <f t="shared" si="0"/>
        <v>96021252</v>
      </c>
      <c r="F55" s="175">
        <f>VLOOKUP($B55,'Financ 1'!$B$15:$P$75,F$4,0)+VLOOKUP($B55,'Financ 2'!$B$15:$P$75,F$4,0)+VLOOKUP($B55,'Financ 3'!$B$15:$P$75,F$4,0)</f>
        <v>0</v>
      </c>
    </row>
    <row r="56" spans="1:6" x14ac:dyDescent="0.35">
      <c r="A56" s="43">
        <v>46</v>
      </c>
      <c r="B56" s="184">
        <v>43404</v>
      </c>
      <c r="C56" s="175">
        <f>VLOOKUP($B56,'Financ 1'!$B$15:$P$75,C$4,0)+VLOOKUP($B56,'Financ 2'!$B$15:$P$75,C$4,0)+VLOOKUP($B56,'Financ 3'!$B$15:$P$75,C$4,0)</f>
        <v>0</v>
      </c>
      <c r="D56" s="175">
        <f>VLOOKUP($B56,'Financ 1'!$B$15:$P$75,D$4,0)+VLOOKUP($B56,'Financ 2'!$B$15:$P$75,D$4,0)+VLOOKUP($B56,'Financ 3'!$B$15:$P$75,D$4,0)</f>
        <v>0</v>
      </c>
      <c r="E56" s="175">
        <f t="shared" si="0"/>
        <v>0</v>
      </c>
      <c r="F56" s="175">
        <f>VLOOKUP($B56,'Financ 1'!$B$15:$P$75,F$4,0)+VLOOKUP($B56,'Financ 2'!$B$15:$P$75,F$4,0)+VLOOKUP($B56,'Financ 3'!$B$15:$P$75,F$4,0)</f>
        <v>83000000</v>
      </c>
    </row>
    <row r="57" spans="1:6" x14ac:dyDescent="0.35">
      <c r="A57" s="43">
        <v>47</v>
      </c>
      <c r="B57" s="184">
        <v>43434</v>
      </c>
      <c r="C57" s="175">
        <f>VLOOKUP($B57,'Financ 1'!$B$15:$P$75,C$4,0)+VLOOKUP($B57,'Financ 2'!$B$15:$P$75,C$4,0)+VLOOKUP($B57,'Financ 3'!$B$15:$P$75,C$4,0)</f>
        <v>892251</v>
      </c>
      <c r="D57" s="175">
        <f>VLOOKUP($B57,'Financ 1'!$B$15:$P$75,D$4,0)+VLOOKUP($B57,'Financ 2'!$B$15:$P$75,D$4,0)+VLOOKUP($B57,'Financ 3'!$B$15:$P$75,D$4,0)</f>
        <v>83000000</v>
      </c>
      <c r="E57" s="175">
        <f t="shared" si="0"/>
        <v>83892251</v>
      </c>
      <c r="F57" s="175">
        <f>VLOOKUP($B57,'Financ 1'!$B$15:$P$75,F$4,0)+VLOOKUP($B57,'Financ 2'!$B$15:$P$75,F$4,0)+VLOOKUP($B57,'Financ 3'!$B$15:$P$75,F$4,0)</f>
        <v>0</v>
      </c>
    </row>
    <row r="58" spans="1:6" x14ac:dyDescent="0.35">
      <c r="A58" s="43">
        <v>48</v>
      </c>
      <c r="B58" s="184">
        <v>43465</v>
      </c>
      <c r="C58" s="175">
        <f>VLOOKUP($B58,'Financ 1'!$B$15:$P$75,C$4,0)+VLOOKUP($B58,'Financ 2'!$B$15:$P$75,C$4,0)+VLOOKUP($B58,'Financ 3'!$B$15:$P$75,C$4,0)</f>
        <v>0</v>
      </c>
      <c r="D58" s="175">
        <f>VLOOKUP($B58,'Financ 1'!$B$15:$P$75,D$4,0)+VLOOKUP($B58,'Financ 2'!$B$15:$P$75,D$4,0)+VLOOKUP($B58,'Financ 3'!$B$15:$P$75,D$4,0)</f>
        <v>0</v>
      </c>
      <c r="E58" s="175">
        <f t="shared" si="0"/>
        <v>0</v>
      </c>
      <c r="F58" s="175">
        <f>VLOOKUP($B58,'Financ 1'!$B$15:$P$75,F$4,0)+VLOOKUP($B58,'Financ 2'!$B$15:$P$75,F$4,0)+VLOOKUP($B58,'Financ 3'!$B$15:$P$75,F$4,0)</f>
        <v>130000000</v>
      </c>
    </row>
    <row r="59" spans="1:6" x14ac:dyDescent="0.35">
      <c r="A59" s="43">
        <v>49</v>
      </c>
      <c r="B59" s="184">
        <v>43496</v>
      </c>
      <c r="C59" s="175">
        <f>VLOOKUP($B59,'Financ 1'!$B$15:$P$75,C$4,0)+VLOOKUP($B59,'Financ 2'!$B$15:$P$75,C$4,0)+VLOOKUP($B59,'Financ 3'!$B$15:$P$75,C$4,0)</f>
        <v>1397502</v>
      </c>
      <c r="D59" s="175">
        <f>VLOOKUP($B59,'Financ 1'!$B$15:$P$75,D$4,0)+VLOOKUP($B59,'Financ 2'!$B$15:$P$75,D$4,0)+VLOOKUP($B59,'Financ 3'!$B$15:$P$75,D$4,0)</f>
        <v>130000000</v>
      </c>
      <c r="E59" s="175">
        <f t="shared" si="0"/>
        <v>131397502</v>
      </c>
      <c r="F59" s="175">
        <f>VLOOKUP($B59,'Financ 1'!$B$15:$P$75,F$4,0)+VLOOKUP($B59,'Financ 2'!$B$15:$P$75,F$4,0)+VLOOKUP($B59,'Financ 3'!$B$15:$P$75,F$4,0)</f>
        <v>2000000</v>
      </c>
    </row>
    <row r="60" spans="1:6" x14ac:dyDescent="0.35">
      <c r="A60" s="43">
        <v>50</v>
      </c>
      <c r="B60" s="184">
        <v>43524</v>
      </c>
      <c r="C60" s="175">
        <f>VLOOKUP($B60,'Financ 1'!$B$15:$P$75,C$4,0)+VLOOKUP($B60,'Financ 2'!$B$15:$P$75,C$4,0)+VLOOKUP($B60,'Financ 3'!$B$15:$P$75,C$4,0)</f>
        <v>21500</v>
      </c>
      <c r="D60" s="175">
        <f>VLOOKUP($B60,'Financ 1'!$B$15:$P$75,D$4,0)+VLOOKUP($B60,'Financ 2'!$B$15:$P$75,D$4,0)+VLOOKUP($B60,'Financ 3'!$B$15:$P$75,D$4,0)</f>
        <v>2000000</v>
      </c>
      <c r="E60" s="175">
        <f t="shared" si="0"/>
        <v>2021500</v>
      </c>
      <c r="F60" s="175">
        <f>VLOOKUP($B60,'Financ 1'!$B$15:$P$75,F$4,0)+VLOOKUP($B60,'Financ 2'!$B$15:$P$75,F$4,0)+VLOOKUP($B60,'Financ 3'!$B$15:$P$75,F$4,0)</f>
        <v>119000000</v>
      </c>
    </row>
    <row r="61" spans="1:6" x14ac:dyDescent="0.35">
      <c r="A61" s="43">
        <v>51</v>
      </c>
      <c r="B61" s="184">
        <v>43555</v>
      </c>
      <c r="C61" s="175">
        <f>VLOOKUP($B61,'Financ 1'!$B$15:$P$75,C$4,0)+VLOOKUP($B61,'Financ 2'!$B$15:$P$75,C$4,0)+VLOOKUP($B61,'Financ 3'!$B$15:$P$75,C$4,0)</f>
        <v>1279252</v>
      </c>
      <c r="D61" s="175">
        <f>VLOOKUP($B61,'Financ 1'!$B$15:$P$75,D$4,0)+VLOOKUP($B61,'Financ 2'!$B$15:$P$75,D$4,0)+VLOOKUP($B61,'Financ 3'!$B$15:$P$75,D$4,0)</f>
        <v>119000000</v>
      </c>
      <c r="E61" s="175">
        <f t="shared" si="0"/>
        <v>120279252</v>
      </c>
      <c r="F61" s="175">
        <f>VLOOKUP($B61,'Financ 1'!$B$15:$P$75,F$4,0)+VLOOKUP($B61,'Financ 2'!$B$15:$P$75,F$4,0)+VLOOKUP($B61,'Financ 3'!$B$15:$P$75,F$4,0)</f>
        <v>0</v>
      </c>
    </row>
    <row r="62" spans="1:6" x14ac:dyDescent="0.35">
      <c r="A62" s="43">
        <v>52</v>
      </c>
      <c r="B62" s="184">
        <v>43585</v>
      </c>
      <c r="C62" s="175">
        <f>VLOOKUP($B62,'Financ 1'!$B$15:$P$75,C$4,0)+VLOOKUP($B62,'Financ 2'!$B$15:$P$75,C$4,0)+VLOOKUP($B62,'Financ 3'!$B$15:$P$75,C$4,0)</f>
        <v>0</v>
      </c>
      <c r="D62" s="175">
        <f>VLOOKUP($B62,'Financ 1'!$B$15:$P$75,D$4,0)+VLOOKUP($B62,'Financ 2'!$B$15:$P$75,D$4,0)+VLOOKUP($B62,'Financ 3'!$B$15:$P$75,D$4,0)</f>
        <v>0</v>
      </c>
      <c r="E62" s="175">
        <f t="shared" si="0"/>
        <v>0</v>
      </c>
      <c r="F62" s="175">
        <f>VLOOKUP($B62,'Financ 1'!$B$15:$P$75,F$4,0)+VLOOKUP($B62,'Financ 2'!$B$15:$P$75,F$4,0)+VLOOKUP($B62,'Financ 3'!$B$15:$P$75,F$4,0)</f>
        <v>106000000</v>
      </c>
    </row>
    <row r="63" spans="1:6" x14ac:dyDescent="0.35">
      <c r="A63" s="43">
        <v>53</v>
      </c>
      <c r="B63" s="184">
        <v>43616</v>
      </c>
      <c r="C63" s="175">
        <f>VLOOKUP($B63,'Financ 1'!$B$15:$P$75,C$4,0)+VLOOKUP($B63,'Financ 2'!$B$15:$P$75,C$4,0)+VLOOKUP($B63,'Financ 3'!$B$15:$P$75,C$4,0)</f>
        <v>1161292</v>
      </c>
      <c r="D63" s="175">
        <f>VLOOKUP($B63,'Financ 1'!$B$15:$P$75,D$4,0)+VLOOKUP($B63,'Financ 2'!$B$15:$P$75,D$4,0)+VLOOKUP($B63,'Financ 3'!$B$15:$P$75,D$4,0)</f>
        <v>106000000</v>
      </c>
      <c r="E63" s="175">
        <f t="shared" si="0"/>
        <v>107161292</v>
      </c>
      <c r="F63" s="175">
        <f>VLOOKUP($B63,'Financ 1'!$B$15:$P$75,F$4,0)+VLOOKUP($B63,'Financ 2'!$B$15:$P$75,F$4,0)+VLOOKUP($B63,'Financ 3'!$B$15:$P$75,F$4,0)</f>
        <v>0</v>
      </c>
    </row>
    <row r="64" spans="1:6" x14ac:dyDescent="0.35">
      <c r="A64" s="43">
        <v>54</v>
      </c>
      <c r="B64" s="184">
        <v>43646</v>
      </c>
      <c r="C64" s="175">
        <f>VLOOKUP($B64,'Financ 1'!$B$15:$P$75,C$4,0)+VLOOKUP($B64,'Financ 2'!$B$15:$P$75,C$4,0)+VLOOKUP($B64,'Financ 3'!$B$15:$P$75,C$4,0)</f>
        <v>0</v>
      </c>
      <c r="D64" s="175">
        <f>VLOOKUP($B64,'Financ 1'!$B$15:$P$75,D$4,0)+VLOOKUP($B64,'Financ 2'!$B$15:$P$75,D$4,0)+VLOOKUP($B64,'Financ 3'!$B$15:$P$75,D$4,0)</f>
        <v>0</v>
      </c>
      <c r="E64" s="175">
        <f t="shared" si="0"/>
        <v>0</v>
      </c>
      <c r="F64" s="175">
        <f>VLOOKUP($B64,'Financ 1'!$B$15:$P$75,F$4,0)+VLOOKUP($B64,'Financ 2'!$B$15:$P$75,F$4,0)+VLOOKUP($B64,'Financ 3'!$B$15:$P$75,F$4,0)</f>
        <v>104000000</v>
      </c>
    </row>
    <row r="65" spans="1:6" x14ac:dyDescent="0.35">
      <c r="A65" s="43">
        <v>55</v>
      </c>
      <c r="B65" s="184">
        <v>43677</v>
      </c>
      <c r="C65" s="175">
        <f>VLOOKUP($B65,'Financ 1'!$B$15:$P$75,C$4,0)+VLOOKUP($B65,'Financ 2'!$B$15:$P$75,C$4,0)+VLOOKUP($B65,'Financ 3'!$B$15:$P$75,C$4,0)</f>
        <v>1160715</v>
      </c>
      <c r="D65" s="175">
        <f>VLOOKUP($B65,'Financ 1'!$B$15:$P$75,D$4,0)+VLOOKUP($B65,'Financ 2'!$B$15:$P$75,D$4,0)+VLOOKUP($B65,'Financ 3'!$B$15:$P$75,D$4,0)</f>
        <v>104000000</v>
      </c>
      <c r="E65" s="175">
        <f t="shared" si="0"/>
        <v>105160715</v>
      </c>
      <c r="F65" s="175">
        <f>VLOOKUP($B65,'Financ 1'!$B$15:$P$75,F$4,0)+VLOOKUP($B65,'Financ 2'!$B$15:$P$75,F$4,0)+VLOOKUP($B65,'Financ 3'!$B$15:$P$75,F$4,0)</f>
        <v>0</v>
      </c>
    </row>
    <row r="66" spans="1:6" x14ac:dyDescent="0.35">
      <c r="A66" s="43">
        <v>56</v>
      </c>
      <c r="B66" s="184">
        <v>43708</v>
      </c>
      <c r="C66" s="175">
        <f>VLOOKUP($B66,'Financ 1'!$B$15:$P$75,C$4,0)+VLOOKUP($B66,'Financ 2'!$B$15:$P$75,C$4,0)+VLOOKUP($B66,'Financ 3'!$B$15:$P$75,C$4,0)</f>
        <v>0</v>
      </c>
      <c r="D66" s="175">
        <f>VLOOKUP($B66,'Financ 1'!$B$15:$P$75,D$4,0)+VLOOKUP($B66,'Financ 2'!$B$15:$P$75,D$4,0)+VLOOKUP($B66,'Financ 3'!$B$15:$P$75,D$4,0)</f>
        <v>0</v>
      </c>
      <c r="E66" s="175">
        <f t="shared" si="0"/>
        <v>0</v>
      </c>
      <c r="F66" s="175">
        <f>VLOOKUP($B66,'Financ 1'!$B$15:$P$75,F$4,0)+VLOOKUP($B66,'Financ 2'!$B$15:$P$75,F$4,0)+VLOOKUP($B66,'Financ 3'!$B$15:$P$75,F$4,0)</f>
        <v>80000000</v>
      </c>
    </row>
    <row r="67" spans="1:6" x14ac:dyDescent="0.35">
      <c r="A67" s="43">
        <v>57</v>
      </c>
      <c r="B67" s="184">
        <v>43738</v>
      </c>
      <c r="C67" s="175">
        <f>VLOOKUP($B67,'Financ 1'!$B$15:$P$75,C$4,0)+VLOOKUP($B67,'Financ 2'!$B$15:$P$75,C$4,0)+VLOOKUP($B67,'Financ 3'!$B$15:$P$75,C$4,0)</f>
        <v>892857</v>
      </c>
      <c r="D67" s="175">
        <f>VLOOKUP($B67,'Financ 1'!$B$15:$P$75,D$4,0)+VLOOKUP($B67,'Financ 2'!$B$15:$P$75,D$4,0)+VLOOKUP($B67,'Financ 3'!$B$15:$P$75,D$4,0)</f>
        <v>80000000</v>
      </c>
      <c r="E67" s="175">
        <f t="shared" si="0"/>
        <v>80892857</v>
      </c>
      <c r="F67" s="175">
        <f>VLOOKUP($B67,'Financ 1'!$B$15:$P$75,F$4,0)+VLOOKUP($B67,'Financ 2'!$B$15:$P$75,F$4,0)+VLOOKUP($B67,'Financ 3'!$B$15:$P$75,F$4,0)</f>
        <v>0</v>
      </c>
    </row>
    <row r="68" spans="1:6" x14ac:dyDescent="0.35">
      <c r="A68" s="43">
        <v>58</v>
      </c>
      <c r="B68" s="184">
        <v>43769</v>
      </c>
      <c r="C68" s="175">
        <f>VLOOKUP($B68,'Financ 1'!$B$15:$P$75,C$4,0)+VLOOKUP($B68,'Financ 2'!$B$15:$P$75,C$4,0)+VLOOKUP($B68,'Financ 3'!$B$15:$P$75,C$4,0)</f>
        <v>0</v>
      </c>
      <c r="D68" s="175">
        <f>VLOOKUP($B68,'Financ 1'!$B$15:$P$75,D$4,0)+VLOOKUP($B68,'Financ 2'!$B$15:$P$75,D$4,0)+VLOOKUP($B68,'Financ 3'!$B$15:$P$75,D$4,0)</f>
        <v>0</v>
      </c>
      <c r="E68" s="175">
        <f t="shared" si="0"/>
        <v>0</v>
      </c>
      <c r="F68" s="175">
        <f>VLOOKUP($B68,'Financ 1'!$B$15:$P$75,F$4,0)+VLOOKUP($B68,'Financ 2'!$B$15:$P$75,F$4,0)+VLOOKUP($B68,'Financ 3'!$B$15:$P$75,F$4,0)</f>
        <v>56000000</v>
      </c>
    </row>
    <row r="69" spans="1:6" x14ac:dyDescent="0.35">
      <c r="A69" s="43">
        <v>59</v>
      </c>
      <c r="B69" s="184">
        <v>43799</v>
      </c>
      <c r="C69" s="175">
        <f>VLOOKUP($B69,'Financ 1'!$B$15:$P$75,C$4,0)+VLOOKUP($B69,'Financ 2'!$B$15:$P$75,C$4,0)+VLOOKUP($B69,'Financ 3'!$B$15:$P$75,C$4,0)</f>
        <v>636462</v>
      </c>
      <c r="D69" s="175">
        <f>VLOOKUP($B69,'Financ 1'!$B$15:$P$75,D$4,0)+VLOOKUP($B69,'Financ 2'!$B$15:$P$75,D$4,0)+VLOOKUP($B69,'Financ 3'!$B$15:$P$75,D$4,0)</f>
        <v>56000000</v>
      </c>
      <c r="E69" s="175">
        <f t="shared" si="0"/>
        <v>56636462</v>
      </c>
      <c r="F69" s="175">
        <f>VLOOKUP($B69,'Financ 1'!$B$15:$P$75,F$4,0)+VLOOKUP($B69,'Financ 2'!$B$15:$P$75,F$4,0)+VLOOKUP($B69,'Financ 3'!$B$15:$P$75,F$4,0)</f>
        <v>0</v>
      </c>
    </row>
    <row r="70" spans="1:6" x14ac:dyDescent="0.35">
      <c r="A70" s="43">
        <v>60</v>
      </c>
      <c r="B70" s="184">
        <v>43830</v>
      </c>
      <c r="C70" s="175">
        <f>VLOOKUP($B70,'Financ 1'!$B$15:$P$75,C$4,0)+VLOOKUP($B70,'Financ 2'!$B$15:$P$75,C$4,0)+VLOOKUP($B70,'Financ 3'!$B$15:$P$75,C$4,0)</f>
        <v>0</v>
      </c>
      <c r="D70" s="175">
        <f>VLOOKUP($B70,'Financ 1'!$B$15:$P$75,D$4,0)+VLOOKUP($B70,'Financ 2'!$B$15:$P$75,D$4,0)+VLOOKUP($B70,'Financ 3'!$B$15:$P$75,D$4,0)</f>
        <v>0</v>
      </c>
      <c r="E70" s="175">
        <f t="shared" si="0"/>
        <v>0</v>
      </c>
      <c r="F70" s="175">
        <f>VLOOKUP($B70,'Financ 1'!$B$15:$P$75,F$4,0)+VLOOKUP($B70,'Financ 2'!$B$15:$P$75,F$4,0)+VLOOKUP($B70,'Financ 3'!$B$15:$P$75,F$4,0)</f>
        <v>39000000</v>
      </c>
    </row>
    <row r="71" spans="1:6" x14ac:dyDescent="0.35">
      <c r="B71" s="172"/>
      <c r="C71" s="172"/>
      <c r="D71" s="172"/>
      <c r="E71" s="172"/>
      <c r="F71" s="172"/>
    </row>
    <row r="72" spans="1:6" x14ac:dyDescent="0.35">
      <c r="B72" s="172"/>
      <c r="C72" s="245">
        <f>SUM(C10:C70)</f>
        <v>67295101</v>
      </c>
      <c r="D72" s="245">
        <f>SUM(D10:D70)</f>
        <v>2263650000</v>
      </c>
      <c r="E72" s="245">
        <f>SUM(E10:E70)</f>
        <v>2330945101</v>
      </c>
      <c r="F72" s="245">
        <f>SUM(F10:F70)</f>
        <v>2302650000</v>
      </c>
    </row>
    <row r="73" spans="1:6" x14ac:dyDescent="0.35">
      <c r="B73" s="172"/>
      <c r="C73" s="172"/>
      <c r="D73" s="172"/>
      <c r="E73" s="172"/>
      <c r="F73" s="172"/>
    </row>
    <row r="74" spans="1:6" x14ac:dyDescent="0.35">
      <c r="B74" s="172"/>
      <c r="C74" s="172"/>
      <c r="D74" s="172"/>
      <c r="E74" s="172"/>
      <c r="F74" s="172"/>
    </row>
    <row r="75" spans="1:6" x14ac:dyDescent="0.35">
      <c r="B75" s="172"/>
      <c r="C75" s="172"/>
      <c r="D75" s="172"/>
      <c r="E75" s="172"/>
      <c r="F75" s="172"/>
    </row>
    <row r="76" spans="1:6" x14ac:dyDescent="0.35">
      <c r="B76" s="172"/>
      <c r="C76" s="172"/>
      <c r="D76" s="172"/>
      <c r="E76" s="172"/>
      <c r="F76" s="172"/>
    </row>
    <row r="77" spans="1:6" x14ac:dyDescent="0.35">
      <c r="B77" s="172"/>
      <c r="C77" s="172"/>
      <c r="D77" s="172"/>
      <c r="E77" s="172"/>
      <c r="F77" s="172"/>
    </row>
    <row r="78" spans="1:6" x14ac:dyDescent="0.35">
      <c r="B78" s="172"/>
      <c r="C78" s="172"/>
      <c r="D78" s="172"/>
      <c r="E78" s="172"/>
      <c r="F78" s="172"/>
    </row>
    <row r="79" spans="1:6" x14ac:dyDescent="0.35">
      <c r="B79" s="172"/>
      <c r="C79" s="172"/>
      <c r="D79" s="172"/>
      <c r="E79" s="172"/>
      <c r="F79" s="172"/>
    </row>
    <row r="80" spans="1:6" x14ac:dyDescent="0.35">
      <c r="B80" s="172"/>
      <c r="C80" s="172"/>
      <c r="D80" s="172"/>
      <c r="E80" s="172"/>
      <c r="F80" s="172"/>
    </row>
    <row r="81" spans="2:6" x14ac:dyDescent="0.35">
      <c r="B81" s="172"/>
      <c r="C81" s="172"/>
      <c r="D81" s="172"/>
      <c r="E81" s="172"/>
      <c r="F81" s="172"/>
    </row>
    <row r="82" spans="2:6" x14ac:dyDescent="0.35">
      <c r="B82" s="172"/>
      <c r="C82" s="172"/>
      <c r="D82" s="172"/>
      <c r="E82" s="172"/>
      <c r="F82" s="172"/>
    </row>
    <row r="83" spans="2:6" x14ac:dyDescent="0.35">
      <c r="B83" s="172"/>
      <c r="C83" s="172"/>
      <c r="D83" s="172"/>
      <c r="E83" s="172"/>
      <c r="F83" s="172"/>
    </row>
    <row r="84" spans="2:6" x14ac:dyDescent="0.35">
      <c r="B84" s="172"/>
      <c r="C84" s="172"/>
      <c r="D84" s="172"/>
      <c r="E84" s="172"/>
      <c r="F84" s="172"/>
    </row>
  </sheetData>
  <mergeCells count="3">
    <mergeCell ref="C6:F6"/>
    <mergeCell ref="C7:E7"/>
    <mergeCell ref="F7:F8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3:T18"/>
  <sheetViews>
    <sheetView showGridLines="0" workbookViewId="0">
      <pane xSplit="1" ySplit="4" topLeftCell="B5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1" x14ac:dyDescent="0.35"/>
  <cols>
    <col min="2" max="2" width="36.08984375" hidden="1" customWidth="1" outlineLevel="1"/>
    <col min="3" max="3" width="70.6328125" customWidth="1" collapsed="1"/>
    <col min="4" max="4" width="20.54296875" customWidth="1"/>
  </cols>
  <sheetData>
    <row r="3" spans="1:20" ht="15" thickBot="1" x14ac:dyDescent="0.4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29" x14ac:dyDescent="0.35">
      <c r="A4" s="662" t="s">
        <v>43</v>
      </c>
      <c r="B4" s="680" t="s">
        <v>43</v>
      </c>
      <c r="C4" s="680" t="s">
        <v>44</v>
      </c>
      <c r="D4" s="681" t="s">
        <v>42</v>
      </c>
    </row>
    <row r="5" spans="1:20" x14ac:dyDescent="0.35">
      <c r="A5" s="666">
        <v>1</v>
      </c>
      <c r="B5" s="675" t="s">
        <v>19</v>
      </c>
      <c r="C5" s="682" t="s">
        <v>50</v>
      </c>
      <c r="D5" s="683">
        <v>4</v>
      </c>
    </row>
    <row r="6" spans="1:20" x14ac:dyDescent="0.35">
      <c r="A6" s="666">
        <v>2</v>
      </c>
      <c r="B6" s="669" t="s">
        <v>30</v>
      </c>
      <c r="C6" s="684" t="s">
        <v>20</v>
      </c>
      <c r="D6" s="683">
        <v>8</v>
      </c>
    </row>
    <row r="7" spans="1:20" x14ac:dyDescent="0.35">
      <c r="A7" s="666">
        <v>3</v>
      </c>
      <c r="B7" s="669" t="s">
        <v>29</v>
      </c>
      <c r="C7" s="684" t="s">
        <v>21</v>
      </c>
      <c r="D7" s="683">
        <v>12</v>
      </c>
    </row>
    <row r="8" spans="1:20" x14ac:dyDescent="0.35">
      <c r="A8" s="666">
        <v>4</v>
      </c>
      <c r="B8" s="669" t="s">
        <v>31</v>
      </c>
      <c r="C8" s="684" t="s">
        <v>49</v>
      </c>
      <c r="D8" s="683">
        <v>8</v>
      </c>
    </row>
    <row r="9" spans="1:20" ht="29" x14ac:dyDescent="0.35">
      <c r="A9" s="666">
        <v>5</v>
      </c>
      <c r="B9" s="669" t="s">
        <v>32</v>
      </c>
      <c r="C9" s="684" t="s">
        <v>22</v>
      </c>
      <c r="D9" s="683">
        <v>8</v>
      </c>
    </row>
    <row r="10" spans="1:20" x14ac:dyDescent="0.35">
      <c r="A10" s="666">
        <v>6</v>
      </c>
      <c r="B10" s="669" t="s">
        <v>33</v>
      </c>
      <c r="C10" s="684" t="s">
        <v>23</v>
      </c>
      <c r="D10" s="683">
        <v>4</v>
      </c>
    </row>
    <row r="11" spans="1:20" x14ac:dyDescent="0.35">
      <c r="A11" s="666">
        <v>7</v>
      </c>
      <c r="B11" s="669" t="s">
        <v>34</v>
      </c>
      <c r="C11" s="684" t="s">
        <v>24</v>
      </c>
      <c r="D11" s="683">
        <v>4</v>
      </c>
    </row>
    <row r="12" spans="1:20" x14ac:dyDescent="0.35">
      <c r="A12" s="666">
        <v>8</v>
      </c>
      <c r="B12" s="675" t="s">
        <v>25</v>
      </c>
      <c r="C12" s="682" t="s">
        <v>51</v>
      </c>
      <c r="D12" s="683">
        <v>8</v>
      </c>
    </row>
    <row r="13" spans="1:20" x14ac:dyDescent="0.35">
      <c r="A13" s="666">
        <v>9</v>
      </c>
      <c r="B13" s="669" t="s">
        <v>35</v>
      </c>
      <c r="C13" s="684" t="s">
        <v>52</v>
      </c>
      <c r="D13" s="683">
        <v>8</v>
      </c>
    </row>
    <row r="14" spans="1:20" x14ac:dyDescent="0.35">
      <c r="A14" s="666">
        <v>10</v>
      </c>
      <c r="B14" s="669" t="s">
        <v>36</v>
      </c>
      <c r="C14" s="684" t="s">
        <v>53</v>
      </c>
      <c r="D14" s="683">
        <v>8</v>
      </c>
    </row>
    <row r="15" spans="1:20" x14ac:dyDescent="0.35">
      <c r="A15" s="666">
        <v>11</v>
      </c>
      <c r="B15" s="669" t="s">
        <v>37</v>
      </c>
      <c r="C15" s="684" t="s">
        <v>54</v>
      </c>
      <c r="D15" s="683">
        <v>4</v>
      </c>
    </row>
    <row r="16" spans="1:20" x14ac:dyDescent="0.35">
      <c r="A16" s="666">
        <v>12</v>
      </c>
      <c r="B16" s="669" t="s">
        <v>38</v>
      </c>
      <c r="C16" s="684" t="s">
        <v>28</v>
      </c>
      <c r="D16" s="683">
        <v>6</v>
      </c>
    </row>
    <row r="17" spans="1:4" ht="29" x14ac:dyDescent="0.35">
      <c r="A17" s="666">
        <v>13</v>
      </c>
      <c r="B17" s="669" t="s">
        <v>39</v>
      </c>
      <c r="C17" s="684" t="s">
        <v>26</v>
      </c>
      <c r="D17" s="683">
        <v>4</v>
      </c>
    </row>
    <row r="18" spans="1:4" ht="15" thickBot="1" x14ac:dyDescent="0.4">
      <c r="A18" s="672">
        <v>14</v>
      </c>
      <c r="B18" s="685" t="s">
        <v>40</v>
      </c>
      <c r="C18" s="686" t="s">
        <v>27</v>
      </c>
      <c r="D18" s="687">
        <v>0.5</v>
      </c>
    </row>
  </sheetData>
  <printOptions horizontalCentered="1" verticalCentered="1"/>
  <pageMargins left="0.31496062992125984" right="0.11811023622047245" top="0.15748031496062992" bottom="0.35433070866141736" header="0.31496062992125984" footer="0.31496062992125984"/>
  <pageSetup scale="6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3:T18"/>
  <sheetViews>
    <sheetView showGridLines="0" workbookViewId="0">
      <pane xSplit="1" ySplit="4" topLeftCell="B8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1" x14ac:dyDescent="0.35"/>
  <cols>
    <col min="2" max="2" width="36.08984375" hidden="1" customWidth="1" outlineLevel="1"/>
    <col min="3" max="3" width="70.6328125" customWidth="1" collapsed="1"/>
    <col min="4" max="4" width="20.54296875" customWidth="1"/>
  </cols>
  <sheetData>
    <row r="3" spans="1:20" ht="15" thickBot="1" x14ac:dyDescent="0.4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29" x14ac:dyDescent="0.35">
      <c r="A4" s="662" t="s">
        <v>43</v>
      </c>
      <c r="B4" s="680" t="s">
        <v>43</v>
      </c>
      <c r="C4" s="680" t="s">
        <v>44</v>
      </c>
      <c r="D4" s="681" t="s">
        <v>66</v>
      </c>
    </row>
    <row r="5" spans="1:20" x14ac:dyDescent="0.35">
      <c r="A5" s="666">
        <v>1</v>
      </c>
      <c r="B5" s="675" t="s">
        <v>19</v>
      </c>
      <c r="C5" s="682" t="s">
        <v>50</v>
      </c>
      <c r="D5" s="688">
        <v>8</v>
      </c>
    </row>
    <row r="6" spans="1:20" x14ac:dyDescent="0.35">
      <c r="A6" s="666">
        <v>2</v>
      </c>
      <c r="B6" s="669" t="s">
        <v>30</v>
      </c>
      <c r="C6" s="684" t="s">
        <v>20</v>
      </c>
      <c r="D6" s="688">
        <v>16</v>
      </c>
    </row>
    <row r="7" spans="1:20" x14ac:dyDescent="0.35">
      <c r="A7" s="666">
        <v>3</v>
      </c>
      <c r="B7" s="669" t="s">
        <v>29</v>
      </c>
      <c r="C7" s="684" t="s">
        <v>21</v>
      </c>
      <c r="D7" s="688">
        <v>16</v>
      </c>
    </row>
    <row r="8" spans="1:20" x14ac:dyDescent="0.35">
      <c r="A8" s="666">
        <v>4</v>
      </c>
      <c r="B8" s="669" t="s">
        <v>31</v>
      </c>
      <c r="C8" s="684" t="s">
        <v>49</v>
      </c>
      <c r="D8" s="688">
        <v>12</v>
      </c>
    </row>
    <row r="9" spans="1:20" ht="29" x14ac:dyDescent="0.35">
      <c r="A9" s="666">
        <v>5</v>
      </c>
      <c r="B9" s="669" t="s">
        <v>32</v>
      </c>
      <c r="C9" s="684" t="s">
        <v>22</v>
      </c>
      <c r="D9" s="688">
        <v>12</v>
      </c>
    </row>
    <row r="10" spans="1:20" x14ac:dyDescent="0.35">
      <c r="A10" s="666">
        <v>6</v>
      </c>
      <c r="B10" s="669" t="s">
        <v>33</v>
      </c>
      <c r="C10" s="684" t="s">
        <v>23</v>
      </c>
      <c r="D10" s="688">
        <v>4</v>
      </c>
    </row>
    <row r="11" spans="1:20" x14ac:dyDescent="0.35">
      <c r="A11" s="666">
        <v>7</v>
      </c>
      <c r="B11" s="669" t="s">
        <v>34</v>
      </c>
      <c r="C11" s="684" t="s">
        <v>24</v>
      </c>
      <c r="D11" s="688">
        <v>4</v>
      </c>
    </row>
    <row r="12" spans="1:20" x14ac:dyDescent="0.35">
      <c r="A12" s="666">
        <v>8</v>
      </c>
      <c r="B12" s="675" t="s">
        <v>25</v>
      </c>
      <c r="C12" s="682" t="s">
        <v>51</v>
      </c>
      <c r="D12" s="688">
        <v>12</v>
      </c>
    </row>
    <row r="13" spans="1:20" x14ac:dyDescent="0.35">
      <c r="A13" s="666">
        <v>9</v>
      </c>
      <c r="B13" s="669" t="s">
        <v>35</v>
      </c>
      <c r="C13" s="684" t="s">
        <v>52</v>
      </c>
      <c r="D13" s="688">
        <v>12</v>
      </c>
    </row>
    <row r="14" spans="1:20" x14ac:dyDescent="0.35">
      <c r="A14" s="666">
        <v>10</v>
      </c>
      <c r="B14" s="669" t="s">
        <v>36</v>
      </c>
      <c r="C14" s="684" t="s">
        <v>53</v>
      </c>
      <c r="D14" s="688">
        <v>8</v>
      </c>
    </row>
    <row r="15" spans="1:20" x14ac:dyDescent="0.35">
      <c r="A15" s="666">
        <v>11</v>
      </c>
      <c r="B15" s="669" t="s">
        <v>37</v>
      </c>
      <c r="C15" s="684" t="s">
        <v>54</v>
      </c>
      <c r="D15" s="688">
        <v>8</v>
      </c>
    </row>
    <row r="16" spans="1:20" x14ac:dyDescent="0.35">
      <c r="A16" s="666">
        <v>12</v>
      </c>
      <c r="B16" s="669" t="s">
        <v>38</v>
      </c>
      <c r="C16" s="684" t="s">
        <v>28</v>
      </c>
      <c r="D16" s="688">
        <v>8</v>
      </c>
    </row>
    <row r="17" spans="1:4" ht="29" x14ac:dyDescent="0.35">
      <c r="A17" s="666">
        <v>13</v>
      </c>
      <c r="B17" s="669" t="s">
        <v>39</v>
      </c>
      <c r="C17" s="684" t="s">
        <v>26</v>
      </c>
      <c r="D17" s="688">
        <v>16</v>
      </c>
    </row>
    <row r="18" spans="1:4" ht="15" thickBot="1" x14ac:dyDescent="0.4">
      <c r="A18" s="672">
        <v>14</v>
      </c>
      <c r="B18" s="685" t="s">
        <v>40</v>
      </c>
      <c r="C18" s="686" t="s">
        <v>27</v>
      </c>
      <c r="D18" s="689">
        <f>(25/50)/4</f>
        <v>0.125</v>
      </c>
    </row>
  </sheetData>
  <printOptions horizontalCentered="1" verticalCentered="1"/>
  <pageMargins left="0.31496062992125984" right="0.11811023622047245" top="0.15748031496062992" bottom="0.35433070866141736" header="0.31496062992125984" footer="0.31496062992125984"/>
  <pageSetup scale="6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3:C23"/>
  <sheetViews>
    <sheetView workbookViewId="0">
      <pane xSplit="3" ySplit="4" topLeftCell="D5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1" max="1" width="6.6328125" customWidth="1"/>
    <col min="2" max="2" width="13.90625" customWidth="1"/>
    <col min="3" max="3" width="59" bestFit="1" customWidth="1"/>
    <col min="4" max="4" width="4.6328125" customWidth="1"/>
  </cols>
  <sheetData>
    <row r="3" spans="1:3" ht="15" thickBot="1" x14ac:dyDescent="0.4"/>
    <row r="4" spans="1:3" ht="15" thickBot="1" x14ac:dyDescent="0.4">
      <c r="A4" s="3" t="s">
        <v>41</v>
      </c>
      <c r="B4" s="3" t="s">
        <v>17</v>
      </c>
      <c r="C4" s="3" t="s">
        <v>18</v>
      </c>
    </row>
    <row r="5" spans="1:3" ht="15" thickBot="1" x14ac:dyDescent="0.4">
      <c r="A5" s="8">
        <v>1</v>
      </c>
      <c r="B5" s="4">
        <v>800014574</v>
      </c>
      <c r="C5" s="5" t="s">
        <v>14</v>
      </c>
    </row>
    <row r="6" spans="1:3" ht="15" thickBot="1" x14ac:dyDescent="0.4">
      <c r="A6" s="9">
        <v>2</v>
      </c>
      <c r="B6" s="6">
        <v>800023622</v>
      </c>
      <c r="C6" s="7" t="s">
        <v>0</v>
      </c>
    </row>
    <row r="7" spans="1:3" ht="15" thickBot="1" x14ac:dyDescent="0.4">
      <c r="A7" s="9">
        <v>3</v>
      </c>
      <c r="B7" s="6">
        <v>800059608</v>
      </c>
      <c r="C7" s="7" t="s">
        <v>4</v>
      </c>
    </row>
    <row r="8" spans="1:3" ht="15" thickBot="1" x14ac:dyDescent="0.4">
      <c r="A8" s="9">
        <v>4</v>
      </c>
      <c r="B8" s="6">
        <v>800174125</v>
      </c>
      <c r="C8" s="7" t="s">
        <v>7</v>
      </c>
    </row>
    <row r="9" spans="1:3" ht="15" thickBot="1" x14ac:dyDescent="0.4">
      <c r="A9" s="9">
        <v>5</v>
      </c>
      <c r="B9" s="6">
        <v>800190667</v>
      </c>
      <c r="C9" s="7" t="s">
        <v>11</v>
      </c>
    </row>
    <row r="10" spans="1:3" ht="15" thickBot="1" x14ac:dyDescent="0.4">
      <c r="A10" s="9">
        <v>6</v>
      </c>
      <c r="B10" s="6">
        <v>811004805</v>
      </c>
      <c r="C10" s="7" t="s">
        <v>12</v>
      </c>
    </row>
    <row r="11" spans="1:3" ht="15" thickBot="1" x14ac:dyDescent="0.4">
      <c r="A11" s="9">
        <v>7</v>
      </c>
      <c r="B11" s="6">
        <v>811010485</v>
      </c>
      <c r="C11" s="7" t="s">
        <v>5</v>
      </c>
    </row>
    <row r="12" spans="1:3" ht="15" thickBot="1" x14ac:dyDescent="0.4">
      <c r="A12" s="9">
        <v>8</v>
      </c>
      <c r="B12" s="6">
        <v>811017434</v>
      </c>
      <c r="C12" s="7" t="s">
        <v>2</v>
      </c>
    </row>
    <row r="13" spans="1:3" ht="15" thickBot="1" x14ac:dyDescent="0.4">
      <c r="A13" s="9">
        <v>9</v>
      </c>
      <c r="B13" s="6">
        <v>811021857</v>
      </c>
      <c r="C13" s="7" t="s">
        <v>10</v>
      </c>
    </row>
    <row r="14" spans="1:3" ht="15" thickBot="1" x14ac:dyDescent="0.4">
      <c r="A14" s="9">
        <v>10</v>
      </c>
      <c r="B14" s="6">
        <v>811026305</v>
      </c>
      <c r="C14" s="7" t="s">
        <v>9</v>
      </c>
    </row>
    <row r="15" spans="1:3" ht="15" thickBot="1" x14ac:dyDescent="0.4">
      <c r="A15" s="9">
        <v>11</v>
      </c>
      <c r="B15" s="6">
        <v>811041157</v>
      </c>
      <c r="C15" s="7" t="s">
        <v>8</v>
      </c>
    </row>
    <row r="16" spans="1:3" ht="15" thickBot="1" x14ac:dyDescent="0.4">
      <c r="A16" s="9">
        <v>12</v>
      </c>
      <c r="B16" s="6">
        <v>890905375</v>
      </c>
      <c r="C16" s="7" t="s">
        <v>1</v>
      </c>
    </row>
    <row r="17" spans="1:3" ht="15" thickBot="1" x14ac:dyDescent="0.4">
      <c r="A17" s="9">
        <v>13</v>
      </c>
      <c r="B17" s="6">
        <v>890929858</v>
      </c>
      <c r="C17" s="7" t="s">
        <v>6</v>
      </c>
    </row>
    <row r="18" spans="1:3" ht="15" thickBot="1" x14ac:dyDescent="0.4">
      <c r="A18" s="9">
        <v>14</v>
      </c>
      <c r="B18" s="6">
        <v>890981947</v>
      </c>
      <c r="C18" s="7" t="s">
        <v>3</v>
      </c>
    </row>
    <row r="19" spans="1:3" ht="15" thickBot="1" x14ac:dyDescent="0.4">
      <c r="A19" s="9">
        <v>15</v>
      </c>
      <c r="B19" s="6">
        <v>900018093</v>
      </c>
      <c r="C19" s="7" t="s">
        <v>13</v>
      </c>
    </row>
    <row r="20" spans="1:3" ht="15" thickBot="1" x14ac:dyDescent="0.4">
      <c r="A20" s="9">
        <v>16</v>
      </c>
      <c r="B20" s="6">
        <v>900126377</v>
      </c>
      <c r="C20" s="7" t="s">
        <v>16</v>
      </c>
    </row>
    <row r="21" spans="1:3" ht="15" thickBot="1" x14ac:dyDescent="0.4">
      <c r="A21" s="9">
        <v>17</v>
      </c>
      <c r="B21" s="6">
        <v>900175262</v>
      </c>
      <c r="C21" s="7" t="s">
        <v>15</v>
      </c>
    </row>
    <row r="22" spans="1:3" ht="15" thickBot="1" x14ac:dyDescent="0.4">
      <c r="A22" s="9">
        <v>18</v>
      </c>
      <c r="B22" s="21" t="s">
        <v>45</v>
      </c>
      <c r="C22" s="17" t="s">
        <v>47</v>
      </c>
    </row>
    <row r="23" spans="1:3" ht="15" thickBot="1" x14ac:dyDescent="0.4">
      <c r="A23" s="9">
        <v>19</v>
      </c>
      <c r="B23" s="21" t="s">
        <v>45</v>
      </c>
      <c r="C23" s="17" t="s">
        <v>46</v>
      </c>
    </row>
  </sheetData>
  <sortState ref="A2:D34">
    <sortCondition ref="B2:B34"/>
  </sortState>
  <printOptions horizontalCentered="1" verticalCentered="1"/>
  <pageMargins left="0.31496062992125984" right="0.11811023622047245" top="0.15748031496062992" bottom="0.35433070866141736" header="0.31496062992125984" footer="0.31496062992125984"/>
  <pageSetup scale="6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T32"/>
  <sheetViews>
    <sheetView workbookViewId="0">
      <pane xSplit="3" ySplit="6" topLeftCell="D7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1" max="1" width="6.6328125" customWidth="1"/>
    <col min="2" max="2" width="13.90625" customWidth="1"/>
    <col min="3" max="3" width="59" bestFit="1" customWidth="1"/>
    <col min="4" max="4" width="37.54296875" bestFit="1" customWidth="1"/>
    <col min="5" max="5" width="10.1796875" bestFit="1" customWidth="1"/>
    <col min="6" max="18" width="4.81640625" customWidth="1"/>
    <col min="19" max="19" width="5.1796875" bestFit="1" customWidth="1"/>
    <col min="20" max="20" width="12.36328125" bestFit="1" customWidth="1"/>
  </cols>
  <sheetData>
    <row r="2" spans="1:20" x14ac:dyDescent="0.35">
      <c r="T2" s="38">
        <f>ROUNDUP(616000*1.04,-3)</f>
        <v>641000</v>
      </c>
    </row>
    <row r="3" spans="1:20" ht="15" thickBot="1" x14ac:dyDescent="0.4"/>
    <row r="4" spans="1:20" ht="117.5" thickBot="1" x14ac:dyDescent="0.4">
      <c r="A4" s="3" t="s">
        <v>41</v>
      </c>
      <c r="B4" s="3" t="s">
        <v>17</v>
      </c>
      <c r="C4" s="19" t="s">
        <v>18</v>
      </c>
      <c r="D4" s="26"/>
      <c r="E4" s="287" t="str">
        <f>VLOOKUP(E$5,'Productos $'!$A$5:$D$18,2,0)</f>
        <v>Planeación tributaria</v>
      </c>
      <c r="F4" s="287" t="str">
        <f>VLOOKUP(F$5,'Productos $'!$A$5:$D$18,2,0)</f>
        <v>Atención investigaciones tributarias</v>
      </c>
      <c r="G4" s="287" t="str">
        <f>VLOOKUP(G$5,'Productos $'!$A$5:$D$18,2,0)</f>
        <v>Presentación demandas</v>
      </c>
      <c r="H4" s="287" t="str">
        <f>VLOOKUP(H$5,'Productos $'!$A$5:$D$18,2,0)</f>
        <v>Atención investigaciones aduaneras</v>
      </c>
      <c r="I4" s="287" t="str">
        <f>VLOOKUP(I$5,'Productos $'!$A$5:$D$18,2,0)</f>
        <v>Devoluciones</v>
      </c>
      <c r="J4" s="287" t="str">
        <f>VLOOKUP(J$5,'Productos $'!$A$5:$D$18,2,0)</f>
        <v>Consultoría tributaria permanente</v>
      </c>
      <c r="K4" s="287" t="str">
        <f>VLOOKUP(K$5,'Productos $'!$A$5:$D$18,2,0)</f>
        <v>Consultoría laboral</v>
      </c>
      <c r="L4" s="287" t="str">
        <f>VLOOKUP(L$5,'Productos $'!$A$5:$D$18,2,0)</f>
        <v>Planeación tributaria internacional</v>
      </c>
      <c r="M4" s="287" t="str">
        <f>VLOOKUP(M$5,'Productos $'!$A$5:$D$18,2,0)</f>
        <v>Estructuración de sociedades</v>
      </c>
      <c r="N4" s="287" t="str">
        <f>VLOOKUP(N$5,'Productos $'!$A$5:$D$18,2,0)</f>
        <v>Estructuración de negocios</v>
      </c>
      <c r="O4" s="287" t="str">
        <f>VLOOKUP(O$5,'Productos $'!$A$5:$D$18,2,0)</f>
        <v>Consultas específicas</v>
      </c>
      <c r="P4" s="287" t="str">
        <f>VLOOKUP(P$5,'Productos $'!$A$5:$D$18,2,0)</f>
        <v>Resolución de problemas específicos</v>
      </c>
      <c r="Q4" s="287" t="str">
        <f>VLOOKUP(Q$5,'Productos $'!$A$5:$D$18,2,0)</f>
        <v>NIIF</v>
      </c>
      <c r="R4" s="287" t="str">
        <f>VLOOKUP(R$5,'Productos $'!$A$5:$D$18,2,0)</f>
        <v>Capacitaciones</v>
      </c>
    </row>
    <row r="5" spans="1:20" ht="15" thickBot="1" x14ac:dyDescent="0.4">
      <c r="A5" s="12"/>
      <c r="B5" s="13"/>
      <c r="C5" s="14" t="s">
        <v>43</v>
      </c>
      <c r="D5" s="30" t="s">
        <v>43</v>
      </c>
      <c r="E5" s="32">
        <v>1</v>
      </c>
      <c r="F5" s="32">
        <v>2</v>
      </c>
      <c r="G5" s="32">
        <v>3</v>
      </c>
      <c r="H5" s="32">
        <v>4</v>
      </c>
      <c r="I5" s="32">
        <v>5</v>
      </c>
      <c r="J5" s="32">
        <v>6</v>
      </c>
      <c r="K5" s="32">
        <v>7</v>
      </c>
      <c r="L5" s="32">
        <v>8</v>
      </c>
      <c r="M5" s="32">
        <v>9</v>
      </c>
      <c r="N5" s="32">
        <v>10</v>
      </c>
      <c r="O5" s="32">
        <v>11</v>
      </c>
      <c r="P5" s="32">
        <v>12</v>
      </c>
      <c r="Q5" s="32">
        <v>13</v>
      </c>
      <c r="R5" s="32">
        <v>14</v>
      </c>
      <c r="S5" s="33" t="s">
        <v>65</v>
      </c>
    </row>
    <row r="6" spans="1:20" ht="15" thickBot="1" x14ac:dyDescent="0.4">
      <c r="A6" s="12"/>
      <c r="B6" s="13"/>
      <c r="C6" s="14" t="s">
        <v>42</v>
      </c>
      <c r="D6" s="30" t="s">
        <v>42</v>
      </c>
      <c r="E6" s="31">
        <v>4</v>
      </c>
      <c r="F6" s="31">
        <v>8</v>
      </c>
      <c r="G6" s="31">
        <v>12</v>
      </c>
      <c r="H6" s="31">
        <v>8</v>
      </c>
      <c r="I6" s="31">
        <v>8</v>
      </c>
      <c r="J6" s="31">
        <v>4</v>
      </c>
      <c r="K6" s="31">
        <v>4</v>
      </c>
      <c r="L6" s="31">
        <v>8</v>
      </c>
      <c r="M6" s="31">
        <v>8</v>
      </c>
      <c r="N6" s="31">
        <v>8</v>
      </c>
      <c r="O6" s="31">
        <v>4</v>
      </c>
      <c r="P6" s="31">
        <v>6</v>
      </c>
      <c r="Q6" s="31">
        <v>4</v>
      </c>
      <c r="R6" s="31">
        <v>0.5</v>
      </c>
      <c r="S6" s="34"/>
    </row>
    <row r="7" spans="1:20" ht="15" thickBot="1" x14ac:dyDescent="0.4">
      <c r="A7" s="8">
        <v>1</v>
      </c>
      <c r="B7" s="4">
        <v>800014574</v>
      </c>
      <c r="C7" s="16" t="s">
        <v>14</v>
      </c>
      <c r="D7" s="36" t="str">
        <f>"Cliente "&amp;A7</f>
        <v>Cliente 1</v>
      </c>
      <c r="E7" s="35"/>
      <c r="F7" s="20"/>
      <c r="G7" s="20"/>
      <c r="H7" s="20"/>
      <c r="I7" s="20"/>
      <c r="J7" s="20">
        <v>1</v>
      </c>
      <c r="K7" s="20">
        <v>1</v>
      </c>
      <c r="L7" s="20"/>
      <c r="M7" s="20"/>
      <c r="N7" s="20"/>
      <c r="O7" s="20"/>
      <c r="P7" s="20"/>
      <c r="Q7" s="20"/>
      <c r="R7" s="20"/>
      <c r="S7" s="37">
        <f>SUMPRODUCT($E$6:$R$6,$E7:$R7)</f>
        <v>8</v>
      </c>
    </row>
    <row r="8" spans="1:20" ht="15" thickBot="1" x14ac:dyDescent="0.4">
      <c r="A8" s="9">
        <v>2</v>
      </c>
      <c r="B8" s="6">
        <v>800023622</v>
      </c>
      <c r="C8" s="17" t="s">
        <v>0</v>
      </c>
      <c r="D8" s="36" t="str">
        <f t="shared" ref="D8:D23" si="0">"Cliente "&amp;A8</f>
        <v>Cliente 2</v>
      </c>
      <c r="E8" s="35"/>
      <c r="F8" s="20"/>
      <c r="G8" s="20"/>
      <c r="H8" s="20"/>
      <c r="I8" s="20"/>
      <c r="J8" s="20">
        <v>1</v>
      </c>
      <c r="K8" s="20"/>
      <c r="L8" s="20"/>
      <c r="M8" s="20"/>
      <c r="N8" s="20"/>
      <c r="O8" s="20"/>
      <c r="P8" s="20"/>
      <c r="Q8" s="20">
        <v>1</v>
      </c>
      <c r="R8" s="20"/>
      <c r="S8" s="37">
        <f t="shared" ref="S8:S25" si="1">SUMPRODUCT($E$6:$R$6,$E8:$R8)</f>
        <v>8</v>
      </c>
    </row>
    <row r="9" spans="1:20" ht="15" thickBot="1" x14ac:dyDescent="0.4">
      <c r="A9" s="9">
        <v>3</v>
      </c>
      <c r="B9" s="6">
        <v>800059608</v>
      </c>
      <c r="C9" s="17" t="s">
        <v>4</v>
      </c>
      <c r="D9" s="36" t="str">
        <f t="shared" si="0"/>
        <v>Cliente 3</v>
      </c>
      <c r="E9" s="35"/>
      <c r="F9" s="20"/>
      <c r="G9" s="20"/>
      <c r="H9" s="20"/>
      <c r="I9" s="20"/>
      <c r="J9" s="20">
        <v>1</v>
      </c>
      <c r="K9" s="20"/>
      <c r="L9" s="20"/>
      <c r="M9" s="20"/>
      <c r="N9" s="20"/>
      <c r="O9" s="20"/>
      <c r="P9" s="20"/>
      <c r="Q9" s="20"/>
      <c r="R9" s="20"/>
      <c r="S9" s="37">
        <f t="shared" si="1"/>
        <v>4</v>
      </c>
    </row>
    <row r="10" spans="1:20" ht="15" thickBot="1" x14ac:dyDescent="0.4">
      <c r="A10" s="9">
        <v>4</v>
      </c>
      <c r="B10" s="6">
        <v>800174125</v>
      </c>
      <c r="C10" s="17" t="s">
        <v>7</v>
      </c>
      <c r="D10" s="36" t="str">
        <f t="shared" si="0"/>
        <v>Cliente 4</v>
      </c>
      <c r="E10" s="35"/>
      <c r="F10" s="20"/>
      <c r="G10" s="20"/>
      <c r="H10" s="20"/>
      <c r="I10" s="20">
        <v>1</v>
      </c>
      <c r="J10" s="20"/>
      <c r="K10" s="20"/>
      <c r="L10" s="20"/>
      <c r="M10" s="20"/>
      <c r="N10" s="20"/>
      <c r="O10" s="20"/>
      <c r="P10" s="20"/>
      <c r="Q10" s="20">
        <v>1</v>
      </c>
      <c r="R10" s="20"/>
      <c r="S10" s="37">
        <f t="shared" si="1"/>
        <v>12</v>
      </c>
    </row>
    <row r="11" spans="1:20" ht="15" thickBot="1" x14ac:dyDescent="0.4">
      <c r="A11" s="9">
        <v>5</v>
      </c>
      <c r="B11" s="6">
        <v>800190667</v>
      </c>
      <c r="C11" s="17" t="s">
        <v>11</v>
      </c>
      <c r="D11" s="36" t="str">
        <f t="shared" si="0"/>
        <v>Cliente 5</v>
      </c>
      <c r="E11" s="35"/>
      <c r="F11" s="20">
        <v>1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7">
        <f t="shared" si="1"/>
        <v>8</v>
      </c>
    </row>
    <row r="12" spans="1:20" ht="15" thickBot="1" x14ac:dyDescent="0.4">
      <c r="A12" s="9">
        <v>6</v>
      </c>
      <c r="B12" s="6">
        <v>811004805</v>
      </c>
      <c r="C12" s="17" t="s">
        <v>12</v>
      </c>
      <c r="D12" s="36" t="str">
        <f t="shared" si="0"/>
        <v>Cliente 6</v>
      </c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>
        <v>1</v>
      </c>
      <c r="P12" s="20"/>
      <c r="Q12" s="20"/>
      <c r="R12" s="20"/>
      <c r="S12" s="37">
        <f t="shared" si="1"/>
        <v>4</v>
      </c>
    </row>
    <row r="13" spans="1:20" ht="15" thickBot="1" x14ac:dyDescent="0.4">
      <c r="A13" s="9">
        <v>7</v>
      </c>
      <c r="B13" s="6">
        <v>811010485</v>
      </c>
      <c r="C13" s="17" t="s">
        <v>5</v>
      </c>
      <c r="D13" s="36" t="str">
        <f t="shared" si="0"/>
        <v>Cliente 7</v>
      </c>
      <c r="E13" s="35"/>
      <c r="F13" s="20"/>
      <c r="G13" s="20"/>
      <c r="H13" s="20"/>
      <c r="I13" s="20"/>
      <c r="J13" s="20">
        <v>1</v>
      </c>
      <c r="K13" s="20"/>
      <c r="L13" s="20"/>
      <c r="M13" s="20"/>
      <c r="N13" s="20"/>
      <c r="O13" s="20"/>
      <c r="P13" s="20"/>
      <c r="Q13" s="20"/>
      <c r="R13" s="20"/>
      <c r="S13" s="37">
        <f t="shared" si="1"/>
        <v>4</v>
      </c>
    </row>
    <row r="14" spans="1:20" ht="15" thickBot="1" x14ac:dyDescent="0.4">
      <c r="A14" s="9">
        <v>8</v>
      </c>
      <c r="B14" s="6">
        <v>811017434</v>
      </c>
      <c r="C14" s="17" t="s">
        <v>2</v>
      </c>
      <c r="D14" s="36" t="str">
        <f t="shared" si="0"/>
        <v>Cliente 8</v>
      </c>
      <c r="E14" s="35"/>
      <c r="F14" s="20"/>
      <c r="G14" s="20"/>
      <c r="H14" s="20"/>
      <c r="I14" s="20"/>
      <c r="J14" s="20">
        <v>2</v>
      </c>
      <c r="K14" s="20"/>
      <c r="L14" s="20"/>
      <c r="M14" s="20"/>
      <c r="N14" s="20"/>
      <c r="O14" s="20"/>
      <c r="P14" s="20"/>
      <c r="Q14" s="20"/>
      <c r="R14" s="20"/>
      <c r="S14" s="37">
        <f t="shared" si="1"/>
        <v>8</v>
      </c>
    </row>
    <row r="15" spans="1:20" ht="15" thickBot="1" x14ac:dyDescent="0.4">
      <c r="A15" s="9">
        <v>9</v>
      </c>
      <c r="B15" s="6">
        <v>811021857</v>
      </c>
      <c r="C15" s="17" t="s">
        <v>10</v>
      </c>
      <c r="D15" s="36" t="str">
        <f t="shared" si="0"/>
        <v>Cliente 9</v>
      </c>
      <c r="E15" s="35">
        <v>1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7">
        <f t="shared" si="1"/>
        <v>4</v>
      </c>
    </row>
    <row r="16" spans="1:20" ht="15" thickBot="1" x14ac:dyDescent="0.4">
      <c r="A16" s="9">
        <v>10</v>
      </c>
      <c r="B16" s="6">
        <v>811026305</v>
      </c>
      <c r="C16" s="17" t="s">
        <v>9</v>
      </c>
      <c r="D16" s="36" t="str">
        <f t="shared" si="0"/>
        <v>Cliente 10</v>
      </c>
      <c r="E16" s="35">
        <v>1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37">
        <f t="shared" si="1"/>
        <v>4</v>
      </c>
    </row>
    <row r="17" spans="1:20" ht="15" thickBot="1" x14ac:dyDescent="0.4">
      <c r="A17" s="9">
        <v>11</v>
      </c>
      <c r="B17" s="6">
        <v>811041157</v>
      </c>
      <c r="C17" s="17" t="s">
        <v>8</v>
      </c>
      <c r="D17" s="36" t="str">
        <f t="shared" si="0"/>
        <v>Cliente 11</v>
      </c>
      <c r="E17" s="35"/>
      <c r="F17" s="20"/>
      <c r="G17" s="20"/>
      <c r="H17" s="20">
        <v>1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7">
        <f t="shared" si="1"/>
        <v>8</v>
      </c>
    </row>
    <row r="18" spans="1:20" ht="15" thickBot="1" x14ac:dyDescent="0.4">
      <c r="A18" s="9">
        <v>12</v>
      </c>
      <c r="B18" s="6">
        <v>890905375</v>
      </c>
      <c r="C18" s="17" t="s">
        <v>1</v>
      </c>
      <c r="D18" s="36" t="str">
        <f t="shared" si="0"/>
        <v>Cliente 12</v>
      </c>
      <c r="E18" s="35"/>
      <c r="F18" s="20"/>
      <c r="G18" s="20"/>
      <c r="H18" s="20"/>
      <c r="I18" s="20"/>
      <c r="J18" s="20">
        <v>2</v>
      </c>
      <c r="K18" s="20"/>
      <c r="L18" s="20"/>
      <c r="M18" s="20"/>
      <c r="N18" s="20"/>
      <c r="O18" s="20"/>
      <c r="P18" s="20"/>
      <c r="Q18" s="20"/>
      <c r="R18" s="20"/>
      <c r="S18" s="37">
        <f t="shared" si="1"/>
        <v>8</v>
      </c>
    </row>
    <row r="19" spans="1:20" ht="15" thickBot="1" x14ac:dyDescent="0.4">
      <c r="A19" s="9">
        <v>13</v>
      </c>
      <c r="B19" s="6">
        <v>890929858</v>
      </c>
      <c r="C19" s="17" t="s">
        <v>6</v>
      </c>
      <c r="D19" s="36" t="str">
        <f t="shared" si="0"/>
        <v>Cliente 13</v>
      </c>
      <c r="E19" s="35"/>
      <c r="F19" s="20"/>
      <c r="G19" s="20"/>
      <c r="H19" s="20"/>
      <c r="I19" s="20"/>
      <c r="J19" s="20"/>
      <c r="K19" s="20"/>
      <c r="L19" s="20">
        <v>1</v>
      </c>
      <c r="M19" s="20"/>
      <c r="N19" s="20"/>
      <c r="O19" s="20"/>
      <c r="P19" s="20"/>
      <c r="Q19" s="20">
        <v>1</v>
      </c>
      <c r="R19" s="20"/>
      <c r="S19" s="37">
        <f t="shared" si="1"/>
        <v>12</v>
      </c>
    </row>
    <row r="20" spans="1:20" ht="15" thickBot="1" x14ac:dyDescent="0.4">
      <c r="A20" s="9">
        <v>14</v>
      </c>
      <c r="B20" s="6">
        <v>890981947</v>
      </c>
      <c r="C20" s="17" t="s">
        <v>3</v>
      </c>
      <c r="D20" s="36" t="str">
        <f t="shared" si="0"/>
        <v>Cliente 14</v>
      </c>
      <c r="E20" s="35"/>
      <c r="F20" s="20"/>
      <c r="G20" s="20"/>
      <c r="H20" s="20"/>
      <c r="I20" s="20"/>
      <c r="J20" s="20">
        <v>1</v>
      </c>
      <c r="K20" s="20"/>
      <c r="L20" s="20"/>
      <c r="M20" s="20"/>
      <c r="N20" s="20"/>
      <c r="O20" s="20"/>
      <c r="P20" s="20"/>
      <c r="Q20" s="20"/>
      <c r="R20" s="20"/>
      <c r="S20" s="37">
        <f t="shared" si="1"/>
        <v>4</v>
      </c>
    </row>
    <row r="21" spans="1:20" ht="15" thickBot="1" x14ac:dyDescent="0.4">
      <c r="A21" s="9">
        <v>15</v>
      </c>
      <c r="B21" s="6">
        <v>900018093</v>
      </c>
      <c r="C21" s="17" t="s">
        <v>13</v>
      </c>
      <c r="D21" s="36" t="str">
        <f t="shared" si="0"/>
        <v>Cliente 15</v>
      </c>
      <c r="E21" s="35"/>
      <c r="F21" s="20"/>
      <c r="G21" s="20"/>
      <c r="H21" s="20"/>
      <c r="I21" s="20"/>
      <c r="J21" s="20"/>
      <c r="K21" s="20"/>
      <c r="L21" s="20"/>
      <c r="M21" s="20">
        <v>1</v>
      </c>
      <c r="N21" s="20"/>
      <c r="O21" s="20"/>
      <c r="P21" s="20"/>
      <c r="Q21" s="20"/>
      <c r="R21" s="20"/>
      <c r="S21" s="37">
        <f t="shared" si="1"/>
        <v>8</v>
      </c>
    </row>
    <row r="22" spans="1:20" ht="15" thickBot="1" x14ac:dyDescent="0.4">
      <c r="A22" s="9">
        <v>16</v>
      </c>
      <c r="B22" s="6">
        <v>900126377</v>
      </c>
      <c r="C22" s="17" t="s">
        <v>16</v>
      </c>
      <c r="D22" s="36" t="str">
        <f t="shared" si="0"/>
        <v>Cliente 16</v>
      </c>
      <c r="E22" s="35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>
        <v>1</v>
      </c>
      <c r="Q22" s="20"/>
      <c r="R22" s="20"/>
      <c r="S22" s="37">
        <f t="shared" si="1"/>
        <v>6</v>
      </c>
    </row>
    <row r="23" spans="1:20" ht="15" thickBot="1" x14ac:dyDescent="0.4">
      <c r="A23" s="9">
        <v>17</v>
      </c>
      <c r="B23" s="6">
        <v>900175262</v>
      </c>
      <c r="C23" s="17" t="s">
        <v>15</v>
      </c>
      <c r="D23" s="36" t="str">
        <f t="shared" si="0"/>
        <v>Cliente 17</v>
      </c>
      <c r="E23" s="35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>
        <v>1</v>
      </c>
      <c r="R23" s="20"/>
      <c r="S23" s="37">
        <f t="shared" si="1"/>
        <v>4</v>
      </c>
    </row>
    <row r="24" spans="1:20" ht="15" thickBot="1" x14ac:dyDescent="0.4">
      <c r="A24" s="9">
        <v>18</v>
      </c>
      <c r="B24" s="21" t="s">
        <v>45</v>
      </c>
      <c r="C24" s="17" t="s">
        <v>47</v>
      </c>
      <c r="D24" s="36" t="str">
        <f>PROPER(C24)</f>
        <v>Clientes Atención Demandas Administrativas</v>
      </c>
      <c r="E24" s="35"/>
      <c r="F24" s="20"/>
      <c r="G24" s="20">
        <v>2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37">
        <f t="shared" si="1"/>
        <v>24</v>
      </c>
    </row>
    <row r="25" spans="1:20" ht="15" thickBot="1" x14ac:dyDescent="0.4">
      <c r="A25" s="9">
        <v>19</v>
      </c>
      <c r="B25" s="21" t="s">
        <v>45</v>
      </c>
      <c r="C25" s="17" t="s">
        <v>46</v>
      </c>
      <c r="D25" s="36" t="str">
        <f>PROPER(C25)</f>
        <v>Asistentes Capacitaciones</v>
      </c>
      <c r="E25" s="35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>
        <v>50</v>
      </c>
      <c r="S25" s="37">
        <f t="shared" si="1"/>
        <v>25</v>
      </c>
    </row>
    <row r="26" spans="1:20" x14ac:dyDescent="0.35">
      <c r="D26" s="1"/>
      <c r="S26" s="1"/>
    </row>
    <row r="27" spans="1:20" x14ac:dyDescent="0.35">
      <c r="D27" s="36" t="s">
        <v>67</v>
      </c>
      <c r="E27" s="27">
        <f>SUM(E7:E25)</f>
        <v>2</v>
      </c>
      <c r="F27" s="27">
        <f t="shared" ref="F27:R27" si="2">SUM(F7:F25)</f>
        <v>1</v>
      </c>
      <c r="G27" s="27">
        <f t="shared" si="2"/>
        <v>2</v>
      </c>
      <c r="H27" s="27">
        <f t="shared" si="2"/>
        <v>1</v>
      </c>
      <c r="I27" s="27">
        <f t="shared" si="2"/>
        <v>1</v>
      </c>
      <c r="J27" s="27">
        <f t="shared" si="2"/>
        <v>9</v>
      </c>
      <c r="K27" s="27">
        <f t="shared" si="2"/>
        <v>1</v>
      </c>
      <c r="L27" s="27">
        <f t="shared" si="2"/>
        <v>1</v>
      </c>
      <c r="M27" s="27">
        <f t="shared" si="2"/>
        <v>1</v>
      </c>
      <c r="N27" s="27">
        <f t="shared" si="2"/>
        <v>0</v>
      </c>
      <c r="O27" s="27">
        <f t="shared" si="2"/>
        <v>1</v>
      </c>
      <c r="P27" s="27">
        <f t="shared" si="2"/>
        <v>1</v>
      </c>
      <c r="Q27" s="27">
        <f t="shared" si="2"/>
        <v>4</v>
      </c>
      <c r="R27" s="27">
        <f t="shared" si="2"/>
        <v>50</v>
      </c>
      <c r="S27" s="27">
        <f>SUM(S7:S25)</f>
        <v>163</v>
      </c>
    </row>
    <row r="28" spans="1:20" x14ac:dyDescent="0.35">
      <c r="D28" s="36" t="s">
        <v>68</v>
      </c>
      <c r="E28" s="27">
        <f>E27*E6</f>
        <v>8</v>
      </c>
      <c r="F28" s="27">
        <f t="shared" ref="F28:R28" si="3">F27*F6</f>
        <v>8</v>
      </c>
      <c r="G28" s="27">
        <f t="shared" si="3"/>
        <v>24</v>
      </c>
      <c r="H28" s="27">
        <f t="shared" si="3"/>
        <v>8</v>
      </c>
      <c r="I28" s="27">
        <f t="shared" si="3"/>
        <v>8</v>
      </c>
      <c r="J28" s="27">
        <f t="shared" si="3"/>
        <v>36</v>
      </c>
      <c r="K28" s="27">
        <f t="shared" si="3"/>
        <v>4</v>
      </c>
      <c r="L28" s="27">
        <f t="shared" si="3"/>
        <v>8</v>
      </c>
      <c r="M28" s="27">
        <f t="shared" si="3"/>
        <v>8</v>
      </c>
      <c r="N28" s="27">
        <f t="shared" si="3"/>
        <v>0</v>
      </c>
      <c r="O28" s="27">
        <f t="shared" si="3"/>
        <v>4</v>
      </c>
      <c r="P28" s="27">
        <f t="shared" si="3"/>
        <v>6</v>
      </c>
      <c r="Q28" s="27">
        <f t="shared" si="3"/>
        <v>16</v>
      </c>
      <c r="R28" s="27">
        <f t="shared" si="3"/>
        <v>25</v>
      </c>
      <c r="S28" s="28">
        <f>SUM(E28:R28)</f>
        <v>163</v>
      </c>
    </row>
    <row r="29" spans="1:20" x14ac:dyDescent="0.35">
      <c r="E29" s="15">
        <f t="shared" ref="E29:R29" si="4">E28*$T$2</f>
        <v>5128000</v>
      </c>
      <c r="F29" s="15">
        <f>F28*$T$2</f>
        <v>5128000</v>
      </c>
      <c r="G29" s="15">
        <f t="shared" si="4"/>
        <v>15384000</v>
      </c>
      <c r="H29" s="15">
        <f t="shared" si="4"/>
        <v>5128000</v>
      </c>
      <c r="I29" s="15">
        <f t="shared" si="4"/>
        <v>5128000</v>
      </c>
      <c r="J29" s="15">
        <f t="shared" si="4"/>
        <v>23076000</v>
      </c>
      <c r="K29" s="15">
        <f t="shared" si="4"/>
        <v>2564000</v>
      </c>
      <c r="L29" s="15">
        <f t="shared" si="4"/>
        <v>5128000</v>
      </c>
      <c r="M29" s="15">
        <f t="shared" si="4"/>
        <v>5128000</v>
      </c>
      <c r="N29" s="15">
        <f t="shared" si="4"/>
        <v>0</v>
      </c>
      <c r="O29" s="15">
        <f t="shared" si="4"/>
        <v>2564000</v>
      </c>
      <c r="P29" s="15">
        <f t="shared" si="4"/>
        <v>3846000</v>
      </c>
      <c r="Q29" s="15">
        <f t="shared" si="4"/>
        <v>10256000</v>
      </c>
      <c r="R29" s="15">
        <f t="shared" si="4"/>
        <v>16025000</v>
      </c>
      <c r="T29" s="15">
        <f>S27*$T$2</f>
        <v>104483000</v>
      </c>
    </row>
    <row r="30" spans="1:20" x14ac:dyDescent="0.35">
      <c r="R30" s="25">
        <f>25/R27</f>
        <v>0.5</v>
      </c>
    </row>
    <row r="31" spans="1:20" x14ac:dyDescent="0.35">
      <c r="E31">
        <f>VLOOKUP(E$5,'Productos Horas'!$A$5:$D$18,4,0)</f>
        <v>8</v>
      </c>
      <c r="F31">
        <f>VLOOKUP(F$5,'Productos Horas'!$A$5:$D$18,4,0)</f>
        <v>16</v>
      </c>
      <c r="G31">
        <f>VLOOKUP(G$5,'Productos Horas'!$A$5:$D$18,4,0)</f>
        <v>16</v>
      </c>
      <c r="H31">
        <f>VLOOKUP(H$5,'Productos Horas'!$A$5:$D$18,4,0)</f>
        <v>12</v>
      </c>
      <c r="I31">
        <f>VLOOKUP(I$5,'Productos Horas'!$A$5:$D$18,4,0)</f>
        <v>12</v>
      </c>
      <c r="J31">
        <f>VLOOKUP(J$5,'Productos Horas'!$A$5:$D$18,4,0)</f>
        <v>4</v>
      </c>
      <c r="K31">
        <f>VLOOKUP(K$5,'Productos Horas'!$A$5:$D$18,4,0)</f>
        <v>4</v>
      </c>
      <c r="L31">
        <f>VLOOKUP(L$5,'Productos Horas'!$A$5:$D$18,4,0)</f>
        <v>12</v>
      </c>
      <c r="M31">
        <f>VLOOKUP(M$5,'Productos Horas'!$A$5:$D$18,4,0)</f>
        <v>12</v>
      </c>
      <c r="N31">
        <f>VLOOKUP(N$5,'Productos Horas'!$A$5:$D$18,4,0)</f>
        <v>8</v>
      </c>
      <c r="O31">
        <f>VLOOKUP(O$5,'Productos Horas'!$A$5:$D$18,4,0)</f>
        <v>8</v>
      </c>
      <c r="P31">
        <f>VLOOKUP(P$5,'Productos Horas'!$A$5:$D$18,4,0)</f>
        <v>8</v>
      </c>
      <c r="Q31">
        <f>VLOOKUP(Q$5,'Productos Horas'!$A$5:$D$18,4,0)</f>
        <v>16</v>
      </c>
      <c r="R31">
        <f>VLOOKUP(R$5,'Productos Horas'!$A$5:$D$18,4,0)</f>
        <v>0.125</v>
      </c>
    </row>
    <row r="32" spans="1:20" x14ac:dyDescent="0.35">
      <c r="E32" s="49">
        <f>E27*E31</f>
        <v>16</v>
      </c>
      <c r="F32" s="49">
        <f t="shared" ref="F32:R32" si="5">F27*F31</f>
        <v>16</v>
      </c>
      <c r="G32" s="49">
        <f t="shared" si="5"/>
        <v>32</v>
      </c>
      <c r="H32" s="49">
        <f t="shared" si="5"/>
        <v>12</v>
      </c>
      <c r="I32" s="49">
        <f t="shared" si="5"/>
        <v>12</v>
      </c>
      <c r="J32" s="49">
        <f t="shared" si="5"/>
        <v>36</v>
      </c>
      <c r="K32" s="49">
        <f t="shared" si="5"/>
        <v>4</v>
      </c>
      <c r="L32" s="49">
        <f t="shared" si="5"/>
        <v>12</v>
      </c>
      <c r="M32" s="49">
        <f t="shared" si="5"/>
        <v>12</v>
      </c>
      <c r="N32" s="49">
        <f t="shared" si="5"/>
        <v>0</v>
      </c>
      <c r="O32" s="49">
        <f t="shared" si="5"/>
        <v>8</v>
      </c>
      <c r="P32" s="49">
        <f t="shared" si="5"/>
        <v>8</v>
      </c>
      <c r="Q32" s="49">
        <f t="shared" si="5"/>
        <v>64</v>
      </c>
      <c r="R32" s="49">
        <f t="shared" si="5"/>
        <v>6.25</v>
      </c>
    </row>
  </sheetData>
  <printOptions horizontalCentered="1" verticalCentered="1"/>
  <pageMargins left="0.31496062992125984" right="0.11811023622047245" top="0.15748031496062992" bottom="0.35433070866141736" header="0.31496062992125984" footer="0.31496062992125984"/>
  <pageSetup scale="6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T32"/>
  <sheetViews>
    <sheetView showGridLines="0" workbookViewId="0">
      <pane xSplit="3" ySplit="6" topLeftCell="E21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1" max="1" width="14.81640625" customWidth="1"/>
    <col min="2" max="2" width="13.90625" customWidth="1"/>
    <col min="3" max="3" width="59" bestFit="1" customWidth="1"/>
    <col min="4" max="4" width="37.54296875" bestFit="1" customWidth="1"/>
    <col min="5" max="18" width="4.81640625" customWidth="1"/>
    <col min="19" max="19" width="5.1796875" bestFit="1" customWidth="1"/>
    <col min="20" max="20" width="12.36328125" bestFit="1" customWidth="1"/>
  </cols>
  <sheetData>
    <row r="2" spans="1:20" x14ac:dyDescent="0.35">
      <c r="B2" s="296">
        <f>VLOOKUP(1,Variables!$B$9:$C$14,2,9)</f>
        <v>1</v>
      </c>
      <c r="T2" s="38">
        <f>ROUNDUP(616000*1.04,-3)</f>
        <v>641000</v>
      </c>
    </row>
    <row r="3" spans="1:20" ht="15" thickBot="1" x14ac:dyDescent="0.4"/>
    <row r="4" spans="1:20" ht="117.5" thickBot="1" x14ac:dyDescent="0.4">
      <c r="A4" s="3" t="s">
        <v>41</v>
      </c>
      <c r="B4" s="3" t="s">
        <v>17</v>
      </c>
      <c r="C4" s="19" t="s">
        <v>18</v>
      </c>
      <c r="D4" s="26"/>
      <c r="E4" s="29" t="str">
        <f>VLOOKUP(E$5,'Productos $'!$A$5:$D$18,2,0)</f>
        <v>Planeación tributaria</v>
      </c>
      <c r="F4" s="29" t="str">
        <f>VLOOKUP(F$5,'Productos $'!$A$5:$D$18,2,0)</f>
        <v>Atención investigaciones tributarias</v>
      </c>
      <c r="G4" s="29" t="str">
        <f>VLOOKUP(G$5,'Productos $'!$A$5:$D$18,2,0)</f>
        <v>Presentación demandas</v>
      </c>
      <c r="H4" s="29" t="str">
        <f>VLOOKUP(H$5,'Productos $'!$A$5:$D$18,2,0)</f>
        <v>Atención investigaciones aduaneras</v>
      </c>
      <c r="I4" s="29" t="str">
        <f>VLOOKUP(I$5,'Productos $'!$A$5:$D$18,2,0)</f>
        <v>Devoluciones</v>
      </c>
      <c r="J4" s="29" t="str">
        <f>VLOOKUP(J$5,'Productos $'!$A$5:$D$18,2,0)</f>
        <v>Consultoría tributaria permanente</v>
      </c>
      <c r="K4" s="29" t="str">
        <f>VLOOKUP(K$5,'Productos $'!$A$5:$D$18,2,0)</f>
        <v>Consultoría laboral</v>
      </c>
      <c r="L4" s="29" t="str">
        <f>VLOOKUP(L$5,'Productos $'!$A$5:$D$18,2,0)</f>
        <v>Planeación tributaria internacional</v>
      </c>
      <c r="M4" s="29" t="str">
        <f>VLOOKUP(M$5,'Productos $'!$A$5:$D$18,2,0)</f>
        <v>Estructuración de sociedades</v>
      </c>
      <c r="N4" s="29" t="str">
        <f>VLOOKUP(N$5,'Productos $'!$A$5:$D$18,2,0)</f>
        <v>Estructuración de negocios</v>
      </c>
      <c r="O4" s="29" t="str">
        <f>VLOOKUP(O$5,'Productos $'!$A$5:$D$18,2,0)</f>
        <v>Consultas específicas</v>
      </c>
      <c r="P4" s="29" t="str">
        <f>VLOOKUP(P$5,'Productos $'!$A$5:$D$18,2,0)</f>
        <v>Resolución de problemas específicos</v>
      </c>
      <c r="Q4" s="29" t="str">
        <f>VLOOKUP(Q$5,'Productos $'!$A$5:$D$18,2,0)</f>
        <v>NIIF</v>
      </c>
      <c r="R4" s="29" t="str">
        <f>VLOOKUP(R$5,'Productos $'!$A$5:$D$18,2,0)</f>
        <v>Capacitaciones</v>
      </c>
    </row>
    <row r="5" spans="1:20" ht="15" thickBot="1" x14ac:dyDescent="0.4">
      <c r="A5" s="12"/>
      <c r="B5" s="13"/>
      <c r="C5" s="14" t="s">
        <v>43</v>
      </c>
      <c r="D5" s="698" t="s">
        <v>43</v>
      </c>
      <c r="E5" s="699">
        <v>1</v>
      </c>
      <c r="F5" s="699">
        <v>2</v>
      </c>
      <c r="G5" s="699">
        <v>3</v>
      </c>
      <c r="H5" s="699">
        <v>4</v>
      </c>
      <c r="I5" s="699">
        <v>5</v>
      </c>
      <c r="J5" s="699">
        <v>6</v>
      </c>
      <c r="K5" s="699">
        <v>7</v>
      </c>
      <c r="L5" s="699">
        <v>8</v>
      </c>
      <c r="M5" s="699">
        <v>9</v>
      </c>
      <c r="N5" s="699">
        <v>10</v>
      </c>
      <c r="O5" s="699">
        <v>11</v>
      </c>
      <c r="P5" s="699">
        <v>12</v>
      </c>
      <c r="Q5" s="699">
        <v>13</v>
      </c>
      <c r="R5" s="699">
        <v>14</v>
      </c>
      <c r="S5" s="700" t="s">
        <v>65</v>
      </c>
    </row>
    <row r="6" spans="1:20" ht="15" thickBot="1" x14ac:dyDescent="0.4">
      <c r="A6" s="12"/>
      <c r="B6" s="13"/>
      <c r="C6" s="14" t="s">
        <v>42</v>
      </c>
      <c r="D6" s="701" t="s">
        <v>42</v>
      </c>
      <c r="E6" s="702">
        <v>4</v>
      </c>
      <c r="F6" s="702">
        <v>8</v>
      </c>
      <c r="G6" s="702">
        <v>12</v>
      </c>
      <c r="H6" s="702">
        <v>8</v>
      </c>
      <c r="I6" s="702">
        <v>8</v>
      </c>
      <c r="J6" s="702">
        <v>4</v>
      </c>
      <c r="K6" s="702">
        <v>4</v>
      </c>
      <c r="L6" s="702">
        <v>8</v>
      </c>
      <c r="M6" s="702">
        <v>8</v>
      </c>
      <c r="N6" s="702">
        <v>8</v>
      </c>
      <c r="O6" s="702">
        <v>4</v>
      </c>
      <c r="P6" s="702">
        <v>6</v>
      </c>
      <c r="Q6" s="702">
        <v>4</v>
      </c>
      <c r="R6" s="702">
        <v>0.5</v>
      </c>
      <c r="S6" s="703"/>
    </row>
    <row r="7" spans="1:20" ht="15" thickBot="1" x14ac:dyDescent="0.4">
      <c r="A7" s="8">
        <v>1</v>
      </c>
      <c r="B7" s="4">
        <v>800014574</v>
      </c>
      <c r="C7" s="16" t="s">
        <v>14</v>
      </c>
      <c r="D7" s="691" t="str">
        <f>"Cliente "&amp;A7</f>
        <v>Cliente 1</v>
      </c>
      <c r="E7" s="704" t="str">
        <f>IF(SUMIF('Ingresos Uds 100'!$C$7:$C$25,$C8,'Ingresos Uds 100'!E$7:E$25)*$B$2=0,"",SUMIF('Ingresos Uds 100'!$C$7:$C$25,$C8,'Ingresos Uds 100'!E$7:E$25)*$B$2)</f>
        <v/>
      </c>
      <c r="F7" s="704" t="str">
        <f>IF(SUMIF('Ingresos Uds 100'!$C$7:$C$25,$C7,'Ingresos Uds 100'!F$7:F$25)*$B$2=0,"",SUMIF('Ingresos Uds 100'!$C$7:$C$25,$C7,'Ingresos Uds 100'!F$7:F$25)*$B$2)</f>
        <v/>
      </c>
      <c r="G7" s="704" t="str">
        <f>IF(SUMIF('Ingresos Uds 100'!$C$7:$C$25,$C7,'Ingresos Uds 100'!G$7:G$25)*$B$2=0,"",SUMIF('Ingresos Uds 100'!$C$7:$C$25,$C7,'Ingresos Uds 100'!G$7:G$25)*$B$2)</f>
        <v/>
      </c>
      <c r="H7" s="704" t="str">
        <f>IF(SUMIF('Ingresos Uds 100'!$C$7:$C$25,$C7,'Ingresos Uds 100'!H$7:H$25)*$B$2=0,"",SUMIF('Ingresos Uds 100'!$C$7:$C$25,$C7,'Ingresos Uds 100'!H$7:H$25)*$B$2)</f>
        <v/>
      </c>
      <c r="I7" s="704" t="str">
        <f>IF(SUMIF('Ingresos Uds 100'!$C$7:$C$25,$C7,'Ingresos Uds 100'!I$7:I$25)*$B$2=0,"",SUMIF('Ingresos Uds 100'!$C$7:$C$25,$C7,'Ingresos Uds 100'!I$7:I$25)*$B$2)</f>
        <v/>
      </c>
      <c r="J7" s="704">
        <f>IF(SUMIF('Ingresos Uds 100'!$C$7:$C$25,$C7,'Ingresos Uds 100'!J$7:J$25)*$B$2=0,"",SUMIF('Ingresos Uds 100'!$C$7:$C$25,$C7,'Ingresos Uds 100'!J$7:J$25)*$B$2)</f>
        <v>1</v>
      </c>
      <c r="K7" s="704">
        <f>IF(SUMIF('Ingresos Uds 100'!$C$7:$C$25,$C7,'Ingresos Uds 100'!K$7:K$25)*$B$2=0,"",SUMIF('Ingresos Uds 100'!$C$7:$C$25,$C7,'Ingresos Uds 100'!K$7:K$25)*$B$2)</f>
        <v>1</v>
      </c>
      <c r="L7" s="704" t="str">
        <f>IF(SUMIF('Ingresos Uds 100'!$C$7:$C$25,$C7,'Ingresos Uds 100'!L$7:L$25)*$B$2=0,"",SUMIF('Ingresos Uds 100'!$C$7:$C$25,$C7,'Ingresos Uds 100'!L$7:L$25)*$B$2)</f>
        <v/>
      </c>
      <c r="M7" s="704" t="str">
        <f>IF(SUMIF('Ingresos Uds 100'!$C$7:$C$25,$C7,'Ingresos Uds 100'!M$7:M$25)*$B$2=0,"",SUMIF('Ingresos Uds 100'!$C$7:$C$25,$C7,'Ingresos Uds 100'!M$7:M$25)*$B$2)</f>
        <v/>
      </c>
      <c r="N7" s="704" t="str">
        <f>IF(SUMIF('Ingresos Uds 100'!$C$7:$C$25,$C7,'Ingresos Uds 100'!N$7:N$25)*$B$2=0,"",SUMIF('Ingresos Uds 100'!$C$7:$C$25,$C7,'Ingresos Uds 100'!N$7:N$25)*$B$2)</f>
        <v/>
      </c>
      <c r="O7" s="704" t="str">
        <f>IF(SUMIF('Ingresos Uds 100'!$C$7:$C$25,$C7,'Ingresos Uds 100'!O$7:O$25)*$B$2=0,"",SUMIF('Ingresos Uds 100'!$C$7:$C$25,$C7,'Ingresos Uds 100'!O$7:O$25)*$B$2)</f>
        <v/>
      </c>
      <c r="P7" s="704" t="str">
        <f>IF(SUMIF('Ingresos Uds 100'!$C$7:$C$25,$C7,'Ingresos Uds 100'!P$7:P$25)*$B$2=0,"",SUMIF('Ingresos Uds 100'!$C$7:$C$25,$C7,'Ingresos Uds 100'!P$7:P$25)*$B$2)</f>
        <v/>
      </c>
      <c r="Q7" s="704" t="str">
        <f>IF(SUMIF('Ingresos Uds 100'!$C$7:$C$25,$C7,'Ingresos Uds 100'!Q$7:Q$25)*$B$2=0,"",SUMIF('Ingresos Uds 100'!$C$7:$C$25,$C7,'Ingresos Uds 100'!Q$7:Q$25)*$B$2)</f>
        <v/>
      </c>
      <c r="R7" s="704" t="str">
        <f>IF(SUMIF('Ingresos Uds 100'!$C$7:$C$25,$C7,'Ingresos Uds 100'!R$7:R$25)*$B$2=0,"",SUMIF('Ingresos Uds 100'!$C$7:$C$25,$C7,'Ingresos Uds 100'!R$7:R$25)*$B$2)</f>
        <v/>
      </c>
      <c r="S7" s="692">
        <f>SUMPRODUCT($E$6:$R$6,$E7:$R7)</f>
        <v>8</v>
      </c>
    </row>
    <row r="8" spans="1:20" ht="15" thickBot="1" x14ac:dyDescent="0.4">
      <c r="A8" s="9">
        <v>2</v>
      </c>
      <c r="B8" s="6">
        <v>800023622</v>
      </c>
      <c r="C8" s="17" t="s">
        <v>0</v>
      </c>
      <c r="D8" s="691" t="str">
        <f t="shared" ref="D8:D23" si="0">"Cliente "&amp;A8</f>
        <v>Cliente 2</v>
      </c>
      <c r="E8" s="704" t="str">
        <f>IF(SUMIF('Ingresos Uds 100'!$C$7:$C$25,$C9,'Ingresos Uds 100'!E$7:E$25)*$B$2=0,"",SUMIF('Ingresos Uds 100'!$C$7:$C$25,$C9,'Ingresos Uds 100'!E$7:E$25)*$B$2)</f>
        <v/>
      </c>
      <c r="F8" s="704" t="str">
        <f>IF(SUMIF('Ingresos Uds 100'!$C$7:$C$25,$C8,'Ingresos Uds 100'!F$7:F$25)*$B$2=0,"",SUMIF('Ingresos Uds 100'!$C$7:$C$25,$C8,'Ingresos Uds 100'!F$7:F$25)*$B$2)</f>
        <v/>
      </c>
      <c r="G8" s="704" t="str">
        <f>IF(SUMIF('Ingresos Uds 100'!$C$7:$C$25,$C8,'Ingresos Uds 100'!G$7:G$25)*$B$2=0,"",SUMIF('Ingresos Uds 100'!$C$7:$C$25,$C8,'Ingresos Uds 100'!G$7:G$25)*$B$2)</f>
        <v/>
      </c>
      <c r="H8" s="704" t="str">
        <f>IF(SUMIF('Ingresos Uds 100'!$C$7:$C$25,$C8,'Ingresos Uds 100'!H$7:H$25)*$B$2=0,"",SUMIF('Ingresos Uds 100'!$C$7:$C$25,$C8,'Ingresos Uds 100'!H$7:H$25)*$B$2)</f>
        <v/>
      </c>
      <c r="I8" s="704" t="str">
        <f>IF(SUMIF('Ingresos Uds 100'!$C$7:$C$25,$C8,'Ingresos Uds 100'!I$7:I$25)*$B$2=0,"",SUMIF('Ingresos Uds 100'!$C$7:$C$25,$C8,'Ingresos Uds 100'!I$7:I$25)*$B$2)</f>
        <v/>
      </c>
      <c r="J8" s="704">
        <f>IF(SUMIF('Ingresos Uds 100'!$C$7:$C$25,$C8,'Ingresos Uds 100'!J$7:J$25)*$B$2=0,"",SUMIF('Ingresos Uds 100'!$C$7:$C$25,$C8,'Ingresos Uds 100'!J$7:J$25)*$B$2)</f>
        <v>1</v>
      </c>
      <c r="K8" s="704" t="str">
        <f>IF(SUMIF('Ingresos Uds 100'!$C$7:$C$25,$C8,'Ingresos Uds 100'!K$7:K$25)*$B$2=0,"",SUMIF('Ingresos Uds 100'!$C$7:$C$25,$C8,'Ingresos Uds 100'!K$7:K$25)*$B$2)</f>
        <v/>
      </c>
      <c r="L8" s="704" t="str">
        <f>IF(SUMIF('Ingresos Uds 100'!$C$7:$C$25,$C8,'Ingresos Uds 100'!L$7:L$25)*$B$2=0,"",SUMIF('Ingresos Uds 100'!$C$7:$C$25,$C8,'Ingresos Uds 100'!L$7:L$25)*$B$2)</f>
        <v/>
      </c>
      <c r="M8" s="704" t="str">
        <f>IF(SUMIF('Ingresos Uds 100'!$C$7:$C$25,$C8,'Ingresos Uds 100'!M$7:M$25)*$B$2=0,"",SUMIF('Ingresos Uds 100'!$C$7:$C$25,$C8,'Ingresos Uds 100'!M$7:M$25)*$B$2)</f>
        <v/>
      </c>
      <c r="N8" s="704" t="str">
        <f>IF(SUMIF('Ingresos Uds 100'!$C$7:$C$25,$C8,'Ingresos Uds 100'!N$7:N$25)*$B$2=0,"",SUMIF('Ingresos Uds 100'!$C$7:$C$25,$C8,'Ingresos Uds 100'!N$7:N$25)*$B$2)</f>
        <v/>
      </c>
      <c r="O8" s="704" t="str">
        <f>IF(SUMIF('Ingresos Uds 100'!$C$7:$C$25,$C8,'Ingresos Uds 100'!O$7:O$25)*$B$2=0,"",SUMIF('Ingresos Uds 100'!$C$7:$C$25,$C8,'Ingresos Uds 100'!O$7:O$25)*$B$2)</f>
        <v/>
      </c>
      <c r="P8" s="704" t="str">
        <f>IF(SUMIF('Ingresos Uds 100'!$C$7:$C$25,$C8,'Ingresos Uds 100'!P$7:P$25)*$B$2=0,"",SUMIF('Ingresos Uds 100'!$C$7:$C$25,$C8,'Ingresos Uds 100'!P$7:P$25)*$B$2)</f>
        <v/>
      </c>
      <c r="Q8" s="704">
        <f>IF(SUMIF('Ingresos Uds 100'!$C$7:$C$25,$C8,'Ingresos Uds 100'!Q$7:Q$25)*$B$2=0,"",SUMIF('Ingresos Uds 100'!$C$7:$C$25,$C8,'Ingresos Uds 100'!Q$7:Q$25)*$B$2)</f>
        <v>1</v>
      </c>
      <c r="R8" s="704" t="str">
        <f>IF(SUMIF('Ingresos Uds 100'!$C$7:$C$25,$C8,'Ingresos Uds 100'!R$7:R$25)*$B$2=0,"",SUMIF('Ingresos Uds 100'!$C$7:$C$25,$C8,'Ingresos Uds 100'!R$7:R$25)*$B$2)</f>
        <v/>
      </c>
      <c r="S8" s="692">
        <f t="shared" ref="S8:S25" si="1">SUMPRODUCT($E$6:$R$6,$E8:$R8)</f>
        <v>8</v>
      </c>
    </row>
    <row r="9" spans="1:20" ht="15" thickBot="1" x14ac:dyDescent="0.4">
      <c r="A9" s="9">
        <v>3</v>
      </c>
      <c r="B9" s="6">
        <v>800059608</v>
      </c>
      <c r="C9" s="17" t="s">
        <v>4</v>
      </c>
      <c r="D9" s="691" t="str">
        <f t="shared" si="0"/>
        <v>Cliente 3</v>
      </c>
      <c r="E9" s="704" t="str">
        <f>IF(SUMIF('Ingresos Uds 100'!$C$7:$C$25,$C10,'Ingresos Uds 100'!E$7:E$25)*$B$2=0,"",SUMIF('Ingresos Uds 100'!$C$7:$C$25,$C10,'Ingresos Uds 100'!E$7:E$25)*$B$2)</f>
        <v/>
      </c>
      <c r="F9" s="704" t="str">
        <f>IF(SUMIF('Ingresos Uds 100'!$C$7:$C$25,$C9,'Ingresos Uds 100'!F$7:F$25)*$B$2=0,"",SUMIF('Ingresos Uds 100'!$C$7:$C$25,$C9,'Ingresos Uds 100'!F$7:F$25)*$B$2)</f>
        <v/>
      </c>
      <c r="G9" s="704" t="str">
        <f>IF(SUMIF('Ingresos Uds 100'!$C$7:$C$25,$C9,'Ingresos Uds 100'!G$7:G$25)*$B$2=0,"",SUMIF('Ingresos Uds 100'!$C$7:$C$25,$C9,'Ingresos Uds 100'!G$7:G$25)*$B$2)</f>
        <v/>
      </c>
      <c r="H9" s="704" t="str">
        <f>IF(SUMIF('Ingresos Uds 100'!$C$7:$C$25,$C9,'Ingresos Uds 100'!H$7:H$25)*$B$2=0,"",SUMIF('Ingresos Uds 100'!$C$7:$C$25,$C9,'Ingresos Uds 100'!H$7:H$25)*$B$2)</f>
        <v/>
      </c>
      <c r="I9" s="704" t="str">
        <f>IF(SUMIF('Ingresos Uds 100'!$C$7:$C$25,$C9,'Ingresos Uds 100'!I$7:I$25)*$B$2=0,"",SUMIF('Ingresos Uds 100'!$C$7:$C$25,$C9,'Ingresos Uds 100'!I$7:I$25)*$B$2)</f>
        <v/>
      </c>
      <c r="J9" s="704">
        <f>IF(SUMIF('Ingresos Uds 100'!$C$7:$C$25,$C9,'Ingresos Uds 100'!J$7:J$25)*$B$2=0,"",SUMIF('Ingresos Uds 100'!$C$7:$C$25,$C9,'Ingresos Uds 100'!J$7:J$25)*$B$2)</f>
        <v>1</v>
      </c>
      <c r="K9" s="704" t="str">
        <f>IF(SUMIF('Ingresos Uds 100'!$C$7:$C$25,$C9,'Ingresos Uds 100'!K$7:K$25)*$B$2=0,"",SUMIF('Ingresos Uds 100'!$C$7:$C$25,$C9,'Ingresos Uds 100'!K$7:K$25)*$B$2)</f>
        <v/>
      </c>
      <c r="L9" s="704" t="str">
        <f>IF(SUMIF('Ingresos Uds 100'!$C$7:$C$25,$C9,'Ingresos Uds 100'!L$7:L$25)*$B$2=0,"",SUMIF('Ingresos Uds 100'!$C$7:$C$25,$C9,'Ingresos Uds 100'!L$7:L$25)*$B$2)</f>
        <v/>
      </c>
      <c r="M9" s="704" t="str">
        <f>IF(SUMIF('Ingresos Uds 100'!$C$7:$C$25,$C9,'Ingresos Uds 100'!M$7:M$25)*$B$2=0,"",SUMIF('Ingresos Uds 100'!$C$7:$C$25,$C9,'Ingresos Uds 100'!M$7:M$25)*$B$2)</f>
        <v/>
      </c>
      <c r="N9" s="704" t="str">
        <f>IF(SUMIF('Ingresos Uds 100'!$C$7:$C$25,$C9,'Ingresos Uds 100'!N$7:N$25)*$B$2=0,"",SUMIF('Ingresos Uds 100'!$C$7:$C$25,$C9,'Ingresos Uds 100'!N$7:N$25)*$B$2)</f>
        <v/>
      </c>
      <c r="O9" s="704" t="str">
        <f>IF(SUMIF('Ingresos Uds 100'!$C$7:$C$25,$C9,'Ingresos Uds 100'!O$7:O$25)*$B$2=0,"",SUMIF('Ingresos Uds 100'!$C$7:$C$25,$C9,'Ingresos Uds 100'!O$7:O$25)*$B$2)</f>
        <v/>
      </c>
      <c r="P9" s="704" t="str">
        <f>IF(SUMIF('Ingresos Uds 100'!$C$7:$C$25,$C9,'Ingresos Uds 100'!P$7:P$25)*$B$2=0,"",SUMIF('Ingresos Uds 100'!$C$7:$C$25,$C9,'Ingresos Uds 100'!P$7:P$25)*$B$2)</f>
        <v/>
      </c>
      <c r="Q9" s="704" t="str">
        <f>IF(SUMIF('Ingresos Uds 100'!$C$7:$C$25,$C9,'Ingresos Uds 100'!Q$7:Q$25)*$B$2=0,"",SUMIF('Ingresos Uds 100'!$C$7:$C$25,$C9,'Ingresos Uds 100'!Q$7:Q$25)*$B$2)</f>
        <v/>
      </c>
      <c r="R9" s="704" t="str">
        <f>IF(SUMIF('Ingresos Uds 100'!$C$7:$C$25,$C9,'Ingresos Uds 100'!R$7:R$25)*$B$2=0,"",SUMIF('Ingresos Uds 100'!$C$7:$C$25,$C9,'Ingresos Uds 100'!R$7:R$25)*$B$2)</f>
        <v/>
      </c>
      <c r="S9" s="692">
        <f t="shared" si="1"/>
        <v>4</v>
      </c>
    </row>
    <row r="10" spans="1:20" ht="15" thickBot="1" x14ac:dyDescent="0.4">
      <c r="A10" s="9">
        <v>4</v>
      </c>
      <c r="B10" s="6">
        <v>800174125</v>
      </c>
      <c r="C10" s="17" t="s">
        <v>7</v>
      </c>
      <c r="D10" s="691" t="str">
        <f t="shared" si="0"/>
        <v>Cliente 4</v>
      </c>
      <c r="E10" s="704" t="str">
        <f>IF(SUMIF('Ingresos Uds 100'!$C$7:$C$25,$C11,'Ingresos Uds 100'!E$7:E$25)*$B$2=0,"",SUMIF('Ingresos Uds 100'!$C$7:$C$25,$C11,'Ingresos Uds 100'!E$7:E$25)*$B$2)</f>
        <v/>
      </c>
      <c r="F10" s="704" t="str">
        <f>IF(SUMIF('Ingresos Uds 100'!$C$7:$C$25,$C10,'Ingresos Uds 100'!F$7:F$25)*$B$2=0,"",SUMIF('Ingresos Uds 100'!$C$7:$C$25,$C10,'Ingresos Uds 100'!F$7:F$25)*$B$2)</f>
        <v/>
      </c>
      <c r="G10" s="704" t="str">
        <f>IF(SUMIF('Ingresos Uds 100'!$C$7:$C$25,$C10,'Ingresos Uds 100'!G$7:G$25)*$B$2=0,"",SUMIF('Ingresos Uds 100'!$C$7:$C$25,$C10,'Ingresos Uds 100'!G$7:G$25)*$B$2)</f>
        <v/>
      </c>
      <c r="H10" s="704" t="str">
        <f>IF(SUMIF('Ingresos Uds 100'!$C$7:$C$25,$C10,'Ingresos Uds 100'!H$7:H$25)*$B$2=0,"",SUMIF('Ingresos Uds 100'!$C$7:$C$25,$C10,'Ingresos Uds 100'!H$7:H$25)*$B$2)</f>
        <v/>
      </c>
      <c r="I10" s="704">
        <f>IF(SUMIF('Ingresos Uds 100'!$C$7:$C$25,$C10,'Ingresos Uds 100'!I$7:I$25)*$B$2=0,"",SUMIF('Ingresos Uds 100'!$C$7:$C$25,$C10,'Ingresos Uds 100'!I$7:I$25)*$B$2)</f>
        <v>1</v>
      </c>
      <c r="J10" s="704" t="str">
        <f>IF(SUMIF('Ingresos Uds 100'!$C$7:$C$25,$C10,'Ingresos Uds 100'!J$7:J$25)*$B$2=0,"",SUMIF('Ingresos Uds 100'!$C$7:$C$25,$C10,'Ingresos Uds 100'!J$7:J$25)*$B$2)</f>
        <v/>
      </c>
      <c r="K10" s="704" t="str">
        <f>IF(SUMIF('Ingresos Uds 100'!$C$7:$C$25,$C10,'Ingresos Uds 100'!K$7:K$25)*$B$2=0,"",SUMIF('Ingresos Uds 100'!$C$7:$C$25,$C10,'Ingresos Uds 100'!K$7:K$25)*$B$2)</f>
        <v/>
      </c>
      <c r="L10" s="704" t="str">
        <f>IF(SUMIF('Ingresos Uds 100'!$C$7:$C$25,$C10,'Ingresos Uds 100'!L$7:L$25)*$B$2=0,"",SUMIF('Ingresos Uds 100'!$C$7:$C$25,$C10,'Ingresos Uds 100'!L$7:L$25)*$B$2)</f>
        <v/>
      </c>
      <c r="M10" s="704" t="str">
        <f>IF(SUMIF('Ingresos Uds 100'!$C$7:$C$25,$C10,'Ingresos Uds 100'!M$7:M$25)*$B$2=0,"",SUMIF('Ingresos Uds 100'!$C$7:$C$25,$C10,'Ingresos Uds 100'!M$7:M$25)*$B$2)</f>
        <v/>
      </c>
      <c r="N10" s="704" t="str">
        <f>IF(SUMIF('Ingresos Uds 100'!$C$7:$C$25,$C10,'Ingresos Uds 100'!N$7:N$25)*$B$2=0,"",SUMIF('Ingresos Uds 100'!$C$7:$C$25,$C10,'Ingresos Uds 100'!N$7:N$25)*$B$2)</f>
        <v/>
      </c>
      <c r="O10" s="704" t="str">
        <f>IF(SUMIF('Ingresos Uds 100'!$C$7:$C$25,$C10,'Ingresos Uds 100'!O$7:O$25)*$B$2=0,"",SUMIF('Ingresos Uds 100'!$C$7:$C$25,$C10,'Ingresos Uds 100'!O$7:O$25)*$B$2)</f>
        <v/>
      </c>
      <c r="P10" s="704" t="str">
        <f>IF(SUMIF('Ingresos Uds 100'!$C$7:$C$25,$C10,'Ingresos Uds 100'!P$7:P$25)*$B$2=0,"",SUMIF('Ingresos Uds 100'!$C$7:$C$25,$C10,'Ingresos Uds 100'!P$7:P$25)*$B$2)</f>
        <v/>
      </c>
      <c r="Q10" s="704">
        <f>IF(SUMIF('Ingresos Uds 100'!$C$7:$C$25,$C10,'Ingresos Uds 100'!Q$7:Q$25)*$B$2=0,"",SUMIF('Ingresos Uds 100'!$C$7:$C$25,$C10,'Ingresos Uds 100'!Q$7:Q$25)*$B$2)</f>
        <v>1</v>
      </c>
      <c r="R10" s="704" t="str">
        <f>IF(SUMIF('Ingresos Uds 100'!$C$7:$C$25,$C10,'Ingresos Uds 100'!R$7:R$25)*$B$2=0,"",SUMIF('Ingresos Uds 100'!$C$7:$C$25,$C10,'Ingresos Uds 100'!R$7:R$25)*$B$2)</f>
        <v/>
      </c>
      <c r="S10" s="692">
        <f t="shared" si="1"/>
        <v>12</v>
      </c>
    </row>
    <row r="11" spans="1:20" ht="15" thickBot="1" x14ac:dyDescent="0.4">
      <c r="A11" s="9">
        <v>5</v>
      </c>
      <c r="B11" s="6">
        <v>800190667</v>
      </c>
      <c r="C11" s="17" t="s">
        <v>11</v>
      </c>
      <c r="D11" s="691" t="str">
        <f t="shared" si="0"/>
        <v>Cliente 5</v>
      </c>
      <c r="E11" s="704" t="str">
        <f>IF(SUMIF('Ingresos Uds 100'!$C$7:$C$25,$C12,'Ingresos Uds 100'!E$7:E$25)*$B$2=0,"",SUMIF('Ingresos Uds 100'!$C$7:$C$25,$C12,'Ingresos Uds 100'!E$7:E$25)*$B$2)</f>
        <v/>
      </c>
      <c r="F11" s="704">
        <f>IF(SUMIF('Ingresos Uds 100'!$C$7:$C$25,$C11,'Ingresos Uds 100'!F$7:F$25)*$B$2=0,"",SUMIF('Ingresos Uds 100'!$C$7:$C$25,$C11,'Ingresos Uds 100'!F$7:F$25)*$B$2)</f>
        <v>1</v>
      </c>
      <c r="G11" s="704" t="str">
        <f>IF(SUMIF('Ingresos Uds 100'!$C$7:$C$25,$C11,'Ingresos Uds 100'!G$7:G$25)*$B$2=0,"",SUMIF('Ingresos Uds 100'!$C$7:$C$25,$C11,'Ingresos Uds 100'!G$7:G$25)*$B$2)</f>
        <v/>
      </c>
      <c r="H11" s="704" t="str">
        <f>IF(SUMIF('Ingresos Uds 100'!$C$7:$C$25,$C11,'Ingresos Uds 100'!H$7:H$25)*$B$2=0,"",SUMIF('Ingresos Uds 100'!$C$7:$C$25,$C11,'Ingresos Uds 100'!H$7:H$25)*$B$2)</f>
        <v/>
      </c>
      <c r="I11" s="704" t="str">
        <f>IF(SUMIF('Ingresos Uds 100'!$C$7:$C$25,$C11,'Ingresos Uds 100'!I$7:I$25)*$B$2=0,"",SUMIF('Ingresos Uds 100'!$C$7:$C$25,$C11,'Ingresos Uds 100'!I$7:I$25)*$B$2)</f>
        <v/>
      </c>
      <c r="J11" s="704" t="str">
        <f>IF(SUMIF('Ingresos Uds 100'!$C$7:$C$25,$C11,'Ingresos Uds 100'!J$7:J$25)*$B$2=0,"",SUMIF('Ingresos Uds 100'!$C$7:$C$25,$C11,'Ingresos Uds 100'!J$7:J$25)*$B$2)</f>
        <v/>
      </c>
      <c r="K11" s="704" t="str">
        <f>IF(SUMIF('Ingresos Uds 100'!$C$7:$C$25,$C11,'Ingresos Uds 100'!K$7:K$25)*$B$2=0,"",SUMIF('Ingresos Uds 100'!$C$7:$C$25,$C11,'Ingresos Uds 100'!K$7:K$25)*$B$2)</f>
        <v/>
      </c>
      <c r="L11" s="704" t="str">
        <f>IF(SUMIF('Ingresos Uds 100'!$C$7:$C$25,$C11,'Ingresos Uds 100'!L$7:L$25)*$B$2=0,"",SUMIF('Ingresos Uds 100'!$C$7:$C$25,$C11,'Ingresos Uds 100'!L$7:L$25)*$B$2)</f>
        <v/>
      </c>
      <c r="M11" s="704" t="str">
        <f>IF(SUMIF('Ingresos Uds 100'!$C$7:$C$25,$C11,'Ingresos Uds 100'!M$7:M$25)*$B$2=0,"",SUMIF('Ingresos Uds 100'!$C$7:$C$25,$C11,'Ingresos Uds 100'!M$7:M$25)*$B$2)</f>
        <v/>
      </c>
      <c r="N11" s="704" t="str">
        <f>IF(SUMIF('Ingresos Uds 100'!$C$7:$C$25,$C11,'Ingresos Uds 100'!N$7:N$25)*$B$2=0,"",SUMIF('Ingresos Uds 100'!$C$7:$C$25,$C11,'Ingresos Uds 100'!N$7:N$25)*$B$2)</f>
        <v/>
      </c>
      <c r="O11" s="704" t="str">
        <f>IF(SUMIF('Ingresos Uds 100'!$C$7:$C$25,$C11,'Ingresos Uds 100'!O$7:O$25)*$B$2=0,"",SUMIF('Ingresos Uds 100'!$C$7:$C$25,$C11,'Ingresos Uds 100'!O$7:O$25)*$B$2)</f>
        <v/>
      </c>
      <c r="P11" s="704" t="str">
        <f>IF(SUMIF('Ingresos Uds 100'!$C$7:$C$25,$C11,'Ingresos Uds 100'!P$7:P$25)*$B$2=0,"",SUMIF('Ingresos Uds 100'!$C$7:$C$25,$C11,'Ingresos Uds 100'!P$7:P$25)*$B$2)</f>
        <v/>
      </c>
      <c r="Q11" s="704" t="str">
        <f>IF(SUMIF('Ingresos Uds 100'!$C$7:$C$25,$C11,'Ingresos Uds 100'!Q$7:Q$25)*$B$2=0,"",SUMIF('Ingresos Uds 100'!$C$7:$C$25,$C11,'Ingresos Uds 100'!Q$7:Q$25)*$B$2)</f>
        <v/>
      </c>
      <c r="R11" s="704" t="str">
        <f>IF(SUMIF('Ingresos Uds 100'!$C$7:$C$25,$C11,'Ingresos Uds 100'!R$7:R$25)*$B$2=0,"",SUMIF('Ingresos Uds 100'!$C$7:$C$25,$C11,'Ingresos Uds 100'!R$7:R$25)*$B$2)</f>
        <v/>
      </c>
      <c r="S11" s="692">
        <f t="shared" si="1"/>
        <v>8</v>
      </c>
    </row>
    <row r="12" spans="1:20" ht="15" thickBot="1" x14ac:dyDescent="0.4">
      <c r="A12" s="9">
        <v>6</v>
      </c>
      <c r="B12" s="6">
        <v>811004805</v>
      </c>
      <c r="C12" s="17" t="s">
        <v>12</v>
      </c>
      <c r="D12" s="691" t="str">
        <f t="shared" si="0"/>
        <v>Cliente 6</v>
      </c>
      <c r="E12" s="704" t="str">
        <f>IF(SUMIF('Ingresos Uds 100'!$C$7:$C$25,$C13,'Ingresos Uds 100'!E$7:E$25)*$B$2=0,"",SUMIF('Ingresos Uds 100'!$C$7:$C$25,$C13,'Ingresos Uds 100'!E$7:E$25)*$B$2)</f>
        <v/>
      </c>
      <c r="F12" s="704" t="str">
        <f>IF(SUMIF('Ingresos Uds 100'!$C$7:$C$25,$C12,'Ingresos Uds 100'!F$7:F$25)*$B$2=0,"",SUMIF('Ingresos Uds 100'!$C$7:$C$25,$C12,'Ingresos Uds 100'!F$7:F$25)*$B$2)</f>
        <v/>
      </c>
      <c r="G12" s="704" t="str">
        <f>IF(SUMIF('Ingresos Uds 100'!$C$7:$C$25,$C12,'Ingresos Uds 100'!G$7:G$25)*$B$2=0,"",SUMIF('Ingresos Uds 100'!$C$7:$C$25,$C12,'Ingresos Uds 100'!G$7:G$25)*$B$2)</f>
        <v/>
      </c>
      <c r="H12" s="704" t="str">
        <f>IF(SUMIF('Ingresos Uds 100'!$C$7:$C$25,$C12,'Ingresos Uds 100'!H$7:H$25)*$B$2=0,"",SUMIF('Ingresos Uds 100'!$C$7:$C$25,$C12,'Ingresos Uds 100'!H$7:H$25)*$B$2)</f>
        <v/>
      </c>
      <c r="I12" s="704" t="str">
        <f>IF(SUMIF('Ingresos Uds 100'!$C$7:$C$25,$C12,'Ingresos Uds 100'!I$7:I$25)*$B$2=0,"",SUMIF('Ingresos Uds 100'!$C$7:$C$25,$C12,'Ingresos Uds 100'!I$7:I$25)*$B$2)</f>
        <v/>
      </c>
      <c r="J12" s="704" t="str">
        <f>IF(SUMIF('Ingresos Uds 100'!$C$7:$C$25,$C12,'Ingresos Uds 100'!J$7:J$25)*$B$2=0,"",SUMIF('Ingresos Uds 100'!$C$7:$C$25,$C12,'Ingresos Uds 100'!J$7:J$25)*$B$2)</f>
        <v/>
      </c>
      <c r="K12" s="704" t="str">
        <f>IF(SUMIF('Ingresos Uds 100'!$C$7:$C$25,$C12,'Ingresos Uds 100'!K$7:K$25)*$B$2=0,"",SUMIF('Ingresos Uds 100'!$C$7:$C$25,$C12,'Ingresos Uds 100'!K$7:K$25)*$B$2)</f>
        <v/>
      </c>
      <c r="L12" s="704" t="str">
        <f>IF(SUMIF('Ingresos Uds 100'!$C$7:$C$25,$C12,'Ingresos Uds 100'!L$7:L$25)*$B$2=0,"",SUMIF('Ingresos Uds 100'!$C$7:$C$25,$C12,'Ingresos Uds 100'!L$7:L$25)*$B$2)</f>
        <v/>
      </c>
      <c r="M12" s="704" t="str">
        <f>IF(SUMIF('Ingresos Uds 100'!$C$7:$C$25,$C12,'Ingresos Uds 100'!M$7:M$25)*$B$2=0,"",SUMIF('Ingresos Uds 100'!$C$7:$C$25,$C12,'Ingresos Uds 100'!M$7:M$25)*$B$2)</f>
        <v/>
      </c>
      <c r="N12" s="704" t="str">
        <f>IF(SUMIF('Ingresos Uds 100'!$C$7:$C$25,$C12,'Ingresos Uds 100'!N$7:N$25)*$B$2=0,"",SUMIF('Ingresos Uds 100'!$C$7:$C$25,$C12,'Ingresos Uds 100'!N$7:N$25)*$B$2)</f>
        <v/>
      </c>
      <c r="O12" s="704">
        <f>IF(SUMIF('Ingresos Uds 100'!$C$7:$C$25,$C12,'Ingresos Uds 100'!O$7:O$25)*$B$2=0,"",SUMIF('Ingresos Uds 100'!$C$7:$C$25,$C12,'Ingresos Uds 100'!O$7:O$25)*$B$2)</f>
        <v>1</v>
      </c>
      <c r="P12" s="704" t="str">
        <f>IF(SUMIF('Ingresos Uds 100'!$C$7:$C$25,$C12,'Ingresos Uds 100'!P$7:P$25)*$B$2=0,"",SUMIF('Ingresos Uds 100'!$C$7:$C$25,$C12,'Ingresos Uds 100'!P$7:P$25)*$B$2)</f>
        <v/>
      </c>
      <c r="Q12" s="704" t="str">
        <f>IF(SUMIF('Ingresos Uds 100'!$C$7:$C$25,$C12,'Ingresos Uds 100'!Q$7:Q$25)*$B$2=0,"",SUMIF('Ingresos Uds 100'!$C$7:$C$25,$C12,'Ingresos Uds 100'!Q$7:Q$25)*$B$2)</f>
        <v/>
      </c>
      <c r="R12" s="704" t="str">
        <f>IF(SUMIF('Ingresos Uds 100'!$C$7:$C$25,$C12,'Ingresos Uds 100'!R$7:R$25)*$B$2=0,"",SUMIF('Ingresos Uds 100'!$C$7:$C$25,$C12,'Ingresos Uds 100'!R$7:R$25)*$B$2)</f>
        <v/>
      </c>
      <c r="S12" s="692">
        <f t="shared" si="1"/>
        <v>4</v>
      </c>
    </row>
    <row r="13" spans="1:20" ht="15" thickBot="1" x14ac:dyDescent="0.4">
      <c r="A13" s="9">
        <v>7</v>
      </c>
      <c r="B13" s="6">
        <v>811010485</v>
      </c>
      <c r="C13" s="17" t="s">
        <v>5</v>
      </c>
      <c r="D13" s="691" t="str">
        <f t="shared" si="0"/>
        <v>Cliente 7</v>
      </c>
      <c r="E13" s="704" t="str">
        <f>IF(SUMIF('Ingresos Uds 100'!$C$7:$C$25,$C14,'Ingresos Uds 100'!E$7:E$25)*$B$2=0,"",SUMIF('Ingresos Uds 100'!$C$7:$C$25,$C14,'Ingresos Uds 100'!E$7:E$25)*$B$2)</f>
        <v/>
      </c>
      <c r="F13" s="704" t="str">
        <f>IF(SUMIF('Ingresos Uds 100'!$C$7:$C$25,$C13,'Ingresos Uds 100'!F$7:F$25)*$B$2=0,"",SUMIF('Ingresos Uds 100'!$C$7:$C$25,$C13,'Ingresos Uds 100'!F$7:F$25)*$B$2)</f>
        <v/>
      </c>
      <c r="G13" s="704" t="str">
        <f>IF(SUMIF('Ingresos Uds 100'!$C$7:$C$25,$C13,'Ingresos Uds 100'!G$7:G$25)*$B$2=0,"",SUMIF('Ingresos Uds 100'!$C$7:$C$25,$C13,'Ingresos Uds 100'!G$7:G$25)*$B$2)</f>
        <v/>
      </c>
      <c r="H13" s="704" t="str">
        <f>IF(SUMIF('Ingresos Uds 100'!$C$7:$C$25,$C13,'Ingresos Uds 100'!H$7:H$25)*$B$2=0,"",SUMIF('Ingresos Uds 100'!$C$7:$C$25,$C13,'Ingresos Uds 100'!H$7:H$25)*$B$2)</f>
        <v/>
      </c>
      <c r="I13" s="704" t="str">
        <f>IF(SUMIF('Ingresos Uds 100'!$C$7:$C$25,$C13,'Ingresos Uds 100'!I$7:I$25)*$B$2=0,"",SUMIF('Ingresos Uds 100'!$C$7:$C$25,$C13,'Ingresos Uds 100'!I$7:I$25)*$B$2)</f>
        <v/>
      </c>
      <c r="J13" s="704">
        <f>IF(SUMIF('Ingresos Uds 100'!$C$7:$C$25,$C13,'Ingresos Uds 100'!J$7:J$25)*$B$2=0,"",SUMIF('Ingresos Uds 100'!$C$7:$C$25,$C13,'Ingresos Uds 100'!J$7:J$25)*$B$2)</f>
        <v>1</v>
      </c>
      <c r="K13" s="704" t="str">
        <f>IF(SUMIF('Ingresos Uds 100'!$C$7:$C$25,$C13,'Ingresos Uds 100'!K$7:K$25)*$B$2=0,"",SUMIF('Ingresos Uds 100'!$C$7:$C$25,$C13,'Ingresos Uds 100'!K$7:K$25)*$B$2)</f>
        <v/>
      </c>
      <c r="L13" s="704" t="str">
        <f>IF(SUMIF('Ingresos Uds 100'!$C$7:$C$25,$C13,'Ingresos Uds 100'!L$7:L$25)*$B$2=0,"",SUMIF('Ingresos Uds 100'!$C$7:$C$25,$C13,'Ingresos Uds 100'!L$7:L$25)*$B$2)</f>
        <v/>
      </c>
      <c r="M13" s="704" t="str">
        <f>IF(SUMIF('Ingresos Uds 100'!$C$7:$C$25,$C13,'Ingresos Uds 100'!M$7:M$25)*$B$2=0,"",SUMIF('Ingresos Uds 100'!$C$7:$C$25,$C13,'Ingresos Uds 100'!M$7:M$25)*$B$2)</f>
        <v/>
      </c>
      <c r="N13" s="704" t="str">
        <f>IF(SUMIF('Ingresos Uds 100'!$C$7:$C$25,$C13,'Ingresos Uds 100'!N$7:N$25)*$B$2=0,"",SUMIF('Ingresos Uds 100'!$C$7:$C$25,$C13,'Ingresos Uds 100'!N$7:N$25)*$B$2)</f>
        <v/>
      </c>
      <c r="O13" s="704" t="str">
        <f>IF(SUMIF('Ingresos Uds 100'!$C$7:$C$25,$C13,'Ingresos Uds 100'!O$7:O$25)*$B$2=0,"",SUMIF('Ingresos Uds 100'!$C$7:$C$25,$C13,'Ingresos Uds 100'!O$7:O$25)*$B$2)</f>
        <v/>
      </c>
      <c r="P13" s="704" t="str">
        <f>IF(SUMIF('Ingresos Uds 100'!$C$7:$C$25,$C13,'Ingresos Uds 100'!P$7:P$25)*$B$2=0,"",SUMIF('Ingresos Uds 100'!$C$7:$C$25,$C13,'Ingresos Uds 100'!P$7:P$25)*$B$2)</f>
        <v/>
      </c>
      <c r="Q13" s="704" t="str">
        <f>IF(SUMIF('Ingresos Uds 100'!$C$7:$C$25,$C13,'Ingresos Uds 100'!Q$7:Q$25)*$B$2=0,"",SUMIF('Ingresos Uds 100'!$C$7:$C$25,$C13,'Ingresos Uds 100'!Q$7:Q$25)*$B$2)</f>
        <v/>
      </c>
      <c r="R13" s="704" t="str">
        <f>IF(SUMIF('Ingresos Uds 100'!$C$7:$C$25,$C13,'Ingresos Uds 100'!R$7:R$25)*$B$2=0,"",SUMIF('Ingresos Uds 100'!$C$7:$C$25,$C13,'Ingresos Uds 100'!R$7:R$25)*$B$2)</f>
        <v/>
      </c>
      <c r="S13" s="692">
        <f t="shared" si="1"/>
        <v>4</v>
      </c>
    </row>
    <row r="14" spans="1:20" ht="15" thickBot="1" x14ac:dyDescent="0.4">
      <c r="A14" s="9">
        <v>8</v>
      </c>
      <c r="B14" s="6">
        <v>811017434</v>
      </c>
      <c r="C14" s="17" t="s">
        <v>2</v>
      </c>
      <c r="D14" s="691" t="str">
        <f t="shared" si="0"/>
        <v>Cliente 8</v>
      </c>
      <c r="E14" s="704">
        <f>IF(SUMIF('Ingresos Uds 100'!$C$7:$C$25,$C15,'Ingresos Uds 100'!E$7:E$25)*$B$2=0,"",SUMIF('Ingresos Uds 100'!$C$7:$C$25,$C15,'Ingresos Uds 100'!E$7:E$25)*$B$2)</f>
        <v>1</v>
      </c>
      <c r="F14" s="704" t="str">
        <f>IF(SUMIF('Ingresos Uds 100'!$C$7:$C$25,$C14,'Ingresos Uds 100'!F$7:F$25)*$B$2=0,"",SUMIF('Ingresos Uds 100'!$C$7:$C$25,$C14,'Ingresos Uds 100'!F$7:F$25)*$B$2)</f>
        <v/>
      </c>
      <c r="G14" s="704" t="str">
        <f>IF(SUMIF('Ingresos Uds 100'!$C$7:$C$25,$C14,'Ingresos Uds 100'!G$7:G$25)*$B$2=0,"",SUMIF('Ingresos Uds 100'!$C$7:$C$25,$C14,'Ingresos Uds 100'!G$7:G$25)*$B$2)</f>
        <v/>
      </c>
      <c r="H14" s="704" t="str">
        <f>IF(SUMIF('Ingresos Uds 100'!$C$7:$C$25,$C14,'Ingresos Uds 100'!H$7:H$25)*$B$2=0,"",SUMIF('Ingresos Uds 100'!$C$7:$C$25,$C14,'Ingresos Uds 100'!H$7:H$25)*$B$2)</f>
        <v/>
      </c>
      <c r="I14" s="704" t="str">
        <f>IF(SUMIF('Ingresos Uds 100'!$C$7:$C$25,$C14,'Ingresos Uds 100'!I$7:I$25)*$B$2=0,"",SUMIF('Ingresos Uds 100'!$C$7:$C$25,$C14,'Ingresos Uds 100'!I$7:I$25)*$B$2)</f>
        <v/>
      </c>
      <c r="J14" s="704">
        <f>IF(SUMIF('Ingresos Uds 100'!$C$7:$C$25,$C14,'Ingresos Uds 100'!J$7:J$25)*$B$2=0,"",SUMIF('Ingresos Uds 100'!$C$7:$C$25,$C14,'Ingresos Uds 100'!J$7:J$25)*$B$2)</f>
        <v>2</v>
      </c>
      <c r="K14" s="704" t="str">
        <f>IF(SUMIF('Ingresos Uds 100'!$C$7:$C$25,$C14,'Ingresos Uds 100'!K$7:K$25)*$B$2=0,"",SUMIF('Ingresos Uds 100'!$C$7:$C$25,$C14,'Ingresos Uds 100'!K$7:K$25)*$B$2)</f>
        <v/>
      </c>
      <c r="L14" s="704" t="str">
        <f>IF(SUMIF('Ingresos Uds 100'!$C$7:$C$25,$C14,'Ingresos Uds 100'!L$7:L$25)*$B$2=0,"",SUMIF('Ingresos Uds 100'!$C$7:$C$25,$C14,'Ingresos Uds 100'!L$7:L$25)*$B$2)</f>
        <v/>
      </c>
      <c r="M14" s="704" t="str">
        <f>IF(SUMIF('Ingresos Uds 100'!$C$7:$C$25,$C14,'Ingresos Uds 100'!M$7:M$25)*$B$2=0,"",SUMIF('Ingresos Uds 100'!$C$7:$C$25,$C14,'Ingresos Uds 100'!M$7:M$25)*$B$2)</f>
        <v/>
      </c>
      <c r="N14" s="704" t="str">
        <f>IF(SUMIF('Ingresos Uds 100'!$C$7:$C$25,$C14,'Ingresos Uds 100'!N$7:N$25)*$B$2=0,"",SUMIF('Ingresos Uds 100'!$C$7:$C$25,$C14,'Ingresos Uds 100'!N$7:N$25)*$B$2)</f>
        <v/>
      </c>
      <c r="O14" s="704" t="str">
        <f>IF(SUMIF('Ingresos Uds 100'!$C$7:$C$25,$C14,'Ingresos Uds 100'!O$7:O$25)*$B$2=0,"",SUMIF('Ingresos Uds 100'!$C$7:$C$25,$C14,'Ingresos Uds 100'!O$7:O$25)*$B$2)</f>
        <v/>
      </c>
      <c r="P14" s="704" t="str">
        <f>IF(SUMIF('Ingresos Uds 100'!$C$7:$C$25,$C14,'Ingresos Uds 100'!P$7:P$25)*$B$2=0,"",SUMIF('Ingresos Uds 100'!$C$7:$C$25,$C14,'Ingresos Uds 100'!P$7:P$25)*$B$2)</f>
        <v/>
      </c>
      <c r="Q14" s="704" t="str">
        <f>IF(SUMIF('Ingresos Uds 100'!$C$7:$C$25,$C14,'Ingresos Uds 100'!Q$7:Q$25)*$B$2=0,"",SUMIF('Ingresos Uds 100'!$C$7:$C$25,$C14,'Ingresos Uds 100'!Q$7:Q$25)*$B$2)</f>
        <v/>
      </c>
      <c r="R14" s="704" t="str">
        <f>IF(SUMIF('Ingresos Uds 100'!$C$7:$C$25,$C14,'Ingresos Uds 100'!R$7:R$25)*$B$2=0,"",SUMIF('Ingresos Uds 100'!$C$7:$C$25,$C14,'Ingresos Uds 100'!R$7:R$25)*$B$2)</f>
        <v/>
      </c>
      <c r="S14" s="692">
        <f t="shared" si="1"/>
        <v>12</v>
      </c>
    </row>
    <row r="15" spans="1:20" ht="15" thickBot="1" x14ac:dyDescent="0.4">
      <c r="A15" s="9">
        <v>9</v>
      </c>
      <c r="B15" s="6">
        <v>811021857</v>
      </c>
      <c r="C15" s="17" t="s">
        <v>10</v>
      </c>
      <c r="D15" s="691" t="str">
        <f t="shared" si="0"/>
        <v>Cliente 9</v>
      </c>
      <c r="E15" s="704">
        <f>IF(SUMIF('Ingresos Uds 100'!$C$7:$C$25,$C16,'Ingresos Uds 100'!E$7:E$25)*$B$2=0,"",SUMIF('Ingresos Uds 100'!$C$7:$C$25,$C16,'Ingresos Uds 100'!E$7:E$25)*$B$2)</f>
        <v>1</v>
      </c>
      <c r="F15" s="704" t="str">
        <f>IF(SUMIF('Ingresos Uds 100'!$C$7:$C$25,$C15,'Ingresos Uds 100'!F$7:F$25)*$B$2=0,"",SUMIF('Ingresos Uds 100'!$C$7:$C$25,$C15,'Ingresos Uds 100'!F$7:F$25)*$B$2)</f>
        <v/>
      </c>
      <c r="G15" s="704" t="str">
        <f>IF(SUMIF('Ingresos Uds 100'!$C$7:$C$25,$C15,'Ingresos Uds 100'!G$7:G$25)*$B$2=0,"",SUMIF('Ingresos Uds 100'!$C$7:$C$25,$C15,'Ingresos Uds 100'!G$7:G$25)*$B$2)</f>
        <v/>
      </c>
      <c r="H15" s="704" t="str">
        <f>IF(SUMIF('Ingresos Uds 100'!$C$7:$C$25,$C15,'Ingresos Uds 100'!H$7:H$25)*$B$2=0,"",SUMIF('Ingresos Uds 100'!$C$7:$C$25,$C15,'Ingresos Uds 100'!H$7:H$25)*$B$2)</f>
        <v/>
      </c>
      <c r="I15" s="704" t="str">
        <f>IF(SUMIF('Ingresos Uds 100'!$C$7:$C$25,$C15,'Ingresos Uds 100'!I$7:I$25)*$B$2=0,"",SUMIF('Ingresos Uds 100'!$C$7:$C$25,$C15,'Ingresos Uds 100'!I$7:I$25)*$B$2)</f>
        <v/>
      </c>
      <c r="J15" s="704" t="str">
        <f>IF(SUMIF('Ingresos Uds 100'!$C$7:$C$25,$C15,'Ingresos Uds 100'!J$7:J$25)*$B$2=0,"",SUMIF('Ingresos Uds 100'!$C$7:$C$25,$C15,'Ingresos Uds 100'!J$7:J$25)*$B$2)</f>
        <v/>
      </c>
      <c r="K15" s="704" t="str">
        <f>IF(SUMIF('Ingresos Uds 100'!$C$7:$C$25,$C15,'Ingresos Uds 100'!K$7:K$25)*$B$2=0,"",SUMIF('Ingresos Uds 100'!$C$7:$C$25,$C15,'Ingresos Uds 100'!K$7:K$25)*$B$2)</f>
        <v/>
      </c>
      <c r="L15" s="704" t="str">
        <f>IF(SUMIF('Ingresos Uds 100'!$C$7:$C$25,$C15,'Ingresos Uds 100'!L$7:L$25)*$B$2=0,"",SUMIF('Ingresos Uds 100'!$C$7:$C$25,$C15,'Ingresos Uds 100'!L$7:L$25)*$B$2)</f>
        <v/>
      </c>
      <c r="M15" s="704" t="str">
        <f>IF(SUMIF('Ingresos Uds 100'!$C$7:$C$25,$C15,'Ingresos Uds 100'!M$7:M$25)*$B$2=0,"",SUMIF('Ingresos Uds 100'!$C$7:$C$25,$C15,'Ingresos Uds 100'!M$7:M$25)*$B$2)</f>
        <v/>
      </c>
      <c r="N15" s="704" t="str">
        <f>IF(SUMIF('Ingresos Uds 100'!$C$7:$C$25,$C15,'Ingresos Uds 100'!N$7:N$25)*$B$2=0,"",SUMIF('Ingresos Uds 100'!$C$7:$C$25,$C15,'Ingresos Uds 100'!N$7:N$25)*$B$2)</f>
        <v/>
      </c>
      <c r="O15" s="704" t="str">
        <f>IF(SUMIF('Ingresos Uds 100'!$C$7:$C$25,$C15,'Ingresos Uds 100'!O$7:O$25)*$B$2=0,"",SUMIF('Ingresos Uds 100'!$C$7:$C$25,$C15,'Ingresos Uds 100'!O$7:O$25)*$B$2)</f>
        <v/>
      </c>
      <c r="P15" s="704" t="str">
        <f>IF(SUMIF('Ingresos Uds 100'!$C$7:$C$25,$C15,'Ingresos Uds 100'!P$7:P$25)*$B$2=0,"",SUMIF('Ingresos Uds 100'!$C$7:$C$25,$C15,'Ingresos Uds 100'!P$7:P$25)*$B$2)</f>
        <v/>
      </c>
      <c r="Q15" s="704" t="str">
        <f>IF(SUMIF('Ingresos Uds 100'!$C$7:$C$25,$C15,'Ingresos Uds 100'!Q$7:Q$25)*$B$2=0,"",SUMIF('Ingresos Uds 100'!$C$7:$C$25,$C15,'Ingresos Uds 100'!Q$7:Q$25)*$B$2)</f>
        <v/>
      </c>
      <c r="R15" s="704" t="str">
        <f>IF(SUMIF('Ingresos Uds 100'!$C$7:$C$25,$C15,'Ingresos Uds 100'!R$7:R$25)*$B$2=0,"",SUMIF('Ingresos Uds 100'!$C$7:$C$25,$C15,'Ingresos Uds 100'!R$7:R$25)*$B$2)</f>
        <v/>
      </c>
      <c r="S15" s="692">
        <f t="shared" si="1"/>
        <v>4</v>
      </c>
    </row>
    <row r="16" spans="1:20" ht="15" thickBot="1" x14ac:dyDescent="0.4">
      <c r="A16" s="9">
        <v>10</v>
      </c>
      <c r="B16" s="6">
        <v>811026305</v>
      </c>
      <c r="C16" s="17" t="s">
        <v>9</v>
      </c>
      <c r="D16" s="691" t="str">
        <f t="shared" si="0"/>
        <v>Cliente 10</v>
      </c>
      <c r="E16" s="704" t="str">
        <f>IF(SUMIF('Ingresos Uds 100'!$C$7:$C$25,$C17,'Ingresos Uds 100'!E$7:E$25)*$B$2=0,"",SUMIF('Ingresos Uds 100'!$C$7:$C$25,$C17,'Ingresos Uds 100'!E$7:E$25)*$B$2)</f>
        <v/>
      </c>
      <c r="F16" s="704" t="str">
        <f>IF(SUMIF('Ingresos Uds 100'!$C$7:$C$25,$C16,'Ingresos Uds 100'!F$7:F$25)*$B$2=0,"",SUMIF('Ingresos Uds 100'!$C$7:$C$25,$C16,'Ingresos Uds 100'!F$7:F$25)*$B$2)</f>
        <v/>
      </c>
      <c r="G16" s="704" t="str">
        <f>IF(SUMIF('Ingresos Uds 100'!$C$7:$C$25,$C16,'Ingresos Uds 100'!G$7:G$25)*$B$2=0,"",SUMIF('Ingresos Uds 100'!$C$7:$C$25,$C16,'Ingresos Uds 100'!G$7:G$25)*$B$2)</f>
        <v/>
      </c>
      <c r="H16" s="704" t="str">
        <f>IF(SUMIF('Ingresos Uds 100'!$C$7:$C$25,$C16,'Ingresos Uds 100'!H$7:H$25)*$B$2=0,"",SUMIF('Ingresos Uds 100'!$C$7:$C$25,$C16,'Ingresos Uds 100'!H$7:H$25)*$B$2)</f>
        <v/>
      </c>
      <c r="I16" s="704" t="str">
        <f>IF(SUMIF('Ingresos Uds 100'!$C$7:$C$25,$C16,'Ingresos Uds 100'!I$7:I$25)*$B$2=0,"",SUMIF('Ingresos Uds 100'!$C$7:$C$25,$C16,'Ingresos Uds 100'!I$7:I$25)*$B$2)</f>
        <v/>
      </c>
      <c r="J16" s="704" t="str">
        <f>IF(SUMIF('Ingresos Uds 100'!$C$7:$C$25,$C16,'Ingresos Uds 100'!J$7:J$25)*$B$2=0,"",SUMIF('Ingresos Uds 100'!$C$7:$C$25,$C16,'Ingresos Uds 100'!J$7:J$25)*$B$2)</f>
        <v/>
      </c>
      <c r="K16" s="704" t="str">
        <f>IF(SUMIF('Ingresos Uds 100'!$C$7:$C$25,$C16,'Ingresos Uds 100'!K$7:K$25)*$B$2=0,"",SUMIF('Ingresos Uds 100'!$C$7:$C$25,$C16,'Ingresos Uds 100'!K$7:K$25)*$B$2)</f>
        <v/>
      </c>
      <c r="L16" s="704" t="str">
        <f>IF(SUMIF('Ingresos Uds 100'!$C$7:$C$25,$C16,'Ingresos Uds 100'!L$7:L$25)*$B$2=0,"",SUMIF('Ingresos Uds 100'!$C$7:$C$25,$C16,'Ingresos Uds 100'!L$7:L$25)*$B$2)</f>
        <v/>
      </c>
      <c r="M16" s="704" t="str">
        <f>IF(SUMIF('Ingresos Uds 100'!$C$7:$C$25,$C16,'Ingresos Uds 100'!M$7:M$25)*$B$2=0,"",SUMIF('Ingresos Uds 100'!$C$7:$C$25,$C16,'Ingresos Uds 100'!M$7:M$25)*$B$2)</f>
        <v/>
      </c>
      <c r="N16" s="704" t="str">
        <f>IF(SUMIF('Ingresos Uds 100'!$C$7:$C$25,$C16,'Ingresos Uds 100'!N$7:N$25)*$B$2=0,"",SUMIF('Ingresos Uds 100'!$C$7:$C$25,$C16,'Ingresos Uds 100'!N$7:N$25)*$B$2)</f>
        <v/>
      </c>
      <c r="O16" s="704" t="str">
        <f>IF(SUMIF('Ingresos Uds 100'!$C$7:$C$25,$C16,'Ingresos Uds 100'!O$7:O$25)*$B$2=0,"",SUMIF('Ingresos Uds 100'!$C$7:$C$25,$C16,'Ingresos Uds 100'!O$7:O$25)*$B$2)</f>
        <v/>
      </c>
      <c r="P16" s="704" t="str">
        <f>IF(SUMIF('Ingresos Uds 100'!$C$7:$C$25,$C16,'Ingresos Uds 100'!P$7:P$25)*$B$2=0,"",SUMIF('Ingresos Uds 100'!$C$7:$C$25,$C16,'Ingresos Uds 100'!P$7:P$25)*$B$2)</f>
        <v/>
      </c>
      <c r="Q16" s="704" t="str">
        <f>IF(SUMIF('Ingresos Uds 100'!$C$7:$C$25,$C16,'Ingresos Uds 100'!Q$7:Q$25)*$B$2=0,"",SUMIF('Ingresos Uds 100'!$C$7:$C$25,$C16,'Ingresos Uds 100'!Q$7:Q$25)*$B$2)</f>
        <v/>
      </c>
      <c r="R16" s="704" t="str">
        <f>IF(SUMIF('Ingresos Uds 100'!$C$7:$C$25,$C16,'Ingresos Uds 100'!R$7:R$25)*$B$2=0,"",SUMIF('Ingresos Uds 100'!$C$7:$C$25,$C16,'Ingresos Uds 100'!R$7:R$25)*$B$2)</f>
        <v/>
      </c>
      <c r="S16" s="692">
        <f t="shared" si="1"/>
        <v>0</v>
      </c>
    </row>
    <row r="17" spans="1:20" ht="15" thickBot="1" x14ac:dyDescent="0.4">
      <c r="A17" s="9">
        <v>11</v>
      </c>
      <c r="B17" s="6">
        <v>811041157</v>
      </c>
      <c r="C17" s="17" t="s">
        <v>8</v>
      </c>
      <c r="D17" s="691" t="str">
        <f t="shared" si="0"/>
        <v>Cliente 11</v>
      </c>
      <c r="E17" s="704" t="str">
        <f>IF(SUMIF('Ingresos Uds 100'!$C$7:$C$25,$C18,'Ingresos Uds 100'!E$7:E$25)*$B$2=0,"",SUMIF('Ingresos Uds 100'!$C$7:$C$25,$C18,'Ingresos Uds 100'!E$7:E$25)*$B$2)</f>
        <v/>
      </c>
      <c r="F17" s="704" t="str">
        <f>IF(SUMIF('Ingresos Uds 100'!$C$7:$C$25,$C17,'Ingresos Uds 100'!F$7:F$25)*$B$2=0,"",SUMIF('Ingresos Uds 100'!$C$7:$C$25,$C17,'Ingresos Uds 100'!F$7:F$25)*$B$2)</f>
        <v/>
      </c>
      <c r="G17" s="704" t="str">
        <f>IF(SUMIF('Ingresos Uds 100'!$C$7:$C$25,$C17,'Ingresos Uds 100'!G$7:G$25)*$B$2=0,"",SUMIF('Ingresos Uds 100'!$C$7:$C$25,$C17,'Ingresos Uds 100'!G$7:G$25)*$B$2)</f>
        <v/>
      </c>
      <c r="H17" s="704">
        <f>IF(SUMIF('Ingresos Uds 100'!$C$7:$C$25,$C17,'Ingresos Uds 100'!H$7:H$25)*$B$2=0,"",SUMIF('Ingresos Uds 100'!$C$7:$C$25,$C17,'Ingresos Uds 100'!H$7:H$25)*$B$2)</f>
        <v>1</v>
      </c>
      <c r="I17" s="704" t="str">
        <f>IF(SUMIF('Ingresos Uds 100'!$C$7:$C$25,$C17,'Ingresos Uds 100'!I$7:I$25)*$B$2=0,"",SUMIF('Ingresos Uds 100'!$C$7:$C$25,$C17,'Ingresos Uds 100'!I$7:I$25)*$B$2)</f>
        <v/>
      </c>
      <c r="J17" s="704" t="str">
        <f>IF(SUMIF('Ingresos Uds 100'!$C$7:$C$25,$C17,'Ingresos Uds 100'!J$7:J$25)*$B$2=0,"",SUMIF('Ingresos Uds 100'!$C$7:$C$25,$C17,'Ingresos Uds 100'!J$7:J$25)*$B$2)</f>
        <v/>
      </c>
      <c r="K17" s="704" t="str">
        <f>IF(SUMIF('Ingresos Uds 100'!$C$7:$C$25,$C17,'Ingresos Uds 100'!K$7:K$25)*$B$2=0,"",SUMIF('Ingresos Uds 100'!$C$7:$C$25,$C17,'Ingresos Uds 100'!K$7:K$25)*$B$2)</f>
        <v/>
      </c>
      <c r="L17" s="704" t="str">
        <f>IF(SUMIF('Ingresos Uds 100'!$C$7:$C$25,$C17,'Ingresos Uds 100'!L$7:L$25)*$B$2=0,"",SUMIF('Ingresos Uds 100'!$C$7:$C$25,$C17,'Ingresos Uds 100'!L$7:L$25)*$B$2)</f>
        <v/>
      </c>
      <c r="M17" s="704" t="str">
        <f>IF(SUMIF('Ingresos Uds 100'!$C$7:$C$25,$C17,'Ingresos Uds 100'!M$7:M$25)*$B$2=0,"",SUMIF('Ingresos Uds 100'!$C$7:$C$25,$C17,'Ingresos Uds 100'!M$7:M$25)*$B$2)</f>
        <v/>
      </c>
      <c r="N17" s="704" t="str">
        <f>IF(SUMIF('Ingresos Uds 100'!$C$7:$C$25,$C17,'Ingresos Uds 100'!N$7:N$25)*$B$2=0,"",SUMIF('Ingresos Uds 100'!$C$7:$C$25,$C17,'Ingresos Uds 100'!N$7:N$25)*$B$2)</f>
        <v/>
      </c>
      <c r="O17" s="704" t="str">
        <f>IF(SUMIF('Ingresos Uds 100'!$C$7:$C$25,$C17,'Ingresos Uds 100'!O$7:O$25)*$B$2=0,"",SUMIF('Ingresos Uds 100'!$C$7:$C$25,$C17,'Ingresos Uds 100'!O$7:O$25)*$B$2)</f>
        <v/>
      </c>
      <c r="P17" s="704" t="str">
        <f>IF(SUMIF('Ingresos Uds 100'!$C$7:$C$25,$C17,'Ingresos Uds 100'!P$7:P$25)*$B$2=0,"",SUMIF('Ingresos Uds 100'!$C$7:$C$25,$C17,'Ingresos Uds 100'!P$7:P$25)*$B$2)</f>
        <v/>
      </c>
      <c r="Q17" s="704" t="str">
        <f>IF(SUMIF('Ingresos Uds 100'!$C$7:$C$25,$C17,'Ingresos Uds 100'!Q$7:Q$25)*$B$2=0,"",SUMIF('Ingresos Uds 100'!$C$7:$C$25,$C17,'Ingresos Uds 100'!Q$7:Q$25)*$B$2)</f>
        <v/>
      </c>
      <c r="R17" s="704" t="str">
        <f>IF(SUMIF('Ingresos Uds 100'!$C$7:$C$25,$C17,'Ingresos Uds 100'!R$7:R$25)*$B$2=0,"",SUMIF('Ingresos Uds 100'!$C$7:$C$25,$C17,'Ingresos Uds 100'!R$7:R$25)*$B$2)</f>
        <v/>
      </c>
      <c r="S17" s="692">
        <f t="shared" si="1"/>
        <v>8</v>
      </c>
    </row>
    <row r="18" spans="1:20" ht="15" thickBot="1" x14ac:dyDescent="0.4">
      <c r="A18" s="9">
        <v>12</v>
      </c>
      <c r="B18" s="6">
        <v>890905375</v>
      </c>
      <c r="C18" s="17" t="s">
        <v>1</v>
      </c>
      <c r="D18" s="691" t="str">
        <f t="shared" si="0"/>
        <v>Cliente 12</v>
      </c>
      <c r="E18" s="704" t="str">
        <f>IF(SUMIF('Ingresos Uds 100'!$C$7:$C$25,$C19,'Ingresos Uds 100'!E$7:E$25)*$B$2=0,"",SUMIF('Ingresos Uds 100'!$C$7:$C$25,$C19,'Ingresos Uds 100'!E$7:E$25)*$B$2)</f>
        <v/>
      </c>
      <c r="F18" s="704" t="str">
        <f>IF(SUMIF('Ingresos Uds 100'!$C$7:$C$25,$C18,'Ingresos Uds 100'!F$7:F$25)*$B$2=0,"",SUMIF('Ingresos Uds 100'!$C$7:$C$25,$C18,'Ingresos Uds 100'!F$7:F$25)*$B$2)</f>
        <v/>
      </c>
      <c r="G18" s="704" t="str">
        <f>IF(SUMIF('Ingresos Uds 100'!$C$7:$C$25,$C18,'Ingresos Uds 100'!G$7:G$25)*$B$2=0,"",SUMIF('Ingresos Uds 100'!$C$7:$C$25,$C18,'Ingresos Uds 100'!G$7:G$25)*$B$2)</f>
        <v/>
      </c>
      <c r="H18" s="704" t="str">
        <f>IF(SUMIF('Ingresos Uds 100'!$C$7:$C$25,$C18,'Ingresos Uds 100'!H$7:H$25)*$B$2=0,"",SUMIF('Ingresos Uds 100'!$C$7:$C$25,$C18,'Ingresos Uds 100'!H$7:H$25)*$B$2)</f>
        <v/>
      </c>
      <c r="I18" s="704" t="str">
        <f>IF(SUMIF('Ingresos Uds 100'!$C$7:$C$25,$C18,'Ingresos Uds 100'!I$7:I$25)*$B$2=0,"",SUMIF('Ingresos Uds 100'!$C$7:$C$25,$C18,'Ingresos Uds 100'!I$7:I$25)*$B$2)</f>
        <v/>
      </c>
      <c r="J18" s="704">
        <f>IF(SUMIF('Ingresos Uds 100'!$C$7:$C$25,$C18,'Ingresos Uds 100'!J$7:J$25)*$B$2=0,"",SUMIF('Ingresos Uds 100'!$C$7:$C$25,$C18,'Ingresos Uds 100'!J$7:J$25)*$B$2)</f>
        <v>2</v>
      </c>
      <c r="K18" s="704" t="str">
        <f>IF(SUMIF('Ingresos Uds 100'!$C$7:$C$25,$C18,'Ingresos Uds 100'!K$7:K$25)*$B$2=0,"",SUMIF('Ingresos Uds 100'!$C$7:$C$25,$C18,'Ingresos Uds 100'!K$7:K$25)*$B$2)</f>
        <v/>
      </c>
      <c r="L18" s="704" t="str">
        <f>IF(SUMIF('Ingresos Uds 100'!$C$7:$C$25,$C18,'Ingresos Uds 100'!L$7:L$25)*$B$2=0,"",SUMIF('Ingresos Uds 100'!$C$7:$C$25,$C18,'Ingresos Uds 100'!L$7:L$25)*$B$2)</f>
        <v/>
      </c>
      <c r="M18" s="704" t="str">
        <f>IF(SUMIF('Ingresos Uds 100'!$C$7:$C$25,$C18,'Ingresos Uds 100'!M$7:M$25)*$B$2=0,"",SUMIF('Ingresos Uds 100'!$C$7:$C$25,$C18,'Ingresos Uds 100'!M$7:M$25)*$B$2)</f>
        <v/>
      </c>
      <c r="N18" s="704" t="str">
        <f>IF(SUMIF('Ingresos Uds 100'!$C$7:$C$25,$C18,'Ingresos Uds 100'!N$7:N$25)*$B$2=0,"",SUMIF('Ingresos Uds 100'!$C$7:$C$25,$C18,'Ingresos Uds 100'!N$7:N$25)*$B$2)</f>
        <v/>
      </c>
      <c r="O18" s="704" t="str">
        <f>IF(SUMIF('Ingresos Uds 100'!$C$7:$C$25,$C18,'Ingresos Uds 100'!O$7:O$25)*$B$2=0,"",SUMIF('Ingresos Uds 100'!$C$7:$C$25,$C18,'Ingresos Uds 100'!O$7:O$25)*$B$2)</f>
        <v/>
      </c>
      <c r="P18" s="704" t="str">
        <f>IF(SUMIF('Ingresos Uds 100'!$C$7:$C$25,$C18,'Ingresos Uds 100'!P$7:P$25)*$B$2=0,"",SUMIF('Ingresos Uds 100'!$C$7:$C$25,$C18,'Ingresos Uds 100'!P$7:P$25)*$B$2)</f>
        <v/>
      </c>
      <c r="Q18" s="704" t="str">
        <f>IF(SUMIF('Ingresos Uds 100'!$C$7:$C$25,$C18,'Ingresos Uds 100'!Q$7:Q$25)*$B$2=0,"",SUMIF('Ingresos Uds 100'!$C$7:$C$25,$C18,'Ingresos Uds 100'!Q$7:Q$25)*$B$2)</f>
        <v/>
      </c>
      <c r="R18" s="704" t="str">
        <f>IF(SUMIF('Ingresos Uds 100'!$C$7:$C$25,$C18,'Ingresos Uds 100'!R$7:R$25)*$B$2=0,"",SUMIF('Ingresos Uds 100'!$C$7:$C$25,$C18,'Ingresos Uds 100'!R$7:R$25)*$B$2)</f>
        <v/>
      </c>
      <c r="S18" s="692">
        <f t="shared" si="1"/>
        <v>8</v>
      </c>
    </row>
    <row r="19" spans="1:20" ht="15" thickBot="1" x14ac:dyDescent="0.4">
      <c r="A19" s="9">
        <v>13</v>
      </c>
      <c r="B19" s="6">
        <v>890929858</v>
      </c>
      <c r="C19" s="17" t="s">
        <v>6</v>
      </c>
      <c r="D19" s="691" t="str">
        <f t="shared" si="0"/>
        <v>Cliente 13</v>
      </c>
      <c r="E19" s="704" t="str">
        <f>IF(SUMIF('Ingresos Uds 100'!$C$7:$C$25,$C20,'Ingresos Uds 100'!E$7:E$25)*$B$2=0,"",SUMIF('Ingresos Uds 100'!$C$7:$C$25,$C20,'Ingresos Uds 100'!E$7:E$25)*$B$2)</f>
        <v/>
      </c>
      <c r="F19" s="704" t="str">
        <f>IF(SUMIF('Ingresos Uds 100'!$C$7:$C$25,$C19,'Ingresos Uds 100'!F$7:F$25)*$B$2=0,"",SUMIF('Ingresos Uds 100'!$C$7:$C$25,$C19,'Ingresos Uds 100'!F$7:F$25)*$B$2)</f>
        <v/>
      </c>
      <c r="G19" s="704" t="str">
        <f>IF(SUMIF('Ingresos Uds 100'!$C$7:$C$25,$C19,'Ingresos Uds 100'!G$7:G$25)*$B$2=0,"",SUMIF('Ingresos Uds 100'!$C$7:$C$25,$C19,'Ingresos Uds 100'!G$7:G$25)*$B$2)</f>
        <v/>
      </c>
      <c r="H19" s="704" t="str">
        <f>IF(SUMIF('Ingresos Uds 100'!$C$7:$C$25,$C19,'Ingresos Uds 100'!H$7:H$25)*$B$2=0,"",SUMIF('Ingresos Uds 100'!$C$7:$C$25,$C19,'Ingresos Uds 100'!H$7:H$25)*$B$2)</f>
        <v/>
      </c>
      <c r="I19" s="704" t="str">
        <f>IF(SUMIF('Ingresos Uds 100'!$C$7:$C$25,$C19,'Ingresos Uds 100'!I$7:I$25)*$B$2=0,"",SUMIF('Ingresos Uds 100'!$C$7:$C$25,$C19,'Ingresos Uds 100'!I$7:I$25)*$B$2)</f>
        <v/>
      </c>
      <c r="J19" s="704" t="str">
        <f>IF(SUMIF('Ingresos Uds 100'!$C$7:$C$25,$C19,'Ingresos Uds 100'!J$7:J$25)*$B$2=0,"",SUMIF('Ingresos Uds 100'!$C$7:$C$25,$C19,'Ingresos Uds 100'!J$7:J$25)*$B$2)</f>
        <v/>
      </c>
      <c r="K19" s="704" t="str">
        <f>IF(SUMIF('Ingresos Uds 100'!$C$7:$C$25,$C19,'Ingresos Uds 100'!K$7:K$25)*$B$2=0,"",SUMIF('Ingresos Uds 100'!$C$7:$C$25,$C19,'Ingresos Uds 100'!K$7:K$25)*$B$2)</f>
        <v/>
      </c>
      <c r="L19" s="704">
        <f>IF(SUMIF('Ingresos Uds 100'!$C$7:$C$25,$C19,'Ingresos Uds 100'!L$7:L$25)*$B$2=0,"",SUMIF('Ingresos Uds 100'!$C$7:$C$25,$C19,'Ingresos Uds 100'!L$7:L$25)*$B$2)</f>
        <v>1</v>
      </c>
      <c r="M19" s="704" t="str">
        <f>IF(SUMIF('Ingresos Uds 100'!$C$7:$C$25,$C19,'Ingresos Uds 100'!M$7:M$25)*$B$2=0,"",SUMIF('Ingresos Uds 100'!$C$7:$C$25,$C19,'Ingresos Uds 100'!M$7:M$25)*$B$2)</f>
        <v/>
      </c>
      <c r="N19" s="704" t="str">
        <f>IF(SUMIF('Ingresos Uds 100'!$C$7:$C$25,$C19,'Ingresos Uds 100'!N$7:N$25)*$B$2=0,"",SUMIF('Ingresos Uds 100'!$C$7:$C$25,$C19,'Ingresos Uds 100'!N$7:N$25)*$B$2)</f>
        <v/>
      </c>
      <c r="O19" s="704" t="str">
        <f>IF(SUMIF('Ingresos Uds 100'!$C$7:$C$25,$C19,'Ingresos Uds 100'!O$7:O$25)*$B$2=0,"",SUMIF('Ingresos Uds 100'!$C$7:$C$25,$C19,'Ingresos Uds 100'!O$7:O$25)*$B$2)</f>
        <v/>
      </c>
      <c r="P19" s="704" t="str">
        <f>IF(SUMIF('Ingresos Uds 100'!$C$7:$C$25,$C19,'Ingresos Uds 100'!P$7:P$25)*$B$2=0,"",SUMIF('Ingresos Uds 100'!$C$7:$C$25,$C19,'Ingresos Uds 100'!P$7:P$25)*$B$2)</f>
        <v/>
      </c>
      <c r="Q19" s="704">
        <f>IF(SUMIF('Ingresos Uds 100'!$C$7:$C$25,$C19,'Ingresos Uds 100'!Q$7:Q$25)*$B$2=0,"",SUMIF('Ingresos Uds 100'!$C$7:$C$25,$C19,'Ingresos Uds 100'!Q$7:Q$25)*$B$2)</f>
        <v>1</v>
      </c>
      <c r="R19" s="704" t="str">
        <f>IF(SUMIF('Ingresos Uds 100'!$C$7:$C$25,$C19,'Ingresos Uds 100'!R$7:R$25)*$B$2=0,"",SUMIF('Ingresos Uds 100'!$C$7:$C$25,$C19,'Ingresos Uds 100'!R$7:R$25)*$B$2)</f>
        <v/>
      </c>
      <c r="S19" s="692">
        <f t="shared" si="1"/>
        <v>12</v>
      </c>
    </row>
    <row r="20" spans="1:20" ht="15" thickBot="1" x14ac:dyDescent="0.4">
      <c r="A20" s="9">
        <v>14</v>
      </c>
      <c r="B20" s="6">
        <v>890981947</v>
      </c>
      <c r="C20" s="17" t="s">
        <v>3</v>
      </c>
      <c r="D20" s="691" t="str">
        <f t="shared" si="0"/>
        <v>Cliente 14</v>
      </c>
      <c r="E20" s="704" t="str">
        <f>IF(SUMIF('Ingresos Uds 100'!$C$7:$C$25,$C21,'Ingresos Uds 100'!E$7:E$25)*$B$2=0,"",SUMIF('Ingresos Uds 100'!$C$7:$C$25,$C21,'Ingresos Uds 100'!E$7:E$25)*$B$2)</f>
        <v/>
      </c>
      <c r="F20" s="704" t="str">
        <f>IF(SUMIF('Ingresos Uds 100'!$C$7:$C$25,$C20,'Ingresos Uds 100'!F$7:F$25)*$B$2=0,"",SUMIF('Ingresos Uds 100'!$C$7:$C$25,$C20,'Ingresos Uds 100'!F$7:F$25)*$B$2)</f>
        <v/>
      </c>
      <c r="G20" s="704" t="str">
        <f>IF(SUMIF('Ingresos Uds 100'!$C$7:$C$25,$C20,'Ingresos Uds 100'!G$7:G$25)*$B$2=0,"",SUMIF('Ingresos Uds 100'!$C$7:$C$25,$C20,'Ingresos Uds 100'!G$7:G$25)*$B$2)</f>
        <v/>
      </c>
      <c r="H20" s="704" t="str">
        <f>IF(SUMIF('Ingresos Uds 100'!$C$7:$C$25,$C20,'Ingresos Uds 100'!H$7:H$25)*$B$2=0,"",SUMIF('Ingresos Uds 100'!$C$7:$C$25,$C20,'Ingresos Uds 100'!H$7:H$25)*$B$2)</f>
        <v/>
      </c>
      <c r="I20" s="704" t="str">
        <f>IF(SUMIF('Ingresos Uds 100'!$C$7:$C$25,$C20,'Ingresos Uds 100'!I$7:I$25)*$B$2=0,"",SUMIF('Ingresos Uds 100'!$C$7:$C$25,$C20,'Ingresos Uds 100'!I$7:I$25)*$B$2)</f>
        <v/>
      </c>
      <c r="J20" s="704">
        <f>IF(SUMIF('Ingresos Uds 100'!$C$7:$C$25,$C20,'Ingresos Uds 100'!J$7:J$25)*$B$2=0,"",SUMIF('Ingresos Uds 100'!$C$7:$C$25,$C20,'Ingresos Uds 100'!J$7:J$25)*$B$2)</f>
        <v>1</v>
      </c>
      <c r="K20" s="704" t="str">
        <f>IF(SUMIF('Ingresos Uds 100'!$C$7:$C$25,$C20,'Ingresos Uds 100'!K$7:K$25)*$B$2=0,"",SUMIF('Ingresos Uds 100'!$C$7:$C$25,$C20,'Ingresos Uds 100'!K$7:K$25)*$B$2)</f>
        <v/>
      </c>
      <c r="L20" s="704" t="str">
        <f>IF(SUMIF('Ingresos Uds 100'!$C$7:$C$25,$C20,'Ingresos Uds 100'!L$7:L$25)*$B$2=0,"",SUMIF('Ingresos Uds 100'!$C$7:$C$25,$C20,'Ingresos Uds 100'!L$7:L$25)*$B$2)</f>
        <v/>
      </c>
      <c r="M20" s="704" t="str">
        <f>IF(SUMIF('Ingresos Uds 100'!$C$7:$C$25,$C20,'Ingresos Uds 100'!M$7:M$25)*$B$2=0,"",SUMIF('Ingresos Uds 100'!$C$7:$C$25,$C20,'Ingresos Uds 100'!M$7:M$25)*$B$2)</f>
        <v/>
      </c>
      <c r="N20" s="704" t="str">
        <f>IF(SUMIF('Ingresos Uds 100'!$C$7:$C$25,$C20,'Ingresos Uds 100'!N$7:N$25)*$B$2=0,"",SUMIF('Ingresos Uds 100'!$C$7:$C$25,$C20,'Ingresos Uds 100'!N$7:N$25)*$B$2)</f>
        <v/>
      </c>
      <c r="O20" s="704" t="str">
        <f>IF(SUMIF('Ingresos Uds 100'!$C$7:$C$25,$C20,'Ingresos Uds 100'!O$7:O$25)*$B$2=0,"",SUMIF('Ingresos Uds 100'!$C$7:$C$25,$C20,'Ingresos Uds 100'!O$7:O$25)*$B$2)</f>
        <v/>
      </c>
      <c r="P20" s="704" t="str">
        <f>IF(SUMIF('Ingresos Uds 100'!$C$7:$C$25,$C20,'Ingresos Uds 100'!P$7:P$25)*$B$2=0,"",SUMIF('Ingresos Uds 100'!$C$7:$C$25,$C20,'Ingresos Uds 100'!P$7:P$25)*$B$2)</f>
        <v/>
      </c>
      <c r="Q20" s="704" t="str">
        <f>IF(SUMIF('Ingresos Uds 100'!$C$7:$C$25,$C20,'Ingresos Uds 100'!Q$7:Q$25)*$B$2=0,"",SUMIF('Ingresos Uds 100'!$C$7:$C$25,$C20,'Ingresos Uds 100'!Q$7:Q$25)*$B$2)</f>
        <v/>
      </c>
      <c r="R20" s="704" t="str">
        <f>IF(SUMIF('Ingresos Uds 100'!$C$7:$C$25,$C20,'Ingresos Uds 100'!R$7:R$25)*$B$2=0,"",SUMIF('Ingresos Uds 100'!$C$7:$C$25,$C20,'Ingresos Uds 100'!R$7:R$25)*$B$2)</f>
        <v/>
      </c>
      <c r="S20" s="692">
        <f t="shared" si="1"/>
        <v>4</v>
      </c>
    </row>
    <row r="21" spans="1:20" ht="15" thickBot="1" x14ac:dyDescent="0.4">
      <c r="A21" s="9">
        <v>15</v>
      </c>
      <c r="B21" s="6">
        <v>900018093</v>
      </c>
      <c r="C21" s="17" t="s">
        <v>13</v>
      </c>
      <c r="D21" s="691" t="str">
        <f t="shared" si="0"/>
        <v>Cliente 15</v>
      </c>
      <c r="E21" s="704" t="str">
        <f>IF(SUMIF('Ingresos Uds 100'!$C$7:$C$25,$C22,'Ingresos Uds 100'!E$7:E$25)*$B$2=0,"",SUMIF('Ingresos Uds 100'!$C$7:$C$25,$C22,'Ingresos Uds 100'!E$7:E$25)*$B$2)</f>
        <v/>
      </c>
      <c r="F21" s="704" t="str">
        <f>IF(SUMIF('Ingresos Uds 100'!$C$7:$C$25,$C21,'Ingresos Uds 100'!F$7:F$25)*$B$2=0,"",SUMIF('Ingresos Uds 100'!$C$7:$C$25,$C21,'Ingresos Uds 100'!F$7:F$25)*$B$2)</f>
        <v/>
      </c>
      <c r="G21" s="704" t="str">
        <f>IF(SUMIF('Ingresos Uds 100'!$C$7:$C$25,$C21,'Ingresos Uds 100'!G$7:G$25)*$B$2=0,"",SUMIF('Ingresos Uds 100'!$C$7:$C$25,$C21,'Ingresos Uds 100'!G$7:G$25)*$B$2)</f>
        <v/>
      </c>
      <c r="H21" s="704" t="str">
        <f>IF(SUMIF('Ingresos Uds 100'!$C$7:$C$25,$C21,'Ingresos Uds 100'!H$7:H$25)*$B$2=0,"",SUMIF('Ingresos Uds 100'!$C$7:$C$25,$C21,'Ingresos Uds 100'!H$7:H$25)*$B$2)</f>
        <v/>
      </c>
      <c r="I21" s="704" t="str">
        <f>IF(SUMIF('Ingresos Uds 100'!$C$7:$C$25,$C21,'Ingresos Uds 100'!I$7:I$25)*$B$2=0,"",SUMIF('Ingresos Uds 100'!$C$7:$C$25,$C21,'Ingresos Uds 100'!I$7:I$25)*$B$2)</f>
        <v/>
      </c>
      <c r="J21" s="704" t="str">
        <f>IF(SUMIF('Ingresos Uds 100'!$C$7:$C$25,$C21,'Ingresos Uds 100'!J$7:J$25)*$B$2=0,"",SUMIF('Ingresos Uds 100'!$C$7:$C$25,$C21,'Ingresos Uds 100'!J$7:J$25)*$B$2)</f>
        <v/>
      </c>
      <c r="K21" s="704" t="str">
        <f>IF(SUMIF('Ingresos Uds 100'!$C$7:$C$25,$C21,'Ingresos Uds 100'!K$7:K$25)*$B$2=0,"",SUMIF('Ingresos Uds 100'!$C$7:$C$25,$C21,'Ingresos Uds 100'!K$7:K$25)*$B$2)</f>
        <v/>
      </c>
      <c r="L21" s="704" t="str">
        <f>IF(SUMIF('Ingresos Uds 100'!$C$7:$C$25,$C21,'Ingresos Uds 100'!L$7:L$25)*$B$2=0,"",SUMIF('Ingresos Uds 100'!$C$7:$C$25,$C21,'Ingresos Uds 100'!L$7:L$25)*$B$2)</f>
        <v/>
      </c>
      <c r="M21" s="704">
        <f>IF(SUMIF('Ingresos Uds 100'!$C$7:$C$25,$C21,'Ingresos Uds 100'!M$7:M$25)*$B$2=0,"",SUMIF('Ingresos Uds 100'!$C$7:$C$25,$C21,'Ingresos Uds 100'!M$7:M$25)*$B$2)</f>
        <v>1</v>
      </c>
      <c r="N21" s="704" t="str">
        <f>IF(SUMIF('Ingresos Uds 100'!$C$7:$C$25,$C21,'Ingresos Uds 100'!N$7:N$25)*$B$2=0,"",SUMIF('Ingresos Uds 100'!$C$7:$C$25,$C21,'Ingresos Uds 100'!N$7:N$25)*$B$2)</f>
        <v/>
      </c>
      <c r="O21" s="704" t="str">
        <f>IF(SUMIF('Ingresos Uds 100'!$C$7:$C$25,$C21,'Ingresos Uds 100'!O$7:O$25)*$B$2=0,"",SUMIF('Ingresos Uds 100'!$C$7:$C$25,$C21,'Ingresos Uds 100'!O$7:O$25)*$B$2)</f>
        <v/>
      </c>
      <c r="P21" s="704" t="str">
        <f>IF(SUMIF('Ingresos Uds 100'!$C$7:$C$25,$C21,'Ingresos Uds 100'!P$7:P$25)*$B$2=0,"",SUMIF('Ingresos Uds 100'!$C$7:$C$25,$C21,'Ingresos Uds 100'!P$7:P$25)*$B$2)</f>
        <v/>
      </c>
      <c r="Q21" s="704" t="str">
        <f>IF(SUMIF('Ingresos Uds 100'!$C$7:$C$25,$C21,'Ingresos Uds 100'!Q$7:Q$25)*$B$2=0,"",SUMIF('Ingresos Uds 100'!$C$7:$C$25,$C21,'Ingresos Uds 100'!Q$7:Q$25)*$B$2)</f>
        <v/>
      </c>
      <c r="R21" s="704" t="str">
        <f>IF(SUMIF('Ingresos Uds 100'!$C$7:$C$25,$C21,'Ingresos Uds 100'!R$7:R$25)*$B$2=0,"",SUMIF('Ingresos Uds 100'!$C$7:$C$25,$C21,'Ingresos Uds 100'!R$7:R$25)*$B$2)</f>
        <v/>
      </c>
      <c r="S21" s="692">
        <f t="shared" si="1"/>
        <v>8</v>
      </c>
    </row>
    <row r="22" spans="1:20" ht="15" thickBot="1" x14ac:dyDescent="0.4">
      <c r="A22" s="9">
        <v>16</v>
      </c>
      <c r="B22" s="6">
        <v>900126377</v>
      </c>
      <c r="C22" s="17" t="s">
        <v>16</v>
      </c>
      <c r="D22" s="691" t="str">
        <f t="shared" si="0"/>
        <v>Cliente 16</v>
      </c>
      <c r="E22" s="704" t="str">
        <f>IF(SUMIF('Ingresos Uds 100'!$C$7:$C$25,$C23,'Ingresos Uds 100'!E$7:E$25)*$B$2=0,"",SUMIF('Ingresos Uds 100'!$C$7:$C$25,$C23,'Ingresos Uds 100'!E$7:E$25)*$B$2)</f>
        <v/>
      </c>
      <c r="F22" s="704" t="str">
        <f>IF(SUMIF('Ingresos Uds 100'!$C$7:$C$25,$C22,'Ingresos Uds 100'!F$7:F$25)*$B$2=0,"",SUMIF('Ingresos Uds 100'!$C$7:$C$25,$C22,'Ingresos Uds 100'!F$7:F$25)*$B$2)</f>
        <v/>
      </c>
      <c r="G22" s="704" t="str">
        <f>IF(SUMIF('Ingresos Uds 100'!$C$7:$C$25,$C22,'Ingresos Uds 100'!G$7:G$25)*$B$2=0,"",SUMIF('Ingresos Uds 100'!$C$7:$C$25,$C22,'Ingresos Uds 100'!G$7:G$25)*$B$2)</f>
        <v/>
      </c>
      <c r="H22" s="704" t="str">
        <f>IF(SUMIF('Ingresos Uds 100'!$C$7:$C$25,$C22,'Ingresos Uds 100'!H$7:H$25)*$B$2=0,"",SUMIF('Ingresos Uds 100'!$C$7:$C$25,$C22,'Ingresos Uds 100'!H$7:H$25)*$B$2)</f>
        <v/>
      </c>
      <c r="I22" s="704" t="str">
        <f>IF(SUMIF('Ingresos Uds 100'!$C$7:$C$25,$C22,'Ingresos Uds 100'!I$7:I$25)*$B$2=0,"",SUMIF('Ingresos Uds 100'!$C$7:$C$25,$C22,'Ingresos Uds 100'!I$7:I$25)*$B$2)</f>
        <v/>
      </c>
      <c r="J22" s="704" t="str">
        <f>IF(SUMIF('Ingresos Uds 100'!$C$7:$C$25,$C22,'Ingresos Uds 100'!J$7:J$25)*$B$2=0,"",SUMIF('Ingresos Uds 100'!$C$7:$C$25,$C22,'Ingresos Uds 100'!J$7:J$25)*$B$2)</f>
        <v/>
      </c>
      <c r="K22" s="704" t="str">
        <f>IF(SUMIF('Ingresos Uds 100'!$C$7:$C$25,$C22,'Ingresos Uds 100'!K$7:K$25)*$B$2=0,"",SUMIF('Ingresos Uds 100'!$C$7:$C$25,$C22,'Ingresos Uds 100'!K$7:K$25)*$B$2)</f>
        <v/>
      </c>
      <c r="L22" s="704" t="str">
        <f>IF(SUMIF('Ingresos Uds 100'!$C$7:$C$25,$C22,'Ingresos Uds 100'!L$7:L$25)*$B$2=0,"",SUMIF('Ingresos Uds 100'!$C$7:$C$25,$C22,'Ingresos Uds 100'!L$7:L$25)*$B$2)</f>
        <v/>
      </c>
      <c r="M22" s="704" t="str">
        <f>IF(SUMIF('Ingresos Uds 100'!$C$7:$C$25,$C22,'Ingresos Uds 100'!M$7:M$25)*$B$2=0,"",SUMIF('Ingresos Uds 100'!$C$7:$C$25,$C22,'Ingresos Uds 100'!M$7:M$25)*$B$2)</f>
        <v/>
      </c>
      <c r="N22" s="704" t="str">
        <f>IF(SUMIF('Ingresos Uds 100'!$C$7:$C$25,$C22,'Ingresos Uds 100'!N$7:N$25)*$B$2=0,"",SUMIF('Ingresos Uds 100'!$C$7:$C$25,$C22,'Ingresos Uds 100'!N$7:N$25)*$B$2)</f>
        <v/>
      </c>
      <c r="O22" s="704" t="str">
        <f>IF(SUMIF('Ingresos Uds 100'!$C$7:$C$25,$C22,'Ingresos Uds 100'!O$7:O$25)*$B$2=0,"",SUMIF('Ingresos Uds 100'!$C$7:$C$25,$C22,'Ingresos Uds 100'!O$7:O$25)*$B$2)</f>
        <v/>
      </c>
      <c r="P22" s="704">
        <f>IF(SUMIF('Ingresos Uds 100'!$C$7:$C$25,$C22,'Ingresos Uds 100'!P$7:P$25)*$B$2=0,"",SUMIF('Ingresos Uds 100'!$C$7:$C$25,$C22,'Ingresos Uds 100'!P$7:P$25)*$B$2)</f>
        <v>1</v>
      </c>
      <c r="Q22" s="704" t="str">
        <f>IF(SUMIF('Ingresos Uds 100'!$C$7:$C$25,$C22,'Ingresos Uds 100'!Q$7:Q$25)*$B$2=0,"",SUMIF('Ingresos Uds 100'!$C$7:$C$25,$C22,'Ingresos Uds 100'!Q$7:Q$25)*$B$2)</f>
        <v/>
      </c>
      <c r="R22" s="704" t="str">
        <f>IF(SUMIF('Ingresos Uds 100'!$C$7:$C$25,$C22,'Ingresos Uds 100'!R$7:R$25)*$B$2=0,"",SUMIF('Ingresos Uds 100'!$C$7:$C$25,$C22,'Ingresos Uds 100'!R$7:R$25)*$B$2)</f>
        <v/>
      </c>
      <c r="S22" s="692">
        <f t="shared" si="1"/>
        <v>6</v>
      </c>
    </row>
    <row r="23" spans="1:20" ht="15" thickBot="1" x14ac:dyDescent="0.4">
      <c r="A23" s="9">
        <v>17</v>
      </c>
      <c r="B23" s="6">
        <v>900175262</v>
      </c>
      <c r="C23" s="17" t="s">
        <v>15</v>
      </c>
      <c r="D23" s="691" t="str">
        <f t="shared" si="0"/>
        <v>Cliente 17</v>
      </c>
      <c r="E23" s="704" t="str">
        <f>IF(SUMIF('Ingresos Uds 100'!$C$7:$C$25,$C24,'Ingresos Uds 100'!E$7:E$25)*$B$2=0,"",SUMIF('Ingresos Uds 100'!$C$7:$C$25,$C24,'Ingresos Uds 100'!E$7:E$25)*$B$2)</f>
        <v/>
      </c>
      <c r="F23" s="704" t="str">
        <f>IF(SUMIF('Ingresos Uds 100'!$C$7:$C$25,$C23,'Ingresos Uds 100'!F$7:F$25)*$B$2=0,"",SUMIF('Ingresos Uds 100'!$C$7:$C$25,$C23,'Ingresos Uds 100'!F$7:F$25)*$B$2)</f>
        <v/>
      </c>
      <c r="G23" s="704" t="str">
        <f>IF(SUMIF('Ingresos Uds 100'!$C$7:$C$25,$C23,'Ingresos Uds 100'!G$7:G$25)*$B$2=0,"",SUMIF('Ingresos Uds 100'!$C$7:$C$25,$C23,'Ingresos Uds 100'!G$7:G$25)*$B$2)</f>
        <v/>
      </c>
      <c r="H23" s="704" t="str">
        <f>IF(SUMIF('Ingresos Uds 100'!$C$7:$C$25,$C23,'Ingresos Uds 100'!H$7:H$25)*$B$2=0,"",SUMIF('Ingresos Uds 100'!$C$7:$C$25,$C23,'Ingresos Uds 100'!H$7:H$25)*$B$2)</f>
        <v/>
      </c>
      <c r="I23" s="704" t="str">
        <f>IF(SUMIF('Ingresos Uds 100'!$C$7:$C$25,$C23,'Ingresos Uds 100'!I$7:I$25)*$B$2=0,"",SUMIF('Ingresos Uds 100'!$C$7:$C$25,$C23,'Ingresos Uds 100'!I$7:I$25)*$B$2)</f>
        <v/>
      </c>
      <c r="J23" s="704" t="str">
        <f>IF(SUMIF('Ingresos Uds 100'!$C$7:$C$25,$C23,'Ingresos Uds 100'!J$7:J$25)*$B$2=0,"",SUMIF('Ingresos Uds 100'!$C$7:$C$25,$C23,'Ingresos Uds 100'!J$7:J$25)*$B$2)</f>
        <v/>
      </c>
      <c r="K23" s="704" t="str">
        <f>IF(SUMIF('Ingresos Uds 100'!$C$7:$C$25,$C23,'Ingresos Uds 100'!K$7:K$25)*$B$2=0,"",SUMIF('Ingresos Uds 100'!$C$7:$C$25,$C23,'Ingresos Uds 100'!K$7:K$25)*$B$2)</f>
        <v/>
      </c>
      <c r="L23" s="704" t="str">
        <f>IF(SUMIF('Ingresos Uds 100'!$C$7:$C$25,$C23,'Ingresos Uds 100'!L$7:L$25)*$B$2=0,"",SUMIF('Ingresos Uds 100'!$C$7:$C$25,$C23,'Ingresos Uds 100'!L$7:L$25)*$B$2)</f>
        <v/>
      </c>
      <c r="M23" s="704" t="str">
        <f>IF(SUMIF('Ingresos Uds 100'!$C$7:$C$25,$C23,'Ingresos Uds 100'!M$7:M$25)*$B$2=0,"",SUMIF('Ingresos Uds 100'!$C$7:$C$25,$C23,'Ingresos Uds 100'!M$7:M$25)*$B$2)</f>
        <v/>
      </c>
      <c r="N23" s="704" t="str">
        <f>IF(SUMIF('Ingresos Uds 100'!$C$7:$C$25,$C23,'Ingresos Uds 100'!N$7:N$25)*$B$2=0,"",SUMIF('Ingresos Uds 100'!$C$7:$C$25,$C23,'Ingresos Uds 100'!N$7:N$25)*$B$2)</f>
        <v/>
      </c>
      <c r="O23" s="704" t="str">
        <f>IF(SUMIF('Ingresos Uds 100'!$C$7:$C$25,$C23,'Ingresos Uds 100'!O$7:O$25)*$B$2=0,"",SUMIF('Ingresos Uds 100'!$C$7:$C$25,$C23,'Ingresos Uds 100'!O$7:O$25)*$B$2)</f>
        <v/>
      </c>
      <c r="P23" s="704" t="str">
        <f>IF(SUMIF('Ingresos Uds 100'!$C$7:$C$25,$C23,'Ingresos Uds 100'!P$7:P$25)*$B$2=0,"",SUMIF('Ingresos Uds 100'!$C$7:$C$25,$C23,'Ingresos Uds 100'!P$7:P$25)*$B$2)</f>
        <v/>
      </c>
      <c r="Q23" s="704">
        <f>IF(SUMIF('Ingresos Uds 100'!$C$7:$C$25,$C23,'Ingresos Uds 100'!Q$7:Q$25)*$B$2=0,"",SUMIF('Ingresos Uds 100'!$C$7:$C$25,$C23,'Ingresos Uds 100'!Q$7:Q$25)*$B$2)</f>
        <v>1</v>
      </c>
      <c r="R23" s="704" t="str">
        <f>IF(SUMIF('Ingresos Uds 100'!$C$7:$C$25,$C23,'Ingresos Uds 100'!R$7:R$25)*$B$2=0,"",SUMIF('Ingresos Uds 100'!$C$7:$C$25,$C23,'Ingresos Uds 100'!R$7:R$25)*$B$2)</f>
        <v/>
      </c>
      <c r="S23" s="692">
        <f t="shared" si="1"/>
        <v>4</v>
      </c>
    </row>
    <row r="24" spans="1:20" ht="15" thickBot="1" x14ac:dyDescent="0.4">
      <c r="A24" s="9">
        <v>18</v>
      </c>
      <c r="B24" s="21" t="s">
        <v>45</v>
      </c>
      <c r="C24" s="17" t="s">
        <v>47</v>
      </c>
      <c r="D24" s="691" t="str">
        <f>PROPER(C24)</f>
        <v>Clientes Atención Demandas Administrativas</v>
      </c>
      <c r="E24" s="704" t="str">
        <f>IF(SUMIF('Ingresos Uds 100'!$C$7:$C$25,$C25,'Ingresos Uds 100'!E$7:E$25)*$B$2=0,"",SUMIF('Ingresos Uds 100'!$C$7:$C$25,$C25,'Ingresos Uds 100'!E$7:E$25)*$B$2)</f>
        <v/>
      </c>
      <c r="F24" s="704" t="str">
        <f>IF(SUMIF('Ingresos Uds 100'!$C$7:$C$25,$C24,'Ingresos Uds 100'!F$7:F$25)*$B$2=0,"",SUMIF('Ingresos Uds 100'!$C$7:$C$25,$C24,'Ingresos Uds 100'!F$7:F$25)*$B$2)</f>
        <v/>
      </c>
      <c r="G24" s="704">
        <f>IF(SUMIF('Ingresos Uds 100'!$C$7:$C$25,$C24,'Ingresos Uds 100'!G$7:G$25)*$B$2=0,"",SUMIF('Ingresos Uds 100'!$C$7:$C$25,$C24,'Ingresos Uds 100'!G$7:G$25)*$B$2)</f>
        <v>2</v>
      </c>
      <c r="H24" s="704" t="str">
        <f>IF(SUMIF('Ingresos Uds 100'!$C$7:$C$25,$C24,'Ingresos Uds 100'!H$7:H$25)*$B$2=0,"",SUMIF('Ingresos Uds 100'!$C$7:$C$25,$C24,'Ingresos Uds 100'!H$7:H$25)*$B$2)</f>
        <v/>
      </c>
      <c r="I24" s="704" t="str">
        <f>IF(SUMIF('Ingresos Uds 100'!$C$7:$C$25,$C24,'Ingresos Uds 100'!I$7:I$25)*$B$2=0,"",SUMIF('Ingresos Uds 100'!$C$7:$C$25,$C24,'Ingresos Uds 100'!I$7:I$25)*$B$2)</f>
        <v/>
      </c>
      <c r="J24" s="704" t="str">
        <f>IF(SUMIF('Ingresos Uds 100'!$C$7:$C$25,$C24,'Ingresos Uds 100'!J$7:J$25)*$B$2=0,"",SUMIF('Ingresos Uds 100'!$C$7:$C$25,$C24,'Ingresos Uds 100'!J$7:J$25)*$B$2)</f>
        <v/>
      </c>
      <c r="K24" s="704" t="str">
        <f>IF(SUMIF('Ingresos Uds 100'!$C$7:$C$25,$C24,'Ingresos Uds 100'!K$7:K$25)*$B$2=0,"",SUMIF('Ingresos Uds 100'!$C$7:$C$25,$C24,'Ingresos Uds 100'!K$7:K$25)*$B$2)</f>
        <v/>
      </c>
      <c r="L24" s="704" t="str">
        <f>IF(SUMIF('Ingresos Uds 100'!$C$7:$C$25,$C24,'Ingresos Uds 100'!L$7:L$25)*$B$2=0,"",SUMIF('Ingresos Uds 100'!$C$7:$C$25,$C24,'Ingresos Uds 100'!L$7:L$25)*$B$2)</f>
        <v/>
      </c>
      <c r="M24" s="704" t="str">
        <f>IF(SUMIF('Ingresos Uds 100'!$C$7:$C$25,$C24,'Ingresos Uds 100'!M$7:M$25)*$B$2=0,"",SUMIF('Ingresos Uds 100'!$C$7:$C$25,$C24,'Ingresos Uds 100'!M$7:M$25)*$B$2)</f>
        <v/>
      </c>
      <c r="N24" s="704" t="str">
        <f>IF(SUMIF('Ingresos Uds 100'!$C$7:$C$25,$C24,'Ingresos Uds 100'!N$7:N$25)*$B$2=0,"",SUMIF('Ingresos Uds 100'!$C$7:$C$25,$C24,'Ingresos Uds 100'!N$7:N$25)*$B$2)</f>
        <v/>
      </c>
      <c r="O24" s="704" t="str">
        <f>IF(SUMIF('Ingresos Uds 100'!$C$7:$C$25,$C24,'Ingresos Uds 100'!O$7:O$25)*$B$2=0,"",SUMIF('Ingresos Uds 100'!$C$7:$C$25,$C24,'Ingresos Uds 100'!O$7:O$25)*$B$2)</f>
        <v/>
      </c>
      <c r="P24" s="704" t="str">
        <f>IF(SUMIF('Ingresos Uds 100'!$C$7:$C$25,$C24,'Ingresos Uds 100'!P$7:P$25)*$B$2=0,"",SUMIF('Ingresos Uds 100'!$C$7:$C$25,$C24,'Ingresos Uds 100'!P$7:P$25)*$B$2)</f>
        <v/>
      </c>
      <c r="Q24" s="704" t="str">
        <f>IF(SUMIF('Ingresos Uds 100'!$C$7:$C$25,$C24,'Ingresos Uds 100'!Q$7:Q$25)*$B$2=0,"",SUMIF('Ingresos Uds 100'!$C$7:$C$25,$C24,'Ingresos Uds 100'!Q$7:Q$25)*$B$2)</f>
        <v/>
      </c>
      <c r="R24" s="704" t="str">
        <f>IF(SUMIF('Ingresos Uds 100'!$C$7:$C$25,$C24,'Ingresos Uds 100'!R$7:R$25)*$B$2=0,"",SUMIF('Ingresos Uds 100'!$C$7:$C$25,$C24,'Ingresos Uds 100'!R$7:R$25)*$B$2)</f>
        <v/>
      </c>
      <c r="S24" s="692">
        <f t="shared" si="1"/>
        <v>24</v>
      </c>
    </row>
    <row r="25" spans="1:20" ht="15" thickBot="1" x14ac:dyDescent="0.4">
      <c r="A25" s="9">
        <v>19</v>
      </c>
      <c r="B25" s="21" t="s">
        <v>45</v>
      </c>
      <c r="C25" s="17" t="s">
        <v>46</v>
      </c>
      <c r="D25" s="691" t="str">
        <f>PROPER(C25)</f>
        <v>Asistentes Capacitaciones</v>
      </c>
      <c r="E25" s="704" t="str">
        <f>IF(SUMIF('Ingresos Uds 100'!$C$7:$C$25,$C26,'Ingresos Uds 100'!E$7:E$25)*$B$2=0,"",SUMIF('Ingresos Uds 100'!$C$7:$C$25,$C26,'Ingresos Uds 100'!E$7:E$25)*$B$2)</f>
        <v/>
      </c>
      <c r="F25" s="704" t="str">
        <f>IF(SUMIF('Ingresos Uds 100'!$C$7:$C$25,$C25,'Ingresos Uds 100'!F$7:F$25)*$B$2=0,"",SUMIF('Ingresos Uds 100'!$C$7:$C$25,$C25,'Ingresos Uds 100'!F$7:F$25)*$B$2)</f>
        <v/>
      </c>
      <c r="G25" s="704" t="str">
        <f>IF(SUMIF('Ingresos Uds 100'!$C$7:$C$25,$C25,'Ingresos Uds 100'!G$7:G$25)*$B$2=0,"",SUMIF('Ingresos Uds 100'!$C$7:$C$25,$C25,'Ingresos Uds 100'!G$7:G$25)*$B$2)</f>
        <v/>
      </c>
      <c r="H25" s="704" t="str">
        <f>IF(SUMIF('Ingresos Uds 100'!$C$7:$C$25,$C25,'Ingresos Uds 100'!H$7:H$25)*$B$2=0,"",SUMIF('Ingresos Uds 100'!$C$7:$C$25,$C25,'Ingresos Uds 100'!H$7:H$25)*$B$2)</f>
        <v/>
      </c>
      <c r="I25" s="704" t="str">
        <f>IF(SUMIF('Ingresos Uds 100'!$C$7:$C$25,$C25,'Ingresos Uds 100'!I$7:I$25)*$B$2=0,"",SUMIF('Ingresos Uds 100'!$C$7:$C$25,$C25,'Ingresos Uds 100'!I$7:I$25)*$B$2)</f>
        <v/>
      </c>
      <c r="J25" s="704" t="str">
        <f>IF(SUMIF('Ingresos Uds 100'!$C$7:$C$25,$C25,'Ingresos Uds 100'!J$7:J$25)*$B$2=0,"",SUMIF('Ingresos Uds 100'!$C$7:$C$25,$C25,'Ingresos Uds 100'!J$7:J$25)*$B$2)</f>
        <v/>
      </c>
      <c r="K25" s="704" t="str">
        <f>IF(SUMIF('Ingresos Uds 100'!$C$7:$C$25,$C25,'Ingresos Uds 100'!K$7:K$25)*$B$2=0,"",SUMIF('Ingresos Uds 100'!$C$7:$C$25,$C25,'Ingresos Uds 100'!K$7:K$25)*$B$2)</f>
        <v/>
      </c>
      <c r="L25" s="704" t="str">
        <f>IF(SUMIF('Ingresos Uds 100'!$C$7:$C$25,$C25,'Ingresos Uds 100'!L$7:L$25)*$B$2=0,"",SUMIF('Ingresos Uds 100'!$C$7:$C$25,$C25,'Ingresos Uds 100'!L$7:L$25)*$B$2)</f>
        <v/>
      </c>
      <c r="M25" s="704" t="str">
        <f>IF(SUMIF('Ingresos Uds 100'!$C$7:$C$25,$C25,'Ingresos Uds 100'!M$7:M$25)*$B$2=0,"",SUMIF('Ingresos Uds 100'!$C$7:$C$25,$C25,'Ingresos Uds 100'!M$7:M$25)*$B$2)</f>
        <v/>
      </c>
      <c r="N25" s="704" t="str">
        <f>IF(SUMIF('Ingresos Uds 100'!$C$7:$C$25,$C25,'Ingresos Uds 100'!N$7:N$25)*$B$2=0,"",SUMIF('Ingresos Uds 100'!$C$7:$C$25,$C25,'Ingresos Uds 100'!N$7:N$25)*$B$2)</f>
        <v/>
      </c>
      <c r="O25" s="704" t="str">
        <f>IF(SUMIF('Ingresos Uds 100'!$C$7:$C$25,$C25,'Ingresos Uds 100'!O$7:O$25)*$B$2=0,"",SUMIF('Ingresos Uds 100'!$C$7:$C$25,$C25,'Ingresos Uds 100'!O$7:O$25)*$B$2)</f>
        <v/>
      </c>
      <c r="P25" s="704" t="str">
        <f>IF(SUMIF('Ingresos Uds 100'!$C$7:$C$25,$C25,'Ingresos Uds 100'!P$7:P$25)*$B$2=0,"",SUMIF('Ingresos Uds 100'!$C$7:$C$25,$C25,'Ingresos Uds 100'!P$7:P$25)*$B$2)</f>
        <v/>
      </c>
      <c r="Q25" s="704" t="str">
        <f>IF(SUMIF('Ingresos Uds 100'!$C$7:$C$25,$C25,'Ingresos Uds 100'!Q$7:Q$25)*$B$2=0,"",SUMIF('Ingresos Uds 100'!$C$7:$C$25,$C25,'Ingresos Uds 100'!Q$7:Q$25)*$B$2)</f>
        <v/>
      </c>
      <c r="R25" s="704">
        <f>IF(SUMIF('Ingresos Uds 100'!$C$7:$C$25,$C25,'Ingresos Uds 100'!R$7:R$25)*$B$2=0,"",SUMIF('Ingresos Uds 100'!$C$7:$C$25,$C25,'Ingresos Uds 100'!R$7:R$25)*$B$2)</f>
        <v>50</v>
      </c>
      <c r="S25" s="692">
        <f t="shared" si="1"/>
        <v>25</v>
      </c>
    </row>
    <row r="26" spans="1:20" hidden="1" x14ac:dyDescent="0.35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x14ac:dyDescent="0.35">
      <c r="D27" s="691" t="s">
        <v>67</v>
      </c>
      <c r="E27" s="705">
        <f>SUM(E7:E25)</f>
        <v>2</v>
      </c>
      <c r="F27" s="705">
        <f t="shared" ref="F27:R27" si="2">SUM(F7:F26)</f>
        <v>1</v>
      </c>
      <c r="G27" s="705">
        <f t="shared" si="2"/>
        <v>2</v>
      </c>
      <c r="H27" s="705">
        <f t="shared" si="2"/>
        <v>1</v>
      </c>
      <c r="I27" s="705">
        <f t="shared" si="2"/>
        <v>1</v>
      </c>
      <c r="J27" s="705">
        <f t="shared" si="2"/>
        <v>9</v>
      </c>
      <c r="K27" s="705">
        <f t="shared" si="2"/>
        <v>1</v>
      </c>
      <c r="L27" s="705">
        <f t="shared" si="2"/>
        <v>1</v>
      </c>
      <c r="M27" s="705">
        <f t="shared" si="2"/>
        <v>1</v>
      </c>
      <c r="N27" s="705">
        <f t="shared" si="2"/>
        <v>0</v>
      </c>
      <c r="O27" s="705">
        <f t="shared" si="2"/>
        <v>1</v>
      </c>
      <c r="P27" s="705">
        <f t="shared" si="2"/>
        <v>1</v>
      </c>
      <c r="Q27" s="705">
        <f t="shared" si="2"/>
        <v>4</v>
      </c>
      <c r="R27" s="705">
        <f t="shared" si="2"/>
        <v>50</v>
      </c>
      <c r="S27" s="692">
        <f>SUM(S7:S25)</f>
        <v>163</v>
      </c>
    </row>
    <row r="28" spans="1:20" ht="15" thickBot="1" x14ac:dyDescent="0.4">
      <c r="D28" s="695" t="s">
        <v>68</v>
      </c>
      <c r="E28" s="696">
        <f>E27*E6</f>
        <v>8</v>
      </c>
      <c r="F28" s="696">
        <f t="shared" ref="F28:R28" si="3">F27*F6</f>
        <v>8</v>
      </c>
      <c r="G28" s="696">
        <f t="shared" si="3"/>
        <v>24</v>
      </c>
      <c r="H28" s="696">
        <f t="shared" si="3"/>
        <v>8</v>
      </c>
      <c r="I28" s="696">
        <f t="shared" si="3"/>
        <v>8</v>
      </c>
      <c r="J28" s="696">
        <f t="shared" si="3"/>
        <v>36</v>
      </c>
      <c r="K28" s="696">
        <f t="shared" si="3"/>
        <v>4</v>
      </c>
      <c r="L28" s="696">
        <f t="shared" si="3"/>
        <v>8</v>
      </c>
      <c r="M28" s="696">
        <f t="shared" si="3"/>
        <v>8</v>
      </c>
      <c r="N28" s="696">
        <f t="shared" si="3"/>
        <v>0</v>
      </c>
      <c r="O28" s="696">
        <f t="shared" si="3"/>
        <v>4</v>
      </c>
      <c r="P28" s="696">
        <f t="shared" si="3"/>
        <v>6</v>
      </c>
      <c r="Q28" s="696">
        <f t="shared" si="3"/>
        <v>16</v>
      </c>
      <c r="R28" s="696">
        <f t="shared" si="3"/>
        <v>25</v>
      </c>
      <c r="S28" s="706">
        <f>SUM(E28:R28)</f>
        <v>163</v>
      </c>
    </row>
    <row r="29" spans="1:20" x14ac:dyDescent="0.35">
      <c r="E29" s="15">
        <f t="shared" ref="E29:R29" si="4">E28*$T$2</f>
        <v>5128000</v>
      </c>
      <c r="F29" s="15">
        <f t="shared" si="4"/>
        <v>5128000</v>
      </c>
      <c r="G29" s="15">
        <f t="shared" si="4"/>
        <v>15384000</v>
      </c>
      <c r="H29" s="15">
        <f t="shared" si="4"/>
        <v>5128000</v>
      </c>
      <c r="I29" s="15">
        <f t="shared" si="4"/>
        <v>5128000</v>
      </c>
      <c r="J29" s="15">
        <f t="shared" si="4"/>
        <v>23076000</v>
      </c>
      <c r="K29" s="15">
        <f t="shared" si="4"/>
        <v>2564000</v>
      </c>
      <c r="L29" s="15">
        <f t="shared" si="4"/>
        <v>5128000</v>
      </c>
      <c r="M29" s="15">
        <f t="shared" si="4"/>
        <v>5128000</v>
      </c>
      <c r="N29" s="15">
        <f t="shared" si="4"/>
        <v>0</v>
      </c>
      <c r="O29" s="15">
        <f t="shared" si="4"/>
        <v>2564000</v>
      </c>
      <c r="P29" s="15">
        <f t="shared" si="4"/>
        <v>3846000</v>
      </c>
      <c r="Q29" s="15">
        <f t="shared" si="4"/>
        <v>10256000</v>
      </c>
      <c r="R29" s="15">
        <f t="shared" si="4"/>
        <v>16025000</v>
      </c>
      <c r="T29" s="15">
        <f>S27*$T$2</f>
        <v>104483000</v>
      </c>
    </row>
    <row r="30" spans="1:20" x14ac:dyDescent="0.35">
      <c r="R30" s="25">
        <f>25/R27</f>
        <v>0.5</v>
      </c>
    </row>
    <row r="31" spans="1:20" x14ac:dyDescent="0.35">
      <c r="E31">
        <f>VLOOKUP(E$5,'Productos Horas'!$A$5:$D$18,4,0)</f>
        <v>8</v>
      </c>
      <c r="F31">
        <f>VLOOKUP(F$5,'Productos Horas'!$A$5:$D$18,4,0)</f>
        <v>16</v>
      </c>
      <c r="G31">
        <f>VLOOKUP(G$5,'Productos Horas'!$A$5:$D$18,4,0)</f>
        <v>16</v>
      </c>
      <c r="H31">
        <f>VLOOKUP(H$5,'Productos Horas'!$A$5:$D$18,4,0)</f>
        <v>12</v>
      </c>
      <c r="I31">
        <f>VLOOKUP(I$5,'Productos Horas'!$A$5:$D$18,4,0)</f>
        <v>12</v>
      </c>
      <c r="J31">
        <f>VLOOKUP(J$5,'Productos Horas'!$A$5:$D$18,4,0)</f>
        <v>4</v>
      </c>
      <c r="K31">
        <f>VLOOKUP(K$5,'Productos Horas'!$A$5:$D$18,4,0)</f>
        <v>4</v>
      </c>
      <c r="L31">
        <f>VLOOKUP(L$5,'Productos Horas'!$A$5:$D$18,4,0)</f>
        <v>12</v>
      </c>
      <c r="M31">
        <f>VLOOKUP(M$5,'Productos Horas'!$A$5:$D$18,4,0)</f>
        <v>12</v>
      </c>
      <c r="N31">
        <f>VLOOKUP(N$5,'Productos Horas'!$A$5:$D$18,4,0)</f>
        <v>8</v>
      </c>
      <c r="O31">
        <f>VLOOKUP(O$5,'Productos Horas'!$A$5:$D$18,4,0)</f>
        <v>8</v>
      </c>
      <c r="P31">
        <f>VLOOKUP(P$5,'Productos Horas'!$A$5:$D$18,4,0)</f>
        <v>8</v>
      </c>
      <c r="Q31">
        <f>VLOOKUP(Q$5,'Productos Horas'!$A$5:$D$18,4,0)</f>
        <v>16</v>
      </c>
      <c r="R31">
        <f>VLOOKUP(R$5,'Productos Horas'!$A$5:$D$18,4,0)</f>
        <v>0.125</v>
      </c>
    </row>
    <row r="32" spans="1:20" x14ac:dyDescent="0.35">
      <c r="E32" s="49">
        <f>E27*E31</f>
        <v>16</v>
      </c>
      <c r="F32" s="49">
        <f t="shared" ref="F32:R32" si="5">F27*F31</f>
        <v>16</v>
      </c>
      <c r="G32" s="49">
        <f t="shared" si="5"/>
        <v>32</v>
      </c>
      <c r="H32" s="49">
        <f t="shared" si="5"/>
        <v>12</v>
      </c>
      <c r="I32" s="49">
        <f t="shared" si="5"/>
        <v>12</v>
      </c>
      <c r="J32" s="49">
        <f t="shared" si="5"/>
        <v>36</v>
      </c>
      <c r="K32" s="49">
        <f t="shared" si="5"/>
        <v>4</v>
      </c>
      <c r="L32" s="49">
        <f t="shared" si="5"/>
        <v>12</v>
      </c>
      <c r="M32" s="49">
        <f t="shared" si="5"/>
        <v>12</v>
      </c>
      <c r="N32" s="49">
        <f t="shared" si="5"/>
        <v>0</v>
      </c>
      <c r="O32" s="49">
        <f t="shared" si="5"/>
        <v>8</v>
      </c>
      <c r="P32" s="49">
        <f t="shared" si="5"/>
        <v>8</v>
      </c>
      <c r="Q32" s="49">
        <f t="shared" si="5"/>
        <v>64</v>
      </c>
      <c r="R32" s="49">
        <f t="shared" si="5"/>
        <v>6.25</v>
      </c>
    </row>
  </sheetData>
  <printOptions horizontalCentered="1" verticalCentered="1"/>
  <pageMargins left="0.31496062992125984" right="0.11811023622047245" top="0.15748031496062992" bottom="0.35433070866141736" header="0.31496062992125984" footer="0.31496062992125984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5"/>
  <sheetViews>
    <sheetView showGridLines="0" workbookViewId="0">
      <selection activeCell="H18" sqref="H18"/>
    </sheetView>
  </sheetViews>
  <sheetFormatPr baseColWidth="10" defaultRowHeight="14.5" x14ac:dyDescent="0.35"/>
  <cols>
    <col min="2" max="8" width="14.36328125" customWidth="1"/>
  </cols>
  <sheetData>
    <row r="1" spans="1:8" ht="15" thickBot="1" x14ac:dyDescent="0.4"/>
    <row r="2" spans="1:8" ht="19" thickBot="1" x14ac:dyDescent="0.5">
      <c r="A2" s="583" t="s">
        <v>827</v>
      </c>
      <c r="B2" s="827" t="s">
        <v>829</v>
      </c>
      <c r="C2" s="828"/>
      <c r="D2" s="828"/>
      <c r="E2" s="828"/>
      <c r="F2" s="828"/>
      <c r="G2" s="828"/>
      <c r="H2" s="829"/>
    </row>
    <row r="3" spans="1:8" ht="15" thickBot="1" x14ac:dyDescent="0.4"/>
    <row r="4" spans="1:8" ht="35.5" customHeight="1" x14ac:dyDescent="0.35">
      <c r="B4" s="834" t="s">
        <v>373</v>
      </c>
      <c r="C4" s="837" t="s">
        <v>825</v>
      </c>
      <c r="D4" s="837" t="s">
        <v>811</v>
      </c>
      <c r="E4" s="840" t="s">
        <v>189</v>
      </c>
      <c r="F4" s="840"/>
      <c r="G4" s="840" t="s">
        <v>532</v>
      </c>
      <c r="H4" s="841"/>
    </row>
    <row r="5" spans="1:8" ht="14.5" customHeight="1" x14ac:dyDescent="0.35">
      <c r="B5" s="835"/>
      <c r="C5" s="838"/>
      <c r="D5" s="838"/>
      <c r="E5" s="807" t="s">
        <v>190</v>
      </c>
      <c r="F5" s="807" t="s">
        <v>71</v>
      </c>
      <c r="G5" s="809" t="str">
        <f>"CAPM General ("&amp;TEXT(Variables!$F$84,"0,00%")&amp;")"</f>
        <v>CAPM General (1,16%)</v>
      </c>
      <c r="H5" s="811" t="str">
        <f>"CAPM Ajust Colombia ("&amp;TEXT(Variables!$F$85,"0,00%")&amp;")"</f>
        <v>CAPM Ajust Colombia (1,61%)</v>
      </c>
    </row>
    <row r="6" spans="1:8" ht="15" customHeight="1" thickBot="1" x14ac:dyDescent="0.4">
      <c r="B6" s="836"/>
      <c r="C6" s="839"/>
      <c r="D6" s="839"/>
      <c r="E6" s="808"/>
      <c r="F6" s="808"/>
      <c r="G6" s="810"/>
      <c r="H6" s="812"/>
    </row>
    <row r="7" spans="1:8" ht="15" thickBot="1" x14ac:dyDescent="0.4"/>
    <row r="8" spans="1:8" x14ac:dyDescent="0.35">
      <c r="B8" s="594">
        <v>0.05</v>
      </c>
      <c r="C8" s="591" t="s">
        <v>826</v>
      </c>
      <c r="D8" s="590">
        <v>1</v>
      </c>
      <c r="E8" s="568">
        <v>7.084099944647404E-2</v>
      </c>
      <c r="F8" s="568">
        <v>1.2735258094692674</v>
      </c>
      <c r="G8" s="584">
        <v>364542100</v>
      </c>
      <c r="H8" s="585">
        <v>302625933.71517265</v>
      </c>
    </row>
    <row r="9" spans="1:8" x14ac:dyDescent="0.35">
      <c r="B9" s="595">
        <v>0.1</v>
      </c>
      <c r="C9" s="592" t="s">
        <v>826</v>
      </c>
      <c r="D9" s="588">
        <v>1</v>
      </c>
      <c r="E9" s="569">
        <v>1.6951143482489606E-2</v>
      </c>
      <c r="F9" s="569">
        <v>0.22349181354773595</v>
      </c>
      <c r="G9" s="573">
        <v>25797052</v>
      </c>
      <c r="H9" s="574">
        <v>3912608.6169090224</v>
      </c>
    </row>
    <row r="10" spans="1:8" x14ac:dyDescent="0.35">
      <c r="B10" s="595">
        <v>0.05</v>
      </c>
      <c r="C10" s="592">
        <v>1</v>
      </c>
      <c r="D10" s="588">
        <v>1</v>
      </c>
      <c r="E10" s="569">
        <v>0.13977924786503371</v>
      </c>
      <c r="F10" s="569">
        <v>3.8067213379628502</v>
      </c>
      <c r="G10" s="573">
        <v>688177752</v>
      </c>
      <c r="H10" s="574">
        <v>602370298.32644784</v>
      </c>
    </row>
    <row r="11" spans="1:8" x14ac:dyDescent="0.35">
      <c r="B11" s="595">
        <v>0.05</v>
      </c>
      <c r="C11" s="592">
        <v>1</v>
      </c>
      <c r="D11" s="588" t="s">
        <v>826</v>
      </c>
      <c r="E11" s="597">
        <v>0.15802325345785095</v>
      </c>
      <c r="F11" s="597">
        <v>4.8157718755624783</v>
      </c>
      <c r="G11" s="598">
        <v>691619423</v>
      </c>
      <c r="H11" s="599">
        <v>607468874.05867994</v>
      </c>
    </row>
    <row r="12" spans="1:8" x14ac:dyDescent="0.35">
      <c r="B12" s="595">
        <v>0.1</v>
      </c>
      <c r="C12" s="592">
        <v>1</v>
      </c>
      <c r="D12" s="588">
        <v>1</v>
      </c>
      <c r="E12" s="569">
        <v>0.10122094626732814</v>
      </c>
      <c r="F12" s="569">
        <v>2.1804865396959743</v>
      </c>
      <c r="G12" s="573">
        <v>433286257</v>
      </c>
      <c r="H12" s="574">
        <v>373851101.25744241</v>
      </c>
    </row>
    <row r="13" spans="1:8" x14ac:dyDescent="0.35">
      <c r="B13" s="595">
        <v>0.1</v>
      </c>
      <c r="C13" s="592">
        <v>1</v>
      </c>
      <c r="D13" s="588" t="s">
        <v>826</v>
      </c>
      <c r="E13" s="569">
        <v>0.10087956966753864</v>
      </c>
      <c r="F13" s="569">
        <v>2.1686753468946507</v>
      </c>
      <c r="G13" s="573">
        <v>432891022</v>
      </c>
      <c r="H13" s="574">
        <v>373443691.88057357</v>
      </c>
    </row>
    <row r="14" spans="1:8" x14ac:dyDescent="0.35">
      <c r="B14" s="595">
        <v>0.05</v>
      </c>
      <c r="C14" s="592" t="s">
        <v>826</v>
      </c>
      <c r="D14" s="588" t="s">
        <v>826</v>
      </c>
      <c r="E14" s="569">
        <v>8.5830688197925831E-2</v>
      </c>
      <c r="F14" s="569">
        <v>1.6862432700738714</v>
      </c>
      <c r="G14" s="573">
        <v>415386357</v>
      </c>
      <c r="H14" s="574">
        <v>345901616.40967661</v>
      </c>
    </row>
    <row r="15" spans="1:8" ht="15" thickBot="1" x14ac:dyDescent="0.4">
      <c r="B15" s="596">
        <v>0.1</v>
      </c>
      <c r="C15" s="593" t="s">
        <v>826</v>
      </c>
      <c r="D15" s="589" t="s">
        <v>826</v>
      </c>
      <c r="E15" s="572">
        <v>1.6946638123620072E-2</v>
      </c>
      <c r="F15" s="572">
        <v>0.22342677047757298</v>
      </c>
      <c r="G15" s="586">
        <v>25740169</v>
      </c>
      <c r="H15" s="587">
        <v>3890011.0413868027</v>
      </c>
    </row>
  </sheetData>
  <mergeCells count="10">
    <mergeCell ref="B2:H2"/>
    <mergeCell ref="B4:B6"/>
    <mergeCell ref="C4:C6"/>
    <mergeCell ref="D4:D6"/>
    <mergeCell ref="E4:F4"/>
    <mergeCell ref="G4:H4"/>
    <mergeCell ref="E5:E6"/>
    <mergeCell ref="F5:F6"/>
    <mergeCell ref="G5:G6"/>
    <mergeCell ref="H5:H6"/>
  </mergeCells>
  <conditionalFormatting sqref="C8:C15">
    <cfRule type="expression" priority="2" stopIfTrue="1">
      <formula>C8&lt;&gt;#REF!</formula>
    </cfRule>
  </conditionalFormatting>
  <conditionalFormatting sqref="D8:D15">
    <cfRule type="expression" priority="1" stopIfTrue="1">
      <formula>D8&lt;&gt;#REF!</formula>
    </cfRule>
  </conditionalFormatting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F28"/>
  <sheetViews>
    <sheetView showGridLines="0" workbookViewId="0">
      <pane xSplit="3" ySplit="7" topLeftCell="D8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1" max="1" width="6.6328125" customWidth="1"/>
    <col min="2" max="2" width="13.90625" customWidth="1"/>
    <col min="3" max="3" width="59" bestFit="1" customWidth="1"/>
    <col min="4" max="4" width="37.54296875" bestFit="1" customWidth="1"/>
    <col min="5" max="5" width="7.6328125" bestFit="1" customWidth="1"/>
    <col min="6" max="6" width="13.453125" bestFit="1" customWidth="1"/>
  </cols>
  <sheetData>
    <row r="2" spans="1:6" x14ac:dyDescent="0.35">
      <c r="F2" s="38">
        <f>'Ing Proyect'!$C$7</f>
        <v>641000</v>
      </c>
    </row>
    <row r="3" spans="1:6" ht="15" thickBot="1" x14ac:dyDescent="0.4"/>
    <row r="4" spans="1:6" ht="15" thickBot="1" x14ac:dyDescent="0.4">
      <c r="A4" s="3" t="s">
        <v>41</v>
      </c>
      <c r="B4" s="3" t="s">
        <v>17</v>
      </c>
      <c r="C4" s="19" t="s">
        <v>18</v>
      </c>
      <c r="D4" s="26"/>
    </row>
    <row r="5" spans="1:6" ht="15" thickBot="1" x14ac:dyDescent="0.4">
      <c r="A5" s="12"/>
      <c r="B5" s="13"/>
      <c r="C5" s="14" t="s">
        <v>43</v>
      </c>
      <c r="D5" s="977" t="s">
        <v>43</v>
      </c>
      <c r="E5" s="976" t="s">
        <v>48</v>
      </c>
      <c r="F5" s="976"/>
    </row>
    <row r="6" spans="1:6" ht="15" thickBot="1" x14ac:dyDescent="0.4">
      <c r="A6" s="12"/>
      <c r="B6" s="13"/>
      <c r="C6" s="14"/>
      <c r="D6" s="978"/>
      <c r="E6" s="690" t="s">
        <v>69</v>
      </c>
      <c r="F6" s="690" t="s">
        <v>70</v>
      </c>
    </row>
    <row r="7" spans="1:6" ht="15" hidden="1" thickBot="1" x14ac:dyDescent="0.4">
      <c r="A7" s="12"/>
      <c r="B7" s="13"/>
      <c r="C7" s="14" t="s">
        <v>42</v>
      </c>
      <c r="D7" s="41"/>
      <c r="E7" s="41"/>
      <c r="F7" s="41"/>
    </row>
    <row r="8" spans="1:6" ht="15" thickBot="1" x14ac:dyDescent="0.4">
      <c r="A8" s="8">
        <v>1</v>
      </c>
      <c r="B8" s="4">
        <v>800014574</v>
      </c>
      <c r="C8" s="16" t="s">
        <v>14</v>
      </c>
      <c r="D8" s="691" t="str">
        <f t="shared" ref="D8:D24" si="0">"Cliente "&amp;A8</f>
        <v>Cliente 1</v>
      </c>
      <c r="E8" s="692">
        <f>VLOOKUP($A8,'Ingresos Uds'!$A$7:$T$25,19,0)</f>
        <v>8</v>
      </c>
      <c r="F8" s="693">
        <f>E8*$F$2</f>
        <v>5128000</v>
      </c>
    </row>
    <row r="9" spans="1:6" ht="15" thickBot="1" x14ac:dyDescent="0.4">
      <c r="A9" s="9">
        <v>2</v>
      </c>
      <c r="B9" s="6">
        <v>800023622</v>
      </c>
      <c r="C9" s="17" t="s">
        <v>0</v>
      </c>
      <c r="D9" s="691" t="str">
        <f t="shared" si="0"/>
        <v>Cliente 2</v>
      </c>
      <c r="E9" s="692">
        <f>VLOOKUP($A9,'Ingresos Uds'!$A$7:$T$25,19,0)</f>
        <v>8</v>
      </c>
      <c r="F9" s="693">
        <f t="shared" ref="F9:F26" si="1">E9*$F$2</f>
        <v>5128000</v>
      </c>
    </row>
    <row r="10" spans="1:6" ht="15" thickBot="1" x14ac:dyDescent="0.4">
      <c r="A10" s="9">
        <v>3</v>
      </c>
      <c r="B10" s="6">
        <v>800059608</v>
      </c>
      <c r="C10" s="17" t="s">
        <v>4</v>
      </c>
      <c r="D10" s="691" t="str">
        <f t="shared" si="0"/>
        <v>Cliente 3</v>
      </c>
      <c r="E10" s="692">
        <f>VLOOKUP($A10,'Ingresos Uds'!$A$7:$T$25,19,0)</f>
        <v>4</v>
      </c>
      <c r="F10" s="693">
        <f t="shared" si="1"/>
        <v>2564000</v>
      </c>
    </row>
    <row r="11" spans="1:6" ht="15" thickBot="1" x14ac:dyDescent="0.4">
      <c r="A11" s="9">
        <v>4</v>
      </c>
      <c r="B11" s="6">
        <v>800174125</v>
      </c>
      <c r="C11" s="17" t="s">
        <v>7</v>
      </c>
      <c r="D11" s="691" t="str">
        <f t="shared" si="0"/>
        <v>Cliente 4</v>
      </c>
      <c r="E11" s="692">
        <f>VLOOKUP($A11,'Ingresos Uds'!$A$7:$T$25,19,0)</f>
        <v>12</v>
      </c>
      <c r="F11" s="693">
        <f t="shared" si="1"/>
        <v>7692000</v>
      </c>
    </row>
    <row r="12" spans="1:6" ht="15" thickBot="1" x14ac:dyDescent="0.4">
      <c r="A12" s="9">
        <v>5</v>
      </c>
      <c r="B12" s="6">
        <v>800190667</v>
      </c>
      <c r="C12" s="17" t="s">
        <v>11</v>
      </c>
      <c r="D12" s="691" t="str">
        <f t="shared" si="0"/>
        <v>Cliente 5</v>
      </c>
      <c r="E12" s="692">
        <f>VLOOKUP($A12,'Ingresos Uds'!$A$7:$T$25,19,0)</f>
        <v>8</v>
      </c>
      <c r="F12" s="693">
        <f t="shared" si="1"/>
        <v>5128000</v>
      </c>
    </row>
    <row r="13" spans="1:6" ht="15" thickBot="1" x14ac:dyDescent="0.4">
      <c r="A13" s="9">
        <v>6</v>
      </c>
      <c r="B13" s="6">
        <v>811004805</v>
      </c>
      <c r="C13" s="17" t="s">
        <v>12</v>
      </c>
      <c r="D13" s="691" t="str">
        <f t="shared" si="0"/>
        <v>Cliente 6</v>
      </c>
      <c r="E13" s="692">
        <f>VLOOKUP($A13,'Ingresos Uds'!$A$7:$T$25,19,0)</f>
        <v>4</v>
      </c>
      <c r="F13" s="693">
        <f t="shared" si="1"/>
        <v>2564000</v>
      </c>
    </row>
    <row r="14" spans="1:6" ht="15" thickBot="1" x14ac:dyDescent="0.4">
      <c r="A14" s="9">
        <v>7</v>
      </c>
      <c r="B14" s="6">
        <v>811010485</v>
      </c>
      <c r="C14" s="17" t="s">
        <v>5</v>
      </c>
      <c r="D14" s="691" t="str">
        <f t="shared" si="0"/>
        <v>Cliente 7</v>
      </c>
      <c r="E14" s="692">
        <f>VLOOKUP($A14,'Ingresos Uds'!$A$7:$T$25,19,0)</f>
        <v>4</v>
      </c>
      <c r="F14" s="693">
        <f t="shared" si="1"/>
        <v>2564000</v>
      </c>
    </row>
    <row r="15" spans="1:6" ht="15" thickBot="1" x14ac:dyDescent="0.4">
      <c r="A15" s="9">
        <v>8</v>
      </c>
      <c r="B15" s="6">
        <v>811017434</v>
      </c>
      <c r="C15" s="17" t="s">
        <v>2</v>
      </c>
      <c r="D15" s="691" t="str">
        <f t="shared" si="0"/>
        <v>Cliente 8</v>
      </c>
      <c r="E15" s="692">
        <f>VLOOKUP($A15,'Ingresos Uds'!$A$7:$T$25,19,0)</f>
        <v>12</v>
      </c>
      <c r="F15" s="693">
        <f t="shared" si="1"/>
        <v>7692000</v>
      </c>
    </row>
    <row r="16" spans="1:6" ht="15" thickBot="1" x14ac:dyDescent="0.4">
      <c r="A16" s="9">
        <v>9</v>
      </c>
      <c r="B16" s="6">
        <v>811021857</v>
      </c>
      <c r="C16" s="17" t="s">
        <v>10</v>
      </c>
      <c r="D16" s="691" t="str">
        <f t="shared" si="0"/>
        <v>Cliente 9</v>
      </c>
      <c r="E16" s="692">
        <f>VLOOKUP($A16,'Ingresos Uds'!$A$7:$T$25,19,0)</f>
        <v>4</v>
      </c>
      <c r="F16" s="693">
        <f t="shared" si="1"/>
        <v>2564000</v>
      </c>
    </row>
    <row r="17" spans="1:6" ht="15" thickBot="1" x14ac:dyDescent="0.4">
      <c r="A17" s="9">
        <v>10</v>
      </c>
      <c r="B17" s="6">
        <v>811026305</v>
      </c>
      <c r="C17" s="17" t="s">
        <v>9</v>
      </c>
      <c r="D17" s="691" t="str">
        <f t="shared" si="0"/>
        <v>Cliente 10</v>
      </c>
      <c r="E17" s="692">
        <f>VLOOKUP($A17,'Ingresos Uds'!$A$7:$T$25,19,0)</f>
        <v>0</v>
      </c>
      <c r="F17" s="693">
        <f t="shared" si="1"/>
        <v>0</v>
      </c>
    </row>
    <row r="18" spans="1:6" ht="15" thickBot="1" x14ac:dyDescent="0.4">
      <c r="A18" s="9">
        <v>11</v>
      </c>
      <c r="B18" s="6">
        <v>811041157</v>
      </c>
      <c r="C18" s="17" t="s">
        <v>8</v>
      </c>
      <c r="D18" s="691" t="str">
        <f t="shared" si="0"/>
        <v>Cliente 11</v>
      </c>
      <c r="E18" s="692">
        <f>VLOOKUP($A18,'Ingresos Uds'!$A$7:$T$25,19,0)</f>
        <v>8</v>
      </c>
      <c r="F18" s="693">
        <f t="shared" si="1"/>
        <v>5128000</v>
      </c>
    </row>
    <row r="19" spans="1:6" ht="15" thickBot="1" x14ac:dyDescent="0.4">
      <c r="A19" s="9">
        <v>12</v>
      </c>
      <c r="B19" s="6">
        <v>890905375</v>
      </c>
      <c r="C19" s="17" t="s">
        <v>1</v>
      </c>
      <c r="D19" s="691" t="str">
        <f t="shared" si="0"/>
        <v>Cliente 12</v>
      </c>
      <c r="E19" s="692">
        <f>VLOOKUP($A19,'Ingresos Uds'!$A$7:$T$25,19,0)</f>
        <v>8</v>
      </c>
      <c r="F19" s="693">
        <f t="shared" si="1"/>
        <v>5128000</v>
      </c>
    </row>
    <row r="20" spans="1:6" ht="15" thickBot="1" x14ac:dyDescent="0.4">
      <c r="A20" s="9">
        <v>13</v>
      </c>
      <c r="B20" s="6">
        <v>890929858</v>
      </c>
      <c r="C20" s="17" t="s">
        <v>6</v>
      </c>
      <c r="D20" s="691" t="str">
        <f t="shared" si="0"/>
        <v>Cliente 13</v>
      </c>
      <c r="E20" s="692">
        <f>VLOOKUP($A20,'Ingresos Uds'!$A$7:$T$25,19,0)</f>
        <v>12</v>
      </c>
      <c r="F20" s="693">
        <f t="shared" si="1"/>
        <v>7692000</v>
      </c>
    </row>
    <row r="21" spans="1:6" ht="15" thickBot="1" x14ac:dyDescent="0.4">
      <c r="A21" s="9">
        <v>14</v>
      </c>
      <c r="B21" s="6">
        <v>890981947</v>
      </c>
      <c r="C21" s="17" t="s">
        <v>3</v>
      </c>
      <c r="D21" s="691" t="str">
        <f t="shared" si="0"/>
        <v>Cliente 14</v>
      </c>
      <c r="E21" s="692">
        <f>VLOOKUP($A21,'Ingresos Uds'!$A$7:$T$25,19,0)</f>
        <v>4</v>
      </c>
      <c r="F21" s="693">
        <f t="shared" si="1"/>
        <v>2564000</v>
      </c>
    </row>
    <row r="22" spans="1:6" ht="15" thickBot="1" x14ac:dyDescent="0.4">
      <c r="A22" s="9">
        <v>15</v>
      </c>
      <c r="B22" s="6">
        <v>900018093</v>
      </c>
      <c r="C22" s="17" t="s">
        <v>13</v>
      </c>
      <c r="D22" s="691" t="str">
        <f t="shared" si="0"/>
        <v>Cliente 15</v>
      </c>
      <c r="E22" s="692">
        <f>VLOOKUP($A22,'Ingresos Uds'!$A$7:$T$25,19,0)</f>
        <v>8</v>
      </c>
      <c r="F22" s="693">
        <f t="shared" si="1"/>
        <v>5128000</v>
      </c>
    </row>
    <row r="23" spans="1:6" ht="15" thickBot="1" x14ac:dyDescent="0.4">
      <c r="A23" s="9">
        <v>16</v>
      </c>
      <c r="B23" s="6">
        <v>900126377</v>
      </c>
      <c r="C23" s="17" t="s">
        <v>16</v>
      </c>
      <c r="D23" s="691" t="str">
        <f t="shared" si="0"/>
        <v>Cliente 16</v>
      </c>
      <c r="E23" s="692">
        <f>VLOOKUP($A23,'Ingresos Uds'!$A$7:$T$25,19,0)</f>
        <v>6</v>
      </c>
      <c r="F23" s="693">
        <f t="shared" si="1"/>
        <v>3846000</v>
      </c>
    </row>
    <row r="24" spans="1:6" ht="15" thickBot="1" x14ac:dyDescent="0.4">
      <c r="A24" s="9">
        <v>17</v>
      </c>
      <c r="B24" s="6">
        <v>900175262</v>
      </c>
      <c r="C24" s="17" t="s">
        <v>15</v>
      </c>
      <c r="D24" s="691" t="str">
        <f t="shared" si="0"/>
        <v>Cliente 17</v>
      </c>
      <c r="E24" s="692">
        <f>VLOOKUP($A24,'Ingresos Uds'!$A$7:$T$25,19,0)</f>
        <v>4</v>
      </c>
      <c r="F24" s="693">
        <f t="shared" si="1"/>
        <v>2564000</v>
      </c>
    </row>
    <row r="25" spans="1:6" ht="15" thickBot="1" x14ac:dyDescent="0.4">
      <c r="A25" s="9">
        <v>18</v>
      </c>
      <c r="B25" s="21" t="s">
        <v>45</v>
      </c>
      <c r="C25" s="17" t="s">
        <v>47</v>
      </c>
      <c r="D25" s="691" t="str">
        <f>PROPER(C25)</f>
        <v>Clientes Atención Demandas Administrativas</v>
      </c>
      <c r="E25" s="692">
        <f>VLOOKUP($A25,'Ingresos Uds'!$A$7:$T$25,19,0)</f>
        <v>24</v>
      </c>
      <c r="F25" s="693">
        <f t="shared" si="1"/>
        <v>15384000</v>
      </c>
    </row>
    <row r="26" spans="1:6" ht="15" thickBot="1" x14ac:dyDescent="0.4">
      <c r="A26" s="9">
        <v>19</v>
      </c>
      <c r="B26" s="21" t="s">
        <v>45</v>
      </c>
      <c r="C26" s="17" t="s">
        <v>46</v>
      </c>
      <c r="D26" s="691" t="str">
        <f>PROPER(C26)</f>
        <v>Asistentes Capacitaciones</v>
      </c>
      <c r="E26" s="692">
        <f>VLOOKUP($A26,'Ingresos Uds'!$A$7:$T$25,19,0)</f>
        <v>25</v>
      </c>
      <c r="F26" s="693">
        <f t="shared" si="1"/>
        <v>16025000</v>
      </c>
    </row>
    <row r="27" spans="1:6" hidden="1" x14ac:dyDescent="0.35">
      <c r="D27" s="694"/>
      <c r="E27" s="694"/>
      <c r="F27" s="41"/>
    </row>
    <row r="28" spans="1:6" ht="15" thickBot="1" x14ac:dyDescent="0.4">
      <c r="D28" s="695" t="s">
        <v>67</v>
      </c>
      <c r="E28" s="696">
        <f>SUM(E8:E26)</f>
        <v>163</v>
      </c>
      <c r="F28" s="697">
        <f>SUM(F8:F26)</f>
        <v>104483000</v>
      </c>
    </row>
  </sheetData>
  <mergeCells count="2">
    <mergeCell ref="E5:F5"/>
    <mergeCell ref="D5:D6"/>
  </mergeCells>
  <printOptions horizontalCentered="1" verticalCentered="1"/>
  <pageMargins left="0.31496062992125984" right="0.11811023622047245" top="0.15748031496062992" bottom="0.35433070866141736" header="0.31496062992125984" footer="0.31496062992125984"/>
  <pageSetup scale="6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3:G24"/>
  <sheetViews>
    <sheetView showGridLines="0" workbookViewId="0">
      <selection activeCell="H18" sqref="H18"/>
    </sheetView>
  </sheetViews>
  <sheetFormatPr baseColWidth="10" defaultRowHeight="14.5" x14ac:dyDescent="0.35"/>
  <cols>
    <col min="1" max="1" width="19.1796875" bestFit="1" customWidth="1"/>
    <col min="2" max="2" width="12.36328125" bestFit="1" customWidth="1"/>
    <col min="3" max="7" width="12.08984375" bestFit="1" customWidth="1"/>
  </cols>
  <sheetData>
    <row r="3" spans="1:7" ht="15" thickBot="1" x14ac:dyDescent="0.4"/>
    <row r="4" spans="1:7" ht="19" thickBot="1" x14ac:dyDescent="0.5">
      <c r="A4" s="949" t="s">
        <v>843</v>
      </c>
      <c r="B4" s="950"/>
      <c r="C4" s="950"/>
      <c r="D4" s="950"/>
      <c r="E4" s="950"/>
      <c r="F4" s="950"/>
      <c r="G4" s="951"/>
    </row>
    <row r="5" spans="1:7" ht="15" thickBot="1" x14ac:dyDescent="0.4"/>
    <row r="6" spans="1:7" x14ac:dyDescent="0.35">
      <c r="A6" s="700" t="s">
        <v>71</v>
      </c>
      <c r="B6" s="699">
        <v>2014</v>
      </c>
      <c r="C6" s="699">
        <v>2015</v>
      </c>
      <c r="D6" s="699">
        <v>2016</v>
      </c>
      <c r="E6" s="699">
        <v>2017</v>
      </c>
      <c r="F6" s="699">
        <v>2018</v>
      </c>
      <c r="G6" s="699">
        <v>2019</v>
      </c>
    </row>
    <row r="7" spans="1:7" x14ac:dyDescent="0.35">
      <c r="A7" s="694" t="s">
        <v>69</v>
      </c>
      <c r="B7" s="707">
        <v>616000</v>
      </c>
      <c r="C7" s="707">
        <f>ROUNDUP(B7*(1+C8),-3)</f>
        <v>641000</v>
      </c>
      <c r="D7" s="707">
        <f>ROUNDUP(C7*(1+D8),-3)</f>
        <v>667000</v>
      </c>
      <c r="E7" s="707">
        <f t="shared" ref="E7:G7" si="0">ROUNDUP(D7*(1+E8),-3)</f>
        <v>694000</v>
      </c>
      <c r="F7" s="707">
        <f t="shared" si="0"/>
        <v>722000</v>
      </c>
      <c r="G7" s="707">
        <f t="shared" si="0"/>
        <v>751000</v>
      </c>
    </row>
    <row r="8" spans="1:7" ht="16.5" x14ac:dyDescent="0.35">
      <c r="A8" s="708" t="s">
        <v>73</v>
      </c>
      <c r="B8" s="709">
        <v>0.04</v>
      </c>
      <c r="C8" s="709">
        <v>0.04</v>
      </c>
      <c r="D8" s="709">
        <v>0.04</v>
      </c>
      <c r="E8" s="709">
        <v>0.04</v>
      </c>
      <c r="F8" s="709">
        <v>0.04</v>
      </c>
      <c r="G8" s="709">
        <v>0.04</v>
      </c>
    </row>
    <row r="9" spans="1:7" ht="16.5" x14ac:dyDescent="0.35">
      <c r="A9" s="708" t="s">
        <v>72</v>
      </c>
      <c r="B9" s="709">
        <v>0</v>
      </c>
      <c r="C9" s="710" t="s">
        <v>45</v>
      </c>
      <c r="D9" s="709">
        <v>0.1</v>
      </c>
      <c r="E9" s="709">
        <v>0.1</v>
      </c>
      <c r="F9" s="709">
        <v>0.1</v>
      </c>
      <c r="G9" s="709">
        <v>0.05</v>
      </c>
    </row>
    <row r="10" spans="1:7" x14ac:dyDescent="0.35">
      <c r="A10" s="708" t="s">
        <v>74</v>
      </c>
      <c r="B10" s="711">
        <v>0</v>
      </c>
      <c r="C10" s="41">
        <f>'Ingresos $'!$E$28</f>
        <v>163</v>
      </c>
      <c r="D10" s="41">
        <f>ROUND(C10*(1+D9),0)</f>
        <v>179</v>
      </c>
      <c r="E10" s="41">
        <f>ROUND(D10*(1+E9),0)</f>
        <v>197</v>
      </c>
      <c r="F10" s="41">
        <f>ROUND(E10*(1+F9),0)</f>
        <v>217</v>
      </c>
      <c r="G10" s="41">
        <f>ROUND(F10*(1+G9),0)</f>
        <v>228</v>
      </c>
    </row>
    <row r="11" spans="1:7" x14ac:dyDescent="0.35">
      <c r="A11" s="708" t="s">
        <v>74</v>
      </c>
      <c r="B11" s="711">
        <v>0</v>
      </c>
      <c r="C11" s="712">
        <f>C10*C7</f>
        <v>104483000</v>
      </c>
      <c r="D11" s="712">
        <f>D10*D7</f>
        <v>119393000</v>
      </c>
      <c r="E11" s="712">
        <f>E10*E7</f>
        <v>136718000</v>
      </c>
      <c r="F11" s="712">
        <f>F10*F7</f>
        <v>156674000</v>
      </c>
      <c r="G11" s="712">
        <f>G10*G7</f>
        <v>171228000</v>
      </c>
    </row>
    <row r="12" spans="1:7" ht="17" thickBot="1" x14ac:dyDescent="0.4">
      <c r="A12" s="713" t="s">
        <v>75</v>
      </c>
      <c r="B12" s="714" t="s">
        <v>45</v>
      </c>
      <c r="C12" s="715"/>
      <c r="D12" s="716">
        <f>(D11/C11)-1</f>
        <v>0.14270264062096216</v>
      </c>
      <c r="E12" s="716">
        <f t="shared" ref="E12:G12" si="1">(E11/D11)-1</f>
        <v>0.14510900974093954</v>
      </c>
      <c r="F12" s="716">
        <f t="shared" si="1"/>
        <v>0.14596468643485139</v>
      </c>
      <c r="G12" s="716">
        <f t="shared" si="1"/>
        <v>9.2893524132912964E-2</v>
      </c>
    </row>
    <row r="13" spans="1:7" x14ac:dyDescent="0.35">
      <c r="A13" s="41"/>
      <c r="B13" s="41"/>
      <c r="C13" s="41"/>
      <c r="D13" s="42"/>
      <c r="E13" s="42"/>
      <c r="F13" s="42"/>
      <c r="G13" s="42"/>
    </row>
    <row r="14" spans="1:7" ht="16.5" x14ac:dyDescent="0.35">
      <c r="A14" s="39" t="s">
        <v>76</v>
      </c>
      <c r="D14" s="2">
        <f>((1+D8)*(1+D9))-1</f>
        <v>0.14400000000000013</v>
      </c>
      <c r="E14" s="2">
        <f>((1+E8)*(1+E9))-1</f>
        <v>0.14400000000000013</v>
      </c>
      <c r="F14" s="2">
        <f>((1+F8)*(1+F9))-1</f>
        <v>0.14400000000000013</v>
      </c>
      <c r="G14" s="2">
        <f>((1+G8)*(1+G9))-1</f>
        <v>9.2000000000000082E-2</v>
      </c>
    </row>
    <row r="15" spans="1:7" x14ac:dyDescent="0.35">
      <c r="A15" s="40" t="s">
        <v>77</v>
      </c>
      <c r="D15" s="10">
        <f>D12-D14</f>
        <v>-1.2973593790379656E-3</v>
      </c>
      <c r="E15" s="10">
        <f>E12-E14</f>
        <v>1.1090097409394151E-3</v>
      </c>
      <c r="F15" s="10">
        <f>F12-F14</f>
        <v>1.9646864348512594E-3</v>
      </c>
      <c r="G15" s="10">
        <f>G12-G14</f>
        <v>8.935241329128818E-4</v>
      </c>
    </row>
    <row r="18" spans="1:7" x14ac:dyDescent="0.35">
      <c r="C18">
        <f>'HC 2015'!$G$26</f>
        <v>239</v>
      </c>
      <c r="D18">
        <f>'HC 2016'!$G$26</f>
        <v>263</v>
      </c>
      <c r="E18">
        <f>'HC 2017'!$G$26</f>
        <v>289</v>
      </c>
      <c r="F18">
        <f>'HC 2018'!$G$26</f>
        <v>318</v>
      </c>
      <c r="G18">
        <f>'HC 2019'!$G$26</f>
        <v>334</v>
      </c>
    </row>
    <row r="19" spans="1:7" x14ac:dyDescent="0.35">
      <c r="C19">
        <f>'HC 2015'!$G$19</f>
        <v>240</v>
      </c>
      <c r="D19">
        <f>'HC 2016'!$G$19</f>
        <v>265</v>
      </c>
      <c r="E19">
        <f>'HC 2017'!$G$19</f>
        <v>290</v>
      </c>
      <c r="F19">
        <f>'HC 2018'!$G$19</f>
        <v>320</v>
      </c>
      <c r="G19">
        <f>'HC 2019'!$G$19</f>
        <v>335</v>
      </c>
    </row>
    <row r="20" spans="1:7" x14ac:dyDescent="0.35">
      <c r="C20">
        <f>C18-C19</f>
        <v>-1</v>
      </c>
      <c r="D20">
        <f t="shared" ref="D20:G20" si="2">D18-D19</f>
        <v>-2</v>
      </c>
      <c r="E20">
        <f t="shared" si="2"/>
        <v>-1</v>
      </c>
      <c r="F20">
        <f t="shared" si="2"/>
        <v>-2</v>
      </c>
      <c r="G20">
        <f t="shared" si="2"/>
        <v>-1</v>
      </c>
    </row>
    <row r="22" spans="1:7" x14ac:dyDescent="0.35">
      <c r="A22" s="1" t="s">
        <v>150</v>
      </c>
      <c r="C22" s="142">
        <f>'RF 2015'!$O$25</f>
        <v>35896000</v>
      </c>
      <c r="D22" s="142">
        <f>'RF 2016'!$O$25</f>
        <v>42354500</v>
      </c>
      <c r="E22" s="142">
        <f>'RF 2017'!$O$25</f>
        <v>49551600</v>
      </c>
      <c r="F22" s="142">
        <f>'RF 2018'!$O$25</f>
        <v>55882800</v>
      </c>
      <c r="G22" s="142">
        <f>'RF 2019'!$O$25</f>
        <v>60380400</v>
      </c>
    </row>
    <row r="24" spans="1:7" x14ac:dyDescent="0.35">
      <c r="A24" s="1" t="s">
        <v>151</v>
      </c>
      <c r="C24" s="120">
        <f>C22/C11</f>
        <v>0.34355828220858897</v>
      </c>
      <c r="D24" s="120">
        <f>D22/D11</f>
        <v>0.35474860335195529</v>
      </c>
      <c r="E24" s="120">
        <f>E22/E11</f>
        <v>0.36243654822335025</v>
      </c>
      <c r="F24" s="120">
        <f>F22/F11</f>
        <v>0.35668202764976958</v>
      </c>
      <c r="G24" s="120">
        <f>G22/G11</f>
        <v>0.35263157894736841</v>
      </c>
    </row>
  </sheetData>
  <mergeCells count="1">
    <mergeCell ref="A4:G4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T23"/>
  <sheetViews>
    <sheetView showGridLines="0" workbookViewId="0">
      <pane xSplit="1" ySplit="6" topLeftCell="C12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1" x14ac:dyDescent="0.35"/>
  <cols>
    <col min="1" max="1" width="8.81640625" bestFit="1" customWidth="1"/>
    <col min="2" max="2" width="36.08984375" hidden="1" customWidth="1" outlineLevel="1"/>
    <col min="3" max="3" width="70.6328125" customWidth="1" collapsed="1"/>
    <col min="4" max="4" width="15.81640625" bestFit="1" customWidth="1"/>
    <col min="5" max="5" width="11.453125" bestFit="1" customWidth="1"/>
    <col min="6" max="6" width="7.81640625" bestFit="1" customWidth="1"/>
  </cols>
  <sheetData>
    <row r="3" spans="1:20" ht="15" thickBot="1" x14ac:dyDescent="0.4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21" customHeight="1" thickBot="1" x14ac:dyDescent="0.45">
      <c r="A4" s="979" t="s">
        <v>839</v>
      </c>
      <c r="B4" s="980"/>
      <c r="C4" s="980"/>
      <c r="D4" s="980"/>
      <c r="E4" s="980"/>
      <c r="F4" s="98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" thickBot="1" x14ac:dyDescent="0.4"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29" x14ac:dyDescent="0.35">
      <c r="A6" s="679" t="s">
        <v>43</v>
      </c>
      <c r="B6" s="680" t="s">
        <v>43</v>
      </c>
      <c r="C6" s="680" t="s">
        <v>44</v>
      </c>
      <c r="D6" s="681" t="s">
        <v>100</v>
      </c>
      <c r="E6" s="681" t="s">
        <v>98</v>
      </c>
      <c r="F6" s="681" t="s">
        <v>99</v>
      </c>
    </row>
    <row r="7" spans="1:20" x14ac:dyDescent="0.35">
      <c r="A7" s="666">
        <v>1</v>
      </c>
      <c r="B7" s="678" t="s">
        <v>19</v>
      </c>
      <c r="C7" s="682" t="s">
        <v>50</v>
      </c>
      <c r="D7" s="688">
        <f>VLOOKUP($A7,'Productos Horas'!$A$5:$D$18,4,0)</f>
        <v>8</v>
      </c>
      <c r="E7" s="688">
        <f>HLOOKUP($A7,'Ingresos Uds'!$E$5:$S$27,23,0)</f>
        <v>2</v>
      </c>
      <c r="F7" s="688">
        <f>D7*E7</f>
        <v>16</v>
      </c>
    </row>
    <row r="8" spans="1:20" x14ac:dyDescent="0.35">
      <c r="A8" s="666">
        <v>2</v>
      </c>
      <c r="B8" s="669" t="s">
        <v>30</v>
      </c>
      <c r="C8" s="684" t="s">
        <v>20</v>
      </c>
      <c r="D8" s="688">
        <f>VLOOKUP($A8,'Productos Horas'!$A$5:$D$18,4,0)</f>
        <v>16</v>
      </c>
      <c r="E8" s="688">
        <f>HLOOKUP($A8,'Ingresos Uds'!$E$5:$S$27,23,0)</f>
        <v>1</v>
      </c>
      <c r="F8" s="688">
        <f t="shared" ref="F8:F19" si="0">D8*E8</f>
        <v>16</v>
      </c>
    </row>
    <row r="9" spans="1:20" x14ac:dyDescent="0.35">
      <c r="A9" s="666">
        <v>3</v>
      </c>
      <c r="B9" s="669" t="s">
        <v>29</v>
      </c>
      <c r="C9" s="684" t="s">
        <v>21</v>
      </c>
      <c r="D9" s="688">
        <f>VLOOKUP($A9,'Productos Horas'!$A$5:$D$18,4,0)</f>
        <v>16</v>
      </c>
      <c r="E9" s="688">
        <f>HLOOKUP($A9,'Ingresos Uds'!$E$5:$S$27,23,0)</f>
        <v>2</v>
      </c>
      <c r="F9" s="688">
        <f t="shared" si="0"/>
        <v>32</v>
      </c>
    </row>
    <row r="10" spans="1:20" x14ac:dyDescent="0.35">
      <c r="A10" s="666">
        <v>4</v>
      </c>
      <c r="B10" s="669" t="s">
        <v>31</v>
      </c>
      <c r="C10" s="684" t="s">
        <v>49</v>
      </c>
      <c r="D10" s="688">
        <f>VLOOKUP($A10,'Productos Horas'!$A$5:$D$18,4,0)</f>
        <v>12</v>
      </c>
      <c r="E10" s="688">
        <f>HLOOKUP($A10,'Ingresos Uds'!$E$5:$S$27,23,0)</f>
        <v>1</v>
      </c>
      <c r="F10" s="688">
        <f t="shared" si="0"/>
        <v>12</v>
      </c>
    </row>
    <row r="11" spans="1:20" ht="29" x14ac:dyDescent="0.35">
      <c r="A11" s="666">
        <v>5</v>
      </c>
      <c r="B11" s="669" t="s">
        <v>32</v>
      </c>
      <c r="C11" s="684" t="s">
        <v>22</v>
      </c>
      <c r="D11" s="688">
        <f>VLOOKUP($A11,'Productos Horas'!$A$5:$D$18,4,0)</f>
        <v>12</v>
      </c>
      <c r="E11" s="688">
        <f>HLOOKUP($A11,'Ingresos Uds'!$E$5:$S$27,23,0)</f>
        <v>1</v>
      </c>
      <c r="F11" s="688">
        <f t="shared" si="0"/>
        <v>12</v>
      </c>
    </row>
    <row r="12" spans="1:20" x14ac:dyDescent="0.35">
      <c r="A12" s="666">
        <v>6</v>
      </c>
      <c r="B12" s="669" t="s">
        <v>33</v>
      </c>
      <c r="C12" s="684" t="s">
        <v>23</v>
      </c>
      <c r="D12" s="688">
        <f>VLOOKUP($A12,'Productos Horas'!$A$5:$D$18,4,0)</f>
        <v>4</v>
      </c>
      <c r="E12" s="688">
        <f>HLOOKUP($A12,'Ingresos Uds'!$E$5:$S$27,23,0)</f>
        <v>9</v>
      </c>
      <c r="F12" s="688">
        <f t="shared" si="0"/>
        <v>36</v>
      </c>
    </row>
    <row r="13" spans="1:20" x14ac:dyDescent="0.35">
      <c r="A13" s="666">
        <v>7</v>
      </c>
      <c r="B13" s="669" t="s">
        <v>34</v>
      </c>
      <c r="C13" s="684" t="s">
        <v>24</v>
      </c>
      <c r="D13" s="688">
        <f>VLOOKUP($A13,'Productos Horas'!$A$5:$D$18,4,0)</f>
        <v>4</v>
      </c>
      <c r="E13" s="688">
        <f>HLOOKUP($A13,'Ingresos Uds'!$E$5:$S$27,23,0)</f>
        <v>1</v>
      </c>
      <c r="F13" s="688">
        <f t="shared" si="0"/>
        <v>4</v>
      </c>
    </row>
    <row r="14" spans="1:20" x14ac:dyDescent="0.35">
      <c r="A14" s="666">
        <v>8</v>
      </c>
      <c r="B14" s="678" t="s">
        <v>25</v>
      </c>
      <c r="C14" s="682" t="s">
        <v>51</v>
      </c>
      <c r="D14" s="688">
        <f>VLOOKUP($A14,'Productos Horas'!$A$5:$D$18,4,0)</f>
        <v>12</v>
      </c>
      <c r="E14" s="688">
        <f>HLOOKUP($A14,'Ingresos Uds'!$E$5:$S$27,23,0)</f>
        <v>1</v>
      </c>
      <c r="F14" s="688">
        <f t="shared" si="0"/>
        <v>12</v>
      </c>
    </row>
    <row r="15" spans="1:20" x14ac:dyDescent="0.35">
      <c r="A15" s="666">
        <v>9</v>
      </c>
      <c r="B15" s="669" t="s">
        <v>35</v>
      </c>
      <c r="C15" s="684" t="s">
        <v>52</v>
      </c>
      <c r="D15" s="688">
        <f>VLOOKUP($A15,'Productos Horas'!$A$5:$D$18,4,0)</f>
        <v>12</v>
      </c>
      <c r="E15" s="688">
        <f>HLOOKUP($A15,'Ingresos Uds'!$E$5:$S$27,23,0)</f>
        <v>1</v>
      </c>
      <c r="F15" s="688">
        <f t="shared" si="0"/>
        <v>12</v>
      </c>
    </row>
    <row r="16" spans="1:20" x14ac:dyDescent="0.35">
      <c r="A16" s="666">
        <v>10</v>
      </c>
      <c r="B16" s="669" t="s">
        <v>36</v>
      </c>
      <c r="C16" s="684" t="s">
        <v>53</v>
      </c>
      <c r="D16" s="688">
        <f>VLOOKUP($A16,'Productos Horas'!$A$5:$D$18,4,0)</f>
        <v>8</v>
      </c>
      <c r="E16" s="688">
        <f>HLOOKUP($A16,'Ingresos Uds'!$E$5:$S$27,23,0)</f>
        <v>0</v>
      </c>
      <c r="F16" s="688">
        <f t="shared" si="0"/>
        <v>0</v>
      </c>
    </row>
    <row r="17" spans="1:6" x14ac:dyDescent="0.35">
      <c r="A17" s="666">
        <v>11</v>
      </c>
      <c r="B17" s="669" t="s">
        <v>37</v>
      </c>
      <c r="C17" s="684" t="s">
        <v>54</v>
      </c>
      <c r="D17" s="688">
        <f>VLOOKUP($A17,'Productos Horas'!$A$5:$D$18,4,0)</f>
        <v>8</v>
      </c>
      <c r="E17" s="688">
        <f>HLOOKUP($A17,'Ingresos Uds'!$E$5:$S$27,23,0)</f>
        <v>1</v>
      </c>
      <c r="F17" s="688">
        <f t="shared" si="0"/>
        <v>8</v>
      </c>
    </row>
    <row r="18" spans="1:6" x14ac:dyDescent="0.35">
      <c r="A18" s="666">
        <v>12</v>
      </c>
      <c r="B18" s="669" t="s">
        <v>38</v>
      </c>
      <c r="C18" s="684" t="s">
        <v>28</v>
      </c>
      <c r="D18" s="688">
        <f>VLOOKUP($A18,'Productos Horas'!$A$5:$D$18,4,0)</f>
        <v>8</v>
      </c>
      <c r="E18" s="688">
        <f>HLOOKUP($A18,'Ingresos Uds'!$E$5:$S$27,23,0)</f>
        <v>1</v>
      </c>
      <c r="F18" s="688">
        <f t="shared" si="0"/>
        <v>8</v>
      </c>
    </row>
    <row r="19" spans="1:6" ht="29" x14ac:dyDescent="0.35">
      <c r="A19" s="666">
        <v>13</v>
      </c>
      <c r="B19" s="669" t="s">
        <v>39</v>
      </c>
      <c r="C19" s="684" t="s">
        <v>26</v>
      </c>
      <c r="D19" s="688">
        <f>VLOOKUP($A19,'Productos Horas'!$A$5:$D$18,4,0)</f>
        <v>16</v>
      </c>
      <c r="E19" s="688">
        <f>HLOOKUP($A19,'Ingresos Uds'!$E$5:$S$27,23,0)</f>
        <v>4</v>
      </c>
      <c r="F19" s="688">
        <f t="shared" si="0"/>
        <v>64</v>
      </c>
    </row>
    <row r="20" spans="1:6" x14ac:dyDescent="0.35">
      <c r="A20" s="666">
        <v>14</v>
      </c>
      <c r="B20" s="669" t="s">
        <v>40</v>
      </c>
      <c r="C20" s="684" t="s">
        <v>27</v>
      </c>
      <c r="D20" s="730">
        <f>VLOOKUP($A20,'Productos Horas'!$A$5:$D$18,4,0)</f>
        <v>0.125</v>
      </c>
      <c r="E20" s="688">
        <f>HLOOKUP($A20,'Ingresos Uds'!$E$5:$S$27,23,0)</f>
        <v>50</v>
      </c>
      <c r="F20" s="731">
        <f t="shared" ref="F20" si="1">D20*E20</f>
        <v>6.25</v>
      </c>
    </row>
    <row r="21" spans="1:6" ht="15" thickBot="1" x14ac:dyDescent="0.4">
      <c r="A21" s="715"/>
      <c r="B21" s="715"/>
      <c r="C21" s="732" t="s">
        <v>65</v>
      </c>
      <c r="D21" s="715"/>
      <c r="E21" s="715"/>
      <c r="F21" s="733">
        <f>ROUNDUP(SUM(F7:F20),0)</f>
        <v>239</v>
      </c>
    </row>
    <row r="22" spans="1:6" x14ac:dyDescent="0.35">
      <c r="F22">
        <v>9</v>
      </c>
    </row>
    <row r="23" spans="1:6" x14ac:dyDescent="0.35">
      <c r="F23">
        <f>F21/F22</f>
        <v>26.555555555555557</v>
      </c>
    </row>
  </sheetData>
  <mergeCells count="1">
    <mergeCell ref="A4:F4"/>
  </mergeCells>
  <printOptions horizontalCentered="1" verticalCentered="1"/>
  <pageMargins left="0.31496062992125984" right="0.11811023622047245" top="0.15748031496062992" bottom="0.35433070866141736" header="0.31496062992125984" footer="0.31496062992125984"/>
  <pageSetup scale="6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3:F7"/>
  <sheetViews>
    <sheetView showGridLines="0" workbookViewId="0">
      <selection activeCell="H18" sqref="H18"/>
    </sheetView>
  </sheetViews>
  <sheetFormatPr baseColWidth="10" defaultRowHeight="14.5" x14ac:dyDescent="0.35"/>
  <cols>
    <col min="1" max="1" width="19.1796875" bestFit="1" customWidth="1"/>
    <col min="2" max="6" width="12.08984375" bestFit="1" customWidth="1"/>
  </cols>
  <sheetData>
    <row r="3" spans="1:6" ht="15" thickBot="1" x14ac:dyDescent="0.4"/>
    <row r="4" spans="1:6" x14ac:dyDescent="0.35">
      <c r="A4" s="700" t="s">
        <v>71</v>
      </c>
      <c r="B4" s="699">
        <v>2015</v>
      </c>
      <c r="C4" s="699">
        <v>2016</v>
      </c>
      <c r="D4" s="699">
        <v>2017</v>
      </c>
      <c r="E4" s="699">
        <v>2018</v>
      </c>
      <c r="F4" s="699">
        <v>2019</v>
      </c>
    </row>
    <row r="5" spans="1:6" x14ac:dyDescent="0.35">
      <c r="A5" s="694" t="s">
        <v>149</v>
      </c>
      <c r="B5" s="762">
        <f>'Horas Productos'!F21</f>
        <v>239</v>
      </c>
      <c r="C5" s="762">
        <f>ROUND(B5*(1+C6),0)</f>
        <v>263</v>
      </c>
      <c r="D5" s="762">
        <f>ROUND(C5*(1+D6),0)</f>
        <v>289</v>
      </c>
      <c r="E5" s="762">
        <f>ROUND(D5*(1+E6),0)</f>
        <v>318</v>
      </c>
      <c r="F5" s="762">
        <f>ROUND(E5*(1+F6),0)</f>
        <v>334</v>
      </c>
    </row>
    <row r="6" spans="1:6" ht="17" thickBot="1" x14ac:dyDescent="0.4">
      <c r="A6" s="713" t="s">
        <v>72</v>
      </c>
      <c r="B6" s="763" t="str">
        <f>HLOOKUP(B$4,'Ing Proyect'!$B$6:$G$12,4,0)</f>
        <v>NA</v>
      </c>
      <c r="C6" s="763">
        <f>HLOOKUP(C$4,'Ing Proyect'!$B$6:$G$12,4,0)</f>
        <v>0.1</v>
      </c>
      <c r="D6" s="763">
        <f>HLOOKUP(D$4,'Ing Proyect'!$B$6:$G$12,4,0)</f>
        <v>0.1</v>
      </c>
      <c r="E6" s="763">
        <f>HLOOKUP(E$4,'Ing Proyect'!$B$6:$G$12,4,0)</f>
        <v>0.1</v>
      </c>
      <c r="F6" s="763">
        <f>HLOOKUP(F$4,'Ing Proyect'!$B$6:$G$12,4,0)</f>
        <v>0.05</v>
      </c>
    </row>
    <row r="7" spans="1:6" x14ac:dyDescent="0.35">
      <c r="A7" s="41"/>
      <c r="B7" s="41"/>
      <c r="C7" s="42"/>
      <c r="D7" s="42"/>
      <c r="E7" s="42"/>
      <c r="F7" s="42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4:G41"/>
  <sheetViews>
    <sheetView showGridLines="0" workbookViewId="0">
      <selection activeCell="H18" sqref="H18"/>
    </sheetView>
  </sheetViews>
  <sheetFormatPr baseColWidth="10" defaultRowHeight="14.5" x14ac:dyDescent="0.35"/>
  <cols>
    <col min="1" max="1" width="4.81640625" customWidth="1"/>
    <col min="2" max="2" width="30.6328125" customWidth="1"/>
    <col min="3" max="6" width="10.453125" bestFit="1" customWidth="1"/>
    <col min="7" max="7" width="12.90625" bestFit="1" customWidth="1"/>
  </cols>
  <sheetData>
    <row r="4" spans="1:7" x14ac:dyDescent="0.35">
      <c r="A4" s="956" t="s">
        <v>125</v>
      </c>
      <c r="B4" s="956"/>
      <c r="C4" s="956"/>
      <c r="D4" s="956"/>
      <c r="E4" s="956"/>
      <c r="F4" s="956"/>
    </row>
    <row r="5" spans="1:7" ht="15" thickBot="1" x14ac:dyDescent="0.4"/>
    <row r="6" spans="1:7" x14ac:dyDescent="0.35">
      <c r="A6" s="83" t="s">
        <v>57</v>
      </c>
      <c r="B6" s="84"/>
      <c r="C6" s="982" t="s">
        <v>126</v>
      </c>
      <c r="D6" s="983"/>
      <c r="E6" s="983"/>
      <c r="F6" s="984"/>
    </row>
    <row r="7" spans="1:7" x14ac:dyDescent="0.35">
      <c r="A7" s="97" t="s">
        <v>127</v>
      </c>
      <c r="B7" s="98"/>
      <c r="C7" s="99">
        <v>8</v>
      </c>
      <c r="D7" s="99">
        <v>20</v>
      </c>
      <c r="E7" s="99">
        <f>17413000/E19</f>
        <v>28.267857142857142</v>
      </c>
      <c r="F7" s="100">
        <v>40</v>
      </c>
      <c r="G7">
        <v>40</v>
      </c>
    </row>
    <row r="8" spans="1:7" x14ac:dyDescent="0.35">
      <c r="A8" s="97" t="s">
        <v>128</v>
      </c>
      <c r="B8" s="98"/>
      <c r="C8" s="87">
        <v>1.3483333333333334</v>
      </c>
      <c r="D8" s="87">
        <v>1.3483333333333334</v>
      </c>
      <c r="E8" s="87">
        <v>1.3483333333333334</v>
      </c>
      <c r="F8" s="101">
        <v>1.3483333333333334</v>
      </c>
      <c r="G8" s="10">
        <v>1.3483333333333334</v>
      </c>
    </row>
    <row r="9" spans="1:7" x14ac:dyDescent="0.35">
      <c r="A9" s="97" t="s">
        <v>129</v>
      </c>
      <c r="B9" s="98"/>
      <c r="C9" s="99">
        <v>6</v>
      </c>
      <c r="D9" s="99">
        <v>6</v>
      </c>
      <c r="E9" s="99">
        <v>6</v>
      </c>
      <c r="F9" s="100">
        <v>6</v>
      </c>
      <c r="G9" s="102">
        <v>6</v>
      </c>
    </row>
    <row r="10" spans="1:7" x14ac:dyDescent="0.35">
      <c r="A10" s="97" t="s">
        <v>130</v>
      </c>
      <c r="B10" s="98"/>
      <c r="C10" s="99">
        <f>C8*C9</f>
        <v>8.09</v>
      </c>
      <c r="D10" s="99">
        <f>D8*D9</f>
        <v>8.09</v>
      </c>
      <c r="E10" s="99">
        <f>E8*E9</f>
        <v>8.09</v>
      </c>
      <c r="F10" s="100">
        <f>F8*F9</f>
        <v>8.09</v>
      </c>
      <c r="G10" s="102">
        <f>G8*G9</f>
        <v>8.09</v>
      </c>
    </row>
    <row r="11" spans="1:7" x14ac:dyDescent="0.35">
      <c r="A11" s="97" t="s">
        <v>131</v>
      </c>
      <c r="B11" s="98"/>
      <c r="C11" s="103">
        <v>0.1</v>
      </c>
      <c r="D11" s="103">
        <v>0.1</v>
      </c>
      <c r="E11" s="103">
        <v>0.1</v>
      </c>
      <c r="F11" s="104">
        <v>0.1</v>
      </c>
      <c r="G11" s="105">
        <v>0.1</v>
      </c>
    </row>
    <row r="12" spans="1:7" ht="15" x14ac:dyDescent="0.35">
      <c r="A12" s="106" t="s">
        <v>132</v>
      </c>
      <c r="B12" s="98"/>
      <c r="C12" s="99">
        <f t="shared" ref="C12:F12" si="0">IF(C7&lt;=20,(C7*C11),20*C11)</f>
        <v>0.8</v>
      </c>
      <c r="D12" s="99">
        <f t="shared" si="0"/>
        <v>2</v>
      </c>
      <c r="E12" s="99">
        <f>IF(E7&lt;=20,(E7*E11),20*E11)</f>
        <v>2</v>
      </c>
      <c r="F12" s="100">
        <f t="shared" si="0"/>
        <v>2</v>
      </c>
      <c r="G12" s="102">
        <f>IF(G7&lt;=20,(G7*G11),20*G11)</f>
        <v>2</v>
      </c>
    </row>
    <row r="13" spans="1:7" x14ac:dyDescent="0.35">
      <c r="A13" s="97" t="s">
        <v>133</v>
      </c>
      <c r="B13" s="98"/>
      <c r="C13" s="103">
        <v>0.2</v>
      </c>
      <c r="D13" s="103">
        <v>0.2</v>
      </c>
      <c r="E13" s="103">
        <v>0.2</v>
      </c>
      <c r="F13" s="104">
        <v>0.2</v>
      </c>
      <c r="G13" s="105">
        <v>0</v>
      </c>
    </row>
    <row r="14" spans="1:7" ht="15" x14ac:dyDescent="0.35">
      <c r="A14" s="97" t="s">
        <v>134</v>
      </c>
      <c r="B14" s="98"/>
      <c r="C14" s="99">
        <f t="shared" ref="C14:D14" si="1">IF(C7&gt;20,(C7-20)*C13,0)</f>
        <v>0</v>
      </c>
      <c r="D14" s="99">
        <f t="shared" si="1"/>
        <v>0</v>
      </c>
      <c r="E14" s="99">
        <f>IF(E7&gt;20,(E7-20)*E13,0)</f>
        <v>1.6535714285714285</v>
      </c>
      <c r="F14" s="100">
        <f>IF(F7&gt;20,(F7-20)*F13,0)</f>
        <v>4</v>
      </c>
      <c r="G14" s="102">
        <f t="shared" ref="G14" si="2">IF(G7&gt;20,(G7-20)*G13,0)</f>
        <v>0</v>
      </c>
    </row>
    <row r="15" spans="1:7" x14ac:dyDescent="0.35">
      <c r="A15" s="97" t="s">
        <v>135</v>
      </c>
      <c r="B15" s="98"/>
      <c r="C15" s="99">
        <f>C12+C14</f>
        <v>0.8</v>
      </c>
      <c r="D15" s="99">
        <f>D12+D14</f>
        <v>2</v>
      </c>
      <c r="E15" s="99">
        <f t="shared" ref="E15:G15" si="3">E12+E14</f>
        <v>3.6535714285714285</v>
      </c>
      <c r="F15" s="100">
        <f t="shared" si="3"/>
        <v>6</v>
      </c>
      <c r="G15" s="102">
        <f t="shared" si="3"/>
        <v>2</v>
      </c>
    </row>
    <row r="16" spans="1:7" x14ac:dyDescent="0.35">
      <c r="A16" s="97" t="s">
        <v>136</v>
      </c>
      <c r="B16" s="98"/>
      <c r="C16" s="99">
        <f>C10+C15</f>
        <v>8.89</v>
      </c>
      <c r="D16" s="99">
        <f>D10+D15</f>
        <v>10.09</v>
      </c>
      <c r="E16" s="99">
        <f t="shared" ref="E16:G16" si="4">E10+E15</f>
        <v>11.743571428571428</v>
      </c>
      <c r="F16" s="100">
        <f t="shared" si="4"/>
        <v>14.09</v>
      </c>
      <c r="G16" s="102">
        <f t="shared" si="4"/>
        <v>10.09</v>
      </c>
    </row>
    <row r="17" spans="1:7" x14ac:dyDescent="0.35">
      <c r="A17" s="97" t="s">
        <v>137</v>
      </c>
      <c r="B17" s="98"/>
      <c r="C17" s="99">
        <f>C18-C9</f>
        <v>0.5933250927070457</v>
      </c>
      <c r="D17" s="99">
        <f>D18-D9</f>
        <v>1.4833127317676142</v>
      </c>
      <c r="E17" s="99">
        <f t="shared" ref="E17:G17" si="5">E18-E9</f>
        <v>2.7096945082111947</v>
      </c>
      <c r="F17" s="100">
        <f t="shared" si="5"/>
        <v>4.4499381953028418</v>
      </c>
      <c r="G17" s="102">
        <f t="shared" si="5"/>
        <v>1.4833127317676142</v>
      </c>
    </row>
    <row r="18" spans="1:7" x14ac:dyDescent="0.35">
      <c r="A18" s="97" t="s">
        <v>138</v>
      </c>
      <c r="B18" s="98"/>
      <c r="C18" s="107">
        <f>C16/(C8)</f>
        <v>6.5933250927070457</v>
      </c>
      <c r="D18" s="107">
        <f>D16/(D8)</f>
        <v>7.4833127317676142</v>
      </c>
      <c r="E18" s="107">
        <f>E16/(E8)</f>
        <v>8.7096945082111947</v>
      </c>
      <c r="F18" s="108">
        <f>F16/(F8)</f>
        <v>10.449938195302842</v>
      </c>
      <c r="G18" s="109">
        <f>G16/(G8)</f>
        <v>7.4833127317676142</v>
      </c>
    </row>
    <row r="19" spans="1:7" x14ac:dyDescent="0.35">
      <c r="A19" s="97" t="s">
        <v>139</v>
      </c>
      <c r="B19" s="98"/>
      <c r="C19" s="110">
        <v>616000</v>
      </c>
      <c r="D19" s="110">
        <v>616000</v>
      </c>
      <c r="E19" s="110">
        <v>616000</v>
      </c>
      <c r="F19" s="111">
        <v>616000</v>
      </c>
      <c r="G19" s="15">
        <v>616000</v>
      </c>
    </row>
    <row r="20" spans="1:7" x14ac:dyDescent="0.35">
      <c r="A20" s="112" t="s">
        <v>140</v>
      </c>
      <c r="B20" s="86"/>
      <c r="C20" s="113">
        <f>C18*C19</f>
        <v>4061488.25710754</v>
      </c>
      <c r="D20" s="113">
        <f>D18*D19</f>
        <v>4609720.6427688506</v>
      </c>
      <c r="E20" s="113">
        <f>E18*E19</f>
        <v>5365171.8170580957</v>
      </c>
      <c r="F20" s="114">
        <f>F18*F19</f>
        <v>6437161.9283065507</v>
      </c>
      <c r="G20" s="115">
        <f>G18*G19</f>
        <v>4609720.6427688506</v>
      </c>
    </row>
    <row r="21" spans="1:7" ht="15" thickBot="1" x14ac:dyDescent="0.4">
      <c r="A21" s="116" t="s">
        <v>141</v>
      </c>
      <c r="B21" s="117"/>
      <c r="C21" s="118">
        <f>C16/C7</f>
        <v>1.1112500000000001</v>
      </c>
      <c r="D21" s="118">
        <f>D16/D7</f>
        <v>0.50449999999999995</v>
      </c>
      <c r="E21" s="118">
        <f>E16/E7</f>
        <v>0.41543903979785218</v>
      </c>
      <c r="F21" s="119">
        <f>F16/F7</f>
        <v>0.35225000000000001</v>
      </c>
      <c r="G21" s="120">
        <f>G16/G7</f>
        <v>0.25224999999999997</v>
      </c>
    </row>
    <row r="24" spans="1:7" x14ac:dyDescent="0.35">
      <c r="A24" s="956" t="s">
        <v>142</v>
      </c>
      <c r="B24" s="956"/>
      <c r="C24" s="956"/>
      <c r="D24" s="956"/>
      <c r="E24" s="956"/>
      <c r="F24" s="956"/>
    </row>
    <row r="25" spans="1:7" ht="15" thickBot="1" x14ac:dyDescent="0.4"/>
    <row r="26" spans="1:7" x14ac:dyDescent="0.35">
      <c r="A26" s="83" t="s">
        <v>57</v>
      </c>
      <c r="B26" s="84"/>
      <c r="C26" s="982" t="s">
        <v>126</v>
      </c>
      <c r="D26" s="983"/>
      <c r="E26" s="983"/>
      <c r="F26" s="984"/>
    </row>
    <row r="27" spans="1:7" x14ac:dyDescent="0.35">
      <c r="A27" s="97" t="s">
        <v>143</v>
      </c>
      <c r="B27" s="98"/>
      <c r="C27" s="99">
        <v>8</v>
      </c>
      <c r="D27" s="99">
        <v>20</v>
      </c>
      <c r="E27" s="99">
        <v>30</v>
      </c>
      <c r="F27" s="100">
        <v>40</v>
      </c>
    </row>
    <row r="28" spans="1:7" x14ac:dyDescent="0.35">
      <c r="A28" s="97" t="s">
        <v>128</v>
      </c>
      <c r="B28" s="98"/>
      <c r="C28" s="87">
        <v>1.3483333333333334</v>
      </c>
      <c r="D28" s="87">
        <v>1.3483333333333334</v>
      </c>
      <c r="E28" s="87">
        <v>1.3483333333333334</v>
      </c>
      <c r="F28" s="101">
        <v>1.3483333333333334</v>
      </c>
    </row>
    <row r="29" spans="1:7" x14ac:dyDescent="0.35">
      <c r="A29" s="97" t="s">
        <v>129</v>
      </c>
      <c r="B29" s="98"/>
      <c r="C29" s="99">
        <f>IF(IF(C27&gt;20,6,6*(C27/20))&lt;=2,2,IF(C27&gt;20,6,6*(C27/20)))</f>
        <v>2.4000000000000004</v>
      </c>
      <c r="D29" s="99">
        <f t="shared" ref="D29:F29" si="6">IF(IF(D27&gt;20,6,6*(D27/20))&lt;=2,2,IF(D27&gt;20,6,6*(D27/20)))</f>
        <v>6</v>
      </c>
      <c r="E29" s="99">
        <f t="shared" si="6"/>
        <v>6</v>
      </c>
      <c r="F29" s="100">
        <f t="shared" si="6"/>
        <v>6</v>
      </c>
    </row>
    <row r="30" spans="1:7" x14ac:dyDescent="0.35">
      <c r="A30" s="97" t="s">
        <v>130</v>
      </c>
      <c r="B30" s="98"/>
      <c r="C30" s="99">
        <f>C28*C29</f>
        <v>3.2360000000000007</v>
      </c>
      <c r="D30" s="99">
        <f>D28*D29</f>
        <v>8.09</v>
      </c>
      <c r="E30" s="99">
        <f>E28*E29</f>
        <v>8.09</v>
      </c>
      <c r="F30" s="100">
        <f>F28*F29</f>
        <v>8.09</v>
      </c>
    </row>
    <row r="31" spans="1:7" x14ac:dyDescent="0.35">
      <c r="A31" s="97" t="s">
        <v>131</v>
      </c>
      <c r="B31" s="98"/>
      <c r="C31" s="103">
        <v>0.1</v>
      </c>
      <c r="D31" s="103">
        <v>0.1</v>
      </c>
      <c r="E31" s="103">
        <v>0.1</v>
      </c>
      <c r="F31" s="104">
        <v>0.1</v>
      </c>
    </row>
    <row r="32" spans="1:7" ht="15" x14ac:dyDescent="0.35">
      <c r="A32" s="106" t="s">
        <v>132</v>
      </c>
      <c r="B32" s="98"/>
      <c r="C32" s="99">
        <f t="shared" ref="C32:D32" si="7">IF(C27&lt;=20,(C27*C31),20*C31)</f>
        <v>0.8</v>
      </c>
      <c r="D32" s="99">
        <f t="shared" si="7"/>
        <v>2</v>
      </c>
      <c r="E32" s="99">
        <f>IF(E27&lt;=20,(E27*E31),20*E31)</f>
        <v>2</v>
      </c>
      <c r="F32" s="100">
        <f t="shared" ref="F32" si="8">IF(F27&lt;=20,(F27*F31),20*F31)</f>
        <v>2</v>
      </c>
    </row>
    <row r="33" spans="1:6" x14ac:dyDescent="0.35">
      <c r="A33" s="97" t="s">
        <v>133</v>
      </c>
      <c r="B33" s="98"/>
      <c r="C33" s="103">
        <v>0.2</v>
      </c>
      <c r="D33" s="103">
        <v>0.2</v>
      </c>
      <c r="E33" s="103">
        <v>0.2</v>
      </c>
      <c r="F33" s="104">
        <v>0.2</v>
      </c>
    </row>
    <row r="34" spans="1:6" ht="15" x14ac:dyDescent="0.35">
      <c r="A34" s="97" t="s">
        <v>134</v>
      </c>
      <c r="B34" s="98"/>
      <c r="C34" s="99">
        <f t="shared" ref="C34:D34" si="9">IF(C27&gt;20,(C27-20)*C33,0)</f>
        <v>0</v>
      </c>
      <c r="D34" s="99">
        <f t="shared" si="9"/>
        <v>0</v>
      </c>
      <c r="E34" s="99">
        <f>IF(E27&gt;20,(E27-20)*E33,0)</f>
        <v>2</v>
      </c>
      <c r="F34" s="100">
        <f>IF(F27&gt;20,(F27-20)*F33,0)</f>
        <v>4</v>
      </c>
    </row>
    <row r="35" spans="1:6" x14ac:dyDescent="0.35">
      <c r="A35" s="97" t="s">
        <v>135</v>
      </c>
      <c r="B35" s="98"/>
      <c r="C35" s="99">
        <f>C32+C34</f>
        <v>0.8</v>
      </c>
      <c r="D35" s="99">
        <f>D32+D34</f>
        <v>2</v>
      </c>
      <c r="E35" s="99">
        <f t="shared" ref="E35:F35" si="10">E32+E34</f>
        <v>4</v>
      </c>
      <c r="F35" s="100">
        <f t="shared" si="10"/>
        <v>6</v>
      </c>
    </row>
    <row r="36" spans="1:6" x14ac:dyDescent="0.35">
      <c r="A36" s="97" t="s">
        <v>136</v>
      </c>
      <c r="B36" s="98"/>
      <c r="C36" s="99">
        <f>C30+C35</f>
        <v>4.0360000000000005</v>
      </c>
      <c r="D36" s="99">
        <f>D30+D35</f>
        <v>10.09</v>
      </c>
      <c r="E36" s="99">
        <f t="shared" ref="E36:F36" si="11">E30+E35</f>
        <v>12.09</v>
      </c>
      <c r="F36" s="100">
        <f t="shared" si="11"/>
        <v>14.09</v>
      </c>
    </row>
    <row r="37" spans="1:6" x14ac:dyDescent="0.35">
      <c r="A37" s="97" t="s">
        <v>137</v>
      </c>
      <c r="B37" s="98"/>
      <c r="C37" s="99">
        <f>C38-C29</f>
        <v>0.5933250927070457</v>
      </c>
      <c r="D37" s="99">
        <f>D38-D29</f>
        <v>1.4833127317676142</v>
      </c>
      <c r="E37" s="99">
        <f t="shared" ref="E37:F37" si="12">E38-E29</f>
        <v>2.9666254635352285</v>
      </c>
      <c r="F37" s="100">
        <f t="shared" si="12"/>
        <v>4.4499381953028418</v>
      </c>
    </row>
    <row r="38" spans="1:6" x14ac:dyDescent="0.35">
      <c r="A38" s="97" t="s">
        <v>138</v>
      </c>
      <c r="B38" s="98"/>
      <c r="C38" s="107">
        <f>C36/(C28)</f>
        <v>2.9933250927070461</v>
      </c>
      <c r="D38" s="107">
        <f>D36/(D28)</f>
        <v>7.4833127317676142</v>
      </c>
      <c r="E38" s="107">
        <f>E36/(E28)</f>
        <v>8.9666254635352285</v>
      </c>
      <c r="F38" s="108">
        <f>F36/(F28)</f>
        <v>10.449938195302842</v>
      </c>
    </row>
    <row r="39" spans="1:6" x14ac:dyDescent="0.35">
      <c r="A39" s="97" t="s">
        <v>139</v>
      </c>
      <c r="B39" s="98"/>
      <c r="C39" s="110">
        <v>616000</v>
      </c>
      <c r="D39" s="110">
        <v>616000</v>
      </c>
      <c r="E39" s="110">
        <v>616000</v>
      </c>
      <c r="F39" s="111">
        <v>616000</v>
      </c>
    </row>
    <row r="40" spans="1:6" x14ac:dyDescent="0.35">
      <c r="A40" s="112" t="s">
        <v>140</v>
      </c>
      <c r="B40" s="86"/>
      <c r="C40" s="113">
        <f>C38*C39</f>
        <v>1843888.2571075403</v>
      </c>
      <c r="D40" s="113">
        <f>D38*D39</f>
        <v>4609720.6427688506</v>
      </c>
      <c r="E40" s="113">
        <f>E38*E39</f>
        <v>5523441.2855377011</v>
      </c>
      <c r="F40" s="114">
        <f>F38*F39</f>
        <v>6437161.9283065507</v>
      </c>
    </row>
    <row r="41" spans="1:6" ht="15" thickBot="1" x14ac:dyDescent="0.4">
      <c r="A41" s="116" t="s">
        <v>141</v>
      </c>
      <c r="B41" s="117"/>
      <c r="C41" s="118">
        <f>C36/C27</f>
        <v>0.50450000000000006</v>
      </c>
      <c r="D41" s="118">
        <f>D36/D27</f>
        <v>0.50449999999999995</v>
      </c>
      <c r="E41" s="118">
        <f>E36/E27</f>
        <v>0.40299999999999997</v>
      </c>
      <c r="F41" s="119">
        <f>F36/F27</f>
        <v>0.35225000000000001</v>
      </c>
    </row>
  </sheetData>
  <mergeCells count="4">
    <mergeCell ref="A4:F4"/>
    <mergeCell ref="C6:F6"/>
    <mergeCell ref="A24:F24"/>
    <mergeCell ref="C26:F2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5:F27"/>
  <sheetViews>
    <sheetView showGridLines="0" workbookViewId="0">
      <selection activeCell="H18" sqref="H18"/>
    </sheetView>
  </sheetViews>
  <sheetFormatPr baseColWidth="10" defaultRowHeight="14.5" x14ac:dyDescent="0.35"/>
  <cols>
    <col min="1" max="1" width="4.81640625" customWidth="1"/>
    <col min="2" max="2" width="25.90625" bestFit="1" customWidth="1"/>
    <col min="6" max="6" width="12.90625" bestFit="1" customWidth="1"/>
  </cols>
  <sheetData>
    <row r="5" spans="1:6" ht="15" thickBot="1" x14ac:dyDescent="0.4"/>
    <row r="6" spans="1:6" x14ac:dyDescent="0.35">
      <c r="A6" s="218" t="s">
        <v>57</v>
      </c>
      <c r="B6" s="217"/>
      <c r="C6" s="988" t="s">
        <v>91</v>
      </c>
      <c r="D6" s="989"/>
      <c r="E6" s="990" t="s">
        <v>109</v>
      </c>
      <c r="F6" s="991"/>
    </row>
    <row r="7" spans="1:6" x14ac:dyDescent="0.35">
      <c r="A7" s="205"/>
      <c r="B7" s="206"/>
      <c r="C7" s="208" t="s">
        <v>202</v>
      </c>
      <c r="D7" s="212" t="s">
        <v>115</v>
      </c>
      <c r="E7" s="213" t="s">
        <v>114</v>
      </c>
      <c r="F7" s="209" t="s">
        <v>115</v>
      </c>
    </row>
    <row r="8" spans="1:6" x14ac:dyDescent="0.35">
      <c r="A8" s="992"/>
      <c r="B8" s="993"/>
      <c r="C8" s="993"/>
      <c r="D8" s="993"/>
      <c r="E8" s="993"/>
      <c r="F8" s="994"/>
    </row>
    <row r="9" spans="1:6" x14ac:dyDescent="0.35">
      <c r="A9" s="85" t="s">
        <v>116</v>
      </c>
      <c r="B9" s="86"/>
      <c r="C9" s="87">
        <f>1/12</f>
        <v>8.3333333333333329E-2</v>
      </c>
      <c r="D9" s="91"/>
      <c r="E9" s="214">
        <f>1/12</f>
        <v>8.3333333333333329E-2</v>
      </c>
      <c r="F9" s="88"/>
    </row>
    <row r="10" spans="1:6" x14ac:dyDescent="0.35">
      <c r="A10" s="85" t="s">
        <v>117</v>
      </c>
      <c r="B10" s="86"/>
      <c r="C10" s="87">
        <f>1/12</f>
        <v>8.3333333333333329E-2</v>
      </c>
      <c r="D10" s="91"/>
      <c r="E10" s="214">
        <f>1/12</f>
        <v>8.3333333333333329E-2</v>
      </c>
      <c r="F10" s="88"/>
    </row>
    <row r="11" spans="1:6" x14ac:dyDescent="0.35">
      <c r="A11" s="85" t="s">
        <v>118</v>
      </c>
      <c r="B11" s="86"/>
      <c r="C11" s="87">
        <f>(1/12)*12%</f>
        <v>9.9999999999999985E-3</v>
      </c>
      <c r="D11" s="91"/>
      <c r="E11" s="214">
        <f>(1/12)*12%</f>
        <v>9.9999999999999985E-3</v>
      </c>
      <c r="F11" s="88"/>
    </row>
    <row r="12" spans="1:6" x14ac:dyDescent="0.35">
      <c r="A12" s="85" t="s">
        <v>119</v>
      </c>
      <c r="B12" s="86"/>
      <c r="C12" s="87">
        <f>(1/24)*0</f>
        <v>0</v>
      </c>
      <c r="D12" s="91"/>
      <c r="E12" s="214">
        <f>(1/24)*0</f>
        <v>0</v>
      </c>
      <c r="F12" s="88"/>
    </row>
    <row r="13" spans="1:6" x14ac:dyDescent="0.35">
      <c r="A13" s="89"/>
      <c r="B13" s="207" t="s">
        <v>120</v>
      </c>
      <c r="C13" s="219"/>
      <c r="D13" s="210">
        <f>SUM(C9:C12)</f>
        <v>0.17666666666666667</v>
      </c>
      <c r="E13" s="215"/>
      <c r="F13" s="92">
        <f>SUM(E9:E12)</f>
        <v>0.17666666666666667</v>
      </c>
    </row>
    <row r="14" spans="1:6" x14ac:dyDescent="0.35">
      <c r="A14" s="985"/>
      <c r="B14" s="986"/>
      <c r="C14" s="986"/>
      <c r="D14" s="986"/>
      <c r="E14" s="986"/>
      <c r="F14" s="987"/>
    </row>
    <row r="15" spans="1:6" x14ac:dyDescent="0.35">
      <c r="A15" s="995" t="s">
        <v>121</v>
      </c>
      <c r="B15" s="996"/>
      <c r="C15" s="87">
        <v>8.5000000000000006E-2</v>
      </c>
      <c r="D15" s="91"/>
      <c r="E15" s="214">
        <v>8.5000000000000006E-2</v>
      </c>
      <c r="F15" s="88"/>
    </row>
    <row r="16" spans="1:6" x14ac:dyDescent="0.35">
      <c r="A16" s="995" t="s">
        <v>122</v>
      </c>
      <c r="B16" s="996"/>
      <c r="C16" s="87">
        <v>0.12</v>
      </c>
      <c r="D16" s="91"/>
      <c r="E16" s="214">
        <v>0.12</v>
      </c>
      <c r="F16" s="88"/>
    </row>
    <row r="17" spans="1:6" x14ac:dyDescent="0.35">
      <c r="A17" s="995" t="s">
        <v>123</v>
      </c>
      <c r="B17" s="996"/>
      <c r="C17" s="87">
        <v>0.01</v>
      </c>
      <c r="D17" s="91"/>
      <c r="E17" s="214">
        <v>0.01</v>
      </c>
      <c r="F17" s="88"/>
    </row>
    <row r="18" spans="1:6" x14ac:dyDescent="0.35">
      <c r="A18" s="89"/>
      <c r="B18" s="207" t="s">
        <v>124</v>
      </c>
      <c r="C18" s="219"/>
      <c r="D18" s="210">
        <f>SUM(C15:C17)</f>
        <v>0.21500000000000002</v>
      </c>
      <c r="E18" s="215"/>
      <c r="F18" s="92">
        <f>SUM(E15:E17)</f>
        <v>0.21500000000000002</v>
      </c>
    </row>
    <row r="19" spans="1:6" x14ac:dyDescent="0.35">
      <c r="A19" s="985"/>
      <c r="B19" s="986"/>
      <c r="C19" s="986"/>
      <c r="D19" s="986"/>
      <c r="E19" s="986"/>
      <c r="F19" s="987"/>
    </row>
    <row r="20" spans="1:6" x14ac:dyDescent="0.35">
      <c r="A20" s="189" t="s">
        <v>199</v>
      </c>
      <c r="B20" s="190"/>
      <c r="C20" s="87">
        <v>0.02</v>
      </c>
      <c r="D20" s="91"/>
      <c r="E20" s="214">
        <v>0</v>
      </c>
      <c r="F20" s="88"/>
    </row>
    <row r="21" spans="1:6" x14ac:dyDescent="0.35">
      <c r="A21" s="189" t="s">
        <v>200</v>
      </c>
      <c r="B21" s="190"/>
      <c r="C21" s="87">
        <v>0.03</v>
      </c>
      <c r="D21" s="91"/>
      <c r="E21" s="214">
        <v>0</v>
      </c>
      <c r="F21" s="88"/>
    </row>
    <row r="22" spans="1:6" x14ac:dyDescent="0.35">
      <c r="A22" s="189" t="s">
        <v>201</v>
      </c>
      <c r="B22" s="190"/>
      <c r="C22" s="87">
        <v>0.04</v>
      </c>
      <c r="D22" s="91"/>
      <c r="E22" s="214">
        <v>0</v>
      </c>
      <c r="F22" s="88"/>
    </row>
    <row r="23" spans="1:6" ht="16.5" x14ac:dyDescent="0.35">
      <c r="A23" s="89"/>
      <c r="B23" s="90" t="s">
        <v>227</v>
      </c>
      <c r="C23" s="219"/>
      <c r="D23" s="210">
        <f>SUM(C20:C22)</f>
        <v>0.09</v>
      </c>
      <c r="E23" s="215"/>
      <c r="F23" s="92">
        <f>SUM(E18:E20)</f>
        <v>0</v>
      </c>
    </row>
    <row r="24" spans="1:6" x14ac:dyDescent="0.35">
      <c r="A24" s="985"/>
      <c r="B24" s="986"/>
      <c r="C24" s="986"/>
      <c r="D24" s="986"/>
      <c r="E24" s="986"/>
      <c r="F24" s="987"/>
    </row>
    <row r="25" spans="1:6" ht="15" thickBot="1" x14ac:dyDescent="0.4">
      <c r="A25" s="93"/>
      <c r="B25" s="94" t="s">
        <v>65</v>
      </c>
      <c r="C25" s="95"/>
      <c r="D25" s="211">
        <f>SUM(D13:D23)</f>
        <v>0.48166666666666669</v>
      </c>
      <c r="E25" s="216"/>
      <c r="F25" s="96">
        <f>SUM(F13:F23)</f>
        <v>0.39166666666666672</v>
      </c>
    </row>
    <row r="26" spans="1:6" ht="15" thickBot="1" x14ac:dyDescent="0.4"/>
    <row r="27" spans="1:6" ht="15" thickBot="1" x14ac:dyDescent="0.4">
      <c r="A27" s="246" t="s">
        <v>228</v>
      </c>
      <c r="B27" s="247" t="s">
        <v>229</v>
      </c>
      <c r="C27" s="248"/>
      <c r="D27" s="248"/>
      <c r="E27" s="248"/>
      <c r="F27" s="249"/>
    </row>
  </sheetData>
  <mergeCells count="9">
    <mergeCell ref="A24:F24"/>
    <mergeCell ref="C6:D6"/>
    <mergeCell ref="E6:F6"/>
    <mergeCell ref="A19:F19"/>
    <mergeCell ref="A14:F14"/>
    <mergeCell ref="A8:F8"/>
    <mergeCell ref="A15:B15"/>
    <mergeCell ref="A16:B16"/>
    <mergeCell ref="A17:B17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L17"/>
  <sheetViews>
    <sheetView showGridLines="0" workbookViewId="0">
      <selection activeCell="H18" sqref="H18"/>
    </sheetView>
  </sheetViews>
  <sheetFormatPr baseColWidth="10" defaultRowHeight="14.5" x14ac:dyDescent="0.35"/>
  <cols>
    <col min="1" max="1" width="4.81640625" customWidth="1"/>
    <col min="2" max="2" width="25.90625" bestFit="1" customWidth="1"/>
  </cols>
  <sheetData>
    <row r="2" spans="1:12" x14ac:dyDescent="0.35">
      <c r="C2" s="105"/>
    </row>
    <row r="3" spans="1:12" ht="15" thickBot="1" x14ac:dyDescent="0.4"/>
    <row r="4" spans="1:12" x14ac:dyDescent="0.35">
      <c r="A4" s="218" t="s">
        <v>57</v>
      </c>
      <c r="B4" s="266"/>
      <c r="C4" s="998">
        <v>2015</v>
      </c>
      <c r="D4" s="989"/>
      <c r="E4" s="988">
        <f>C4+1</f>
        <v>2016</v>
      </c>
      <c r="F4" s="989"/>
      <c r="G4" s="988">
        <f>E4+1</f>
        <v>2017</v>
      </c>
      <c r="H4" s="989"/>
      <c r="I4" s="988">
        <f>G4+1</f>
        <v>2018</v>
      </c>
      <c r="J4" s="989"/>
      <c r="K4" s="988">
        <f>I4+1</f>
        <v>2019</v>
      </c>
      <c r="L4" s="997"/>
    </row>
    <row r="5" spans="1:12" x14ac:dyDescent="0.35">
      <c r="A5" s="205"/>
      <c r="B5" s="206"/>
      <c r="C5" s="213" t="s">
        <v>91</v>
      </c>
      <c r="D5" s="257" t="s">
        <v>109</v>
      </c>
      <c r="E5" s="208" t="s">
        <v>91</v>
      </c>
      <c r="F5" s="257" t="s">
        <v>109</v>
      </c>
      <c r="G5" s="208" t="s">
        <v>91</v>
      </c>
      <c r="H5" s="257" t="s">
        <v>109</v>
      </c>
      <c r="I5" s="208" t="s">
        <v>91</v>
      </c>
      <c r="J5" s="257" t="s">
        <v>109</v>
      </c>
      <c r="K5" s="208" t="s">
        <v>91</v>
      </c>
      <c r="L5" s="209" t="s">
        <v>109</v>
      </c>
    </row>
    <row r="6" spans="1:12" x14ac:dyDescent="0.35">
      <c r="A6" s="251"/>
      <c r="B6" s="252"/>
      <c r="C6" s="268"/>
      <c r="D6" s="258"/>
      <c r="E6" s="252"/>
      <c r="F6" s="258"/>
      <c r="G6" s="252"/>
      <c r="H6" s="258"/>
      <c r="I6" s="252"/>
      <c r="J6" s="258"/>
      <c r="K6" s="252"/>
      <c r="L6" s="253"/>
    </row>
    <row r="7" spans="1:12" x14ac:dyDescent="0.35">
      <c r="A7" s="85" t="s">
        <v>230</v>
      </c>
      <c r="B7" s="91"/>
      <c r="C7" s="214">
        <f>Factor!$D$13</f>
        <v>0.17666666666666667</v>
      </c>
      <c r="D7" s="259">
        <f>Factor!$F$13</f>
        <v>0.17666666666666667</v>
      </c>
      <c r="E7" s="87">
        <f>Factor!$D$13</f>
        <v>0.17666666666666667</v>
      </c>
      <c r="F7" s="259">
        <f>Factor!$F$13</f>
        <v>0.17666666666666667</v>
      </c>
      <c r="G7" s="87">
        <f>Factor!$D$13</f>
        <v>0.17666666666666667</v>
      </c>
      <c r="H7" s="259">
        <f>Factor!$F$13</f>
        <v>0.17666666666666667</v>
      </c>
      <c r="I7" s="87">
        <f>Factor!$D$13</f>
        <v>0.17666666666666667</v>
      </c>
      <c r="J7" s="259">
        <f>Factor!$F$13</f>
        <v>0.17666666666666667</v>
      </c>
      <c r="K7" s="87">
        <f>Factor!$D$13</f>
        <v>0.17666666666666667</v>
      </c>
      <c r="L7" s="101">
        <f>Factor!$F$13</f>
        <v>0.17666666666666667</v>
      </c>
    </row>
    <row r="8" spans="1:12" x14ac:dyDescent="0.35">
      <c r="A8" s="85"/>
      <c r="B8" s="91"/>
      <c r="C8" s="214"/>
      <c r="D8" s="259"/>
      <c r="E8" s="87"/>
      <c r="F8" s="259"/>
      <c r="G8" s="87"/>
      <c r="H8" s="259"/>
      <c r="I8" s="87"/>
      <c r="J8" s="259"/>
      <c r="K8" s="87"/>
      <c r="L8" s="101"/>
    </row>
    <row r="9" spans="1:12" x14ac:dyDescent="0.35">
      <c r="A9" s="85" t="s">
        <v>231</v>
      </c>
      <c r="B9" s="91"/>
      <c r="C9" s="214">
        <f>Factor!$D$18</f>
        <v>0.21500000000000002</v>
      </c>
      <c r="D9" s="259">
        <f>Factor!$F$18</f>
        <v>0.21500000000000002</v>
      </c>
      <c r="E9" s="87">
        <f>Factor!$D$18</f>
        <v>0.21500000000000002</v>
      </c>
      <c r="F9" s="259">
        <f>Factor!$F$18</f>
        <v>0.21500000000000002</v>
      </c>
      <c r="G9" s="87">
        <f>Factor!$D$18</f>
        <v>0.21500000000000002</v>
      </c>
      <c r="H9" s="259">
        <f>Factor!$F$18</f>
        <v>0.21500000000000002</v>
      </c>
      <c r="I9" s="87">
        <f>Factor!$D$18</f>
        <v>0.21500000000000002</v>
      </c>
      <c r="J9" s="259">
        <f>Factor!$F$18</f>
        <v>0.21500000000000002</v>
      </c>
      <c r="K9" s="87">
        <f>Factor!$D$18</f>
        <v>0.21500000000000002</v>
      </c>
      <c r="L9" s="101">
        <f>Factor!$F$18</f>
        <v>0.21500000000000002</v>
      </c>
    </row>
    <row r="10" spans="1:12" x14ac:dyDescent="0.35">
      <c r="A10" s="85"/>
      <c r="B10" s="91"/>
      <c r="C10" s="214"/>
      <c r="D10" s="259"/>
      <c r="E10" s="87"/>
      <c r="F10" s="259"/>
      <c r="G10" s="87"/>
      <c r="H10" s="259"/>
      <c r="I10" s="87"/>
      <c r="J10" s="259"/>
      <c r="K10" s="87"/>
      <c r="L10" s="101"/>
    </row>
    <row r="11" spans="1:12" x14ac:dyDescent="0.35">
      <c r="A11" s="85" t="s">
        <v>232</v>
      </c>
      <c r="B11" s="91"/>
      <c r="C11" s="214">
        <f>Factor!$D$23</f>
        <v>0.09</v>
      </c>
      <c r="D11" s="259">
        <f>Factor!$F$23</f>
        <v>0</v>
      </c>
      <c r="E11" s="87">
        <f>Factor!$D$23</f>
        <v>0.09</v>
      </c>
      <c r="F11" s="259">
        <v>0</v>
      </c>
      <c r="G11" s="87">
        <f>Factor!$D$23</f>
        <v>0.09</v>
      </c>
      <c r="H11" s="259">
        <v>0</v>
      </c>
      <c r="I11" s="87">
        <f>Factor!$D$23</f>
        <v>0.09</v>
      </c>
      <c r="J11" s="259">
        <v>0</v>
      </c>
      <c r="K11" s="87">
        <f>Factor!$D$23</f>
        <v>0.09</v>
      </c>
      <c r="L11" s="101">
        <v>0</v>
      </c>
    </row>
    <row r="12" spans="1:12" ht="16.5" x14ac:dyDescent="0.35">
      <c r="A12" s="254" t="s">
        <v>233</v>
      </c>
      <c r="B12" s="255"/>
      <c r="C12" s="214">
        <v>0</v>
      </c>
      <c r="D12" s="260"/>
      <c r="E12" s="87">
        <v>0</v>
      </c>
      <c r="F12" s="260"/>
      <c r="G12" s="87">
        <v>0.25</v>
      </c>
      <c r="H12" s="260"/>
      <c r="I12" s="87">
        <v>0.5</v>
      </c>
      <c r="J12" s="260"/>
      <c r="K12" s="87">
        <v>0.75</v>
      </c>
      <c r="L12" s="256"/>
    </row>
    <row r="13" spans="1:12" x14ac:dyDescent="0.35">
      <c r="A13" s="261"/>
      <c r="B13" s="262"/>
      <c r="C13" s="269">
        <f>C11*C12</f>
        <v>0</v>
      </c>
      <c r="D13" s="263"/>
      <c r="E13" s="264">
        <f>E11*E12</f>
        <v>0</v>
      </c>
      <c r="F13" s="263"/>
      <c r="G13" s="264">
        <f>G11*G12</f>
        <v>2.2499999999999999E-2</v>
      </c>
      <c r="H13" s="263"/>
      <c r="I13" s="264">
        <f>I11*I12</f>
        <v>4.4999999999999998E-2</v>
      </c>
      <c r="J13" s="263"/>
      <c r="K13" s="264">
        <f>K11*K12</f>
        <v>6.7500000000000004E-2</v>
      </c>
      <c r="L13" s="265"/>
    </row>
    <row r="14" spans="1:12" x14ac:dyDescent="0.35">
      <c r="A14" s="261"/>
      <c r="B14" s="262"/>
      <c r="C14" s="270"/>
      <c r="D14" s="263"/>
      <c r="E14" s="262"/>
      <c r="F14" s="263"/>
      <c r="G14" s="262"/>
      <c r="H14" s="263"/>
      <c r="I14" s="262"/>
      <c r="J14" s="263"/>
      <c r="K14" s="262"/>
      <c r="L14" s="265"/>
    </row>
    <row r="15" spans="1:12" ht="15" thickBot="1" x14ac:dyDescent="0.4">
      <c r="A15" s="93"/>
      <c r="B15" s="267" t="s">
        <v>65</v>
      </c>
      <c r="C15" s="271">
        <f t="shared" ref="C15:L15" si="0">C7+C9+C13</f>
        <v>0.39166666666666672</v>
      </c>
      <c r="D15" s="250">
        <f t="shared" si="0"/>
        <v>0.39166666666666672</v>
      </c>
      <c r="E15" s="250">
        <f t="shared" si="0"/>
        <v>0.39166666666666672</v>
      </c>
      <c r="F15" s="250">
        <f t="shared" si="0"/>
        <v>0.39166666666666672</v>
      </c>
      <c r="G15" s="250">
        <f t="shared" si="0"/>
        <v>0.41416666666666674</v>
      </c>
      <c r="H15" s="250">
        <f t="shared" si="0"/>
        <v>0.39166666666666672</v>
      </c>
      <c r="I15" s="250">
        <f t="shared" si="0"/>
        <v>0.4366666666666667</v>
      </c>
      <c r="J15" s="250">
        <f t="shared" si="0"/>
        <v>0.39166666666666672</v>
      </c>
      <c r="K15" s="250">
        <f t="shared" si="0"/>
        <v>0.45916666666666672</v>
      </c>
      <c r="L15" s="96">
        <f t="shared" si="0"/>
        <v>0.39166666666666672</v>
      </c>
    </row>
    <row r="16" spans="1:12" ht="15" thickBot="1" x14ac:dyDescent="0.4"/>
    <row r="17" spans="1:12" ht="15" thickBot="1" x14ac:dyDescent="0.4">
      <c r="A17" s="246" t="s">
        <v>228</v>
      </c>
      <c r="B17" s="247" t="s">
        <v>229</v>
      </c>
      <c r="C17" s="248"/>
      <c r="D17" s="248"/>
      <c r="E17" s="248"/>
      <c r="F17" s="248"/>
      <c r="G17" s="248"/>
      <c r="H17" s="248"/>
      <c r="I17" s="248"/>
      <c r="J17" s="248"/>
      <c r="K17" s="248"/>
      <c r="L17" s="249"/>
    </row>
  </sheetData>
  <mergeCells count="5">
    <mergeCell ref="E4:F4"/>
    <mergeCell ref="G4:H4"/>
    <mergeCell ref="I4:J4"/>
    <mergeCell ref="K4:L4"/>
    <mergeCell ref="C4:D4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3:I27"/>
  <sheetViews>
    <sheetView showGridLines="0"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20.6328125" style="47" customWidth="1"/>
    <col min="3" max="3" width="10.90625" style="47" customWidth="1"/>
    <col min="4" max="4" width="20.36328125" style="47" bestFit="1" customWidth="1"/>
    <col min="5" max="5" width="8.1796875" style="47" customWidth="1"/>
    <col min="6" max="6" width="8.08984375" style="47" customWidth="1"/>
    <col min="7" max="7" width="7.6328125" style="47" customWidth="1"/>
    <col min="8" max="8" width="8.08984375" style="48" bestFit="1" customWidth="1"/>
    <col min="9" max="250" width="11.453125" style="48"/>
    <col min="251" max="251" width="10" style="48" customWidth="1"/>
    <col min="252" max="252" width="50.54296875" style="48" customWidth="1"/>
    <col min="253" max="506" width="11.453125" style="48"/>
    <col min="507" max="507" width="10" style="48" customWidth="1"/>
    <col min="508" max="508" width="50.54296875" style="48" customWidth="1"/>
    <col min="509" max="762" width="11.453125" style="48"/>
    <col min="763" max="763" width="10" style="48" customWidth="1"/>
    <col min="764" max="764" width="50.54296875" style="48" customWidth="1"/>
    <col min="765" max="1018" width="11.453125" style="48"/>
    <col min="1019" max="1019" width="10" style="48" customWidth="1"/>
    <col min="1020" max="1020" width="50.54296875" style="48" customWidth="1"/>
    <col min="1021" max="1274" width="11.453125" style="48"/>
    <col min="1275" max="1275" width="10" style="48" customWidth="1"/>
    <col min="1276" max="1276" width="50.54296875" style="48" customWidth="1"/>
    <col min="1277" max="1530" width="11.453125" style="48"/>
    <col min="1531" max="1531" width="10" style="48" customWidth="1"/>
    <col min="1532" max="1532" width="50.54296875" style="48" customWidth="1"/>
    <col min="1533" max="1786" width="11.453125" style="48"/>
    <col min="1787" max="1787" width="10" style="48" customWidth="1"/>
    <col min="1788" max="1788" width="50.54296875" style="48" customWidth="1"/>
    <col min="1789" max="2042" width="11.453125" style="48"/>
    <col min="2043" max="2043" width="10" style="48" customWidth="1"/>
    <col min="2044" max="2044" width="50.54296875" style="48" customWidth="1"/>
    <col min="2045" max="2298" width="11.453125" style="48"/>
    <col min="2299" max="2299" width="10" style="48" customWidth="1"/>
    <col min="2300" max="2300" width="50.54296875" style="48" customWidth="1"/>
    <col min="2301" max="2554" width="11.453125" style="48"/>
    <col min="2555" max="2555" width="10" style="48" customWidth="1"/>
    <col min="2556" max="2556" width="50.54296875" style="48" customWidth="1"/>
    <col min="2557" max="2810" width="11.453125" style="48"/>
    <col min="2811" max="2811" width="10" style="48" customWidth="1"/>
    <col min="2812" max="2812" width="50.54296875" style="48" customWidth="1"/>
    <col min="2813" max="3066" width="11.453125" style="48"/>
    <col min="3067" max="3067" width="10" style="48" customWidth="1"/>
    <col min="3068" max="3068" width="50.54296875" style="48" customWidth="1"/>
    <col min="3069" max="3322" width="11.453125" style="48"/>
    <col min="3323" max="3323" width="10" style="48" customWidth="1"/>
    <col min="3324" max="3324" width="50.54296875" style="48" customWidth="1"/>
    <col min="3325" max="3578" width="11.453125" style="48"/>
    <col min="3579" max="3579" width="10" style="48" customWidth="1"/>
    <col min="3580" max="3580" width="50.54296875" style="48" customWidth="1"/>
    <col min="3581" max="3834" width="11.453125" style="48"/>
    <col min="3835" max="3835" width="10" style="48" customWidth="1"/>
    <col min="3836" max="3836" width="50.54296875" style="48" customWidth="1"/>
    <col min="3837" max="4090" width="11.453125" style="48"/>
    <col min="4091" max="4091" width="10" style="48" customWidth="1"/>
    <col min="4092" max="4092" width="50.54296875" style="48" customWidth="1"/>
    <col min="4093" max="4346" width="11.453125" style="48"/>
    <col min="4347" max="4347" width="10" style="48" customWidth="1"/>
    <col min="4348" max="4348" width="50.54296875" style="48" customWidth="1"/>
    <col min="4349" max="4602" width="11.453125" style="48"/>
    <col min="4603" max="4603" width="10" style="48" customWidth="1"/>
    <col min="4604" max="4604" width="50.54296875" style="48" customWidth="1"/>
    <col min="4605" max="4858" width="11.453125" style="48"/>
    <col min="4859" max="4859" width="10" style="48" customWidth="1"/>
    <col min="4860" max="4860" width="50.54296875" style="48" customWidth="1"/>
    <col min="4861" max="5114" width="11.453125" style="48"/>
    <col min="5115" max="5115" width="10" style="48" customWidth="1"/>
    <col min="5116" max="5116" width="50.54296875" style="48" customWidth="1"/>
    <col min="5117" max="5370" width="11.453125" style="48"/>
    <col min="5371" max="5371" width="10" style="48" customWidth="1"/>
    <col min="5372" max="5372" width="50.54296875" style="48" customWidth="1"/>
    <col min="5373" max="5626" width="11.453125" style="48"/>
    <col min="5627" max="5627" width="10" style="48" customWidth="1"/>
    <col min="5628" max="5628" width="50.54296875" style="48" customWidth="1"/>
    <col min="5629" max="5882" width="11.453125" style="48"/>
    <col min="5883" max="5883" width="10" style="48" customWidth="1"/>
    <col min="5884" max="5884" width="50.54296875" style="48" customWidth="1"/>
    <col min="5885" max="6138" width="11.453125" style="48"/>
    <col min="6139" max="6139" width="10" style="48" customWidth="1"/>
    <col min="6140" max="6140" width="50.54296875" style="48" customWidth="1"/>
    <col min="6141" max="6394" width="11.453125" style="48"/>
    <col min="6395" max="6395" width="10" style="48" customWidth="1"/>
    <col min="6396" max="6396" width="50.54296875" style="48" customWidth="1"/>
    <col min="6397" max="6650" width="11.453125" style="48"/>
    <col min="6651" max="6651" width="10" style="48" customWidth="1"/>
    <col min="6652" max="6652" width="50.54296875" style="48" customWidth="1"/>
    <col min="6653" max="6906" width="11.453125" style="48"/>
    <col min="6907" max="6907" width="10" style="48" customWidth="1"/>
    <col min="6908" max="6908" width="50.54296875" style="48" customWidth="1"/>
    <col min="6909" max="7162" width="11.453125" style="48"/>
    <col min="7163" max="7163" width="10" style="48" customWidth="1"/>
    <col min="7164" max="7164" width="50.54296875" style="48" customWidth="1"/>
    <col min="7165" max="7418" width="11.453125" style="48"/>
    <col min="7419" max="7419" width="10" style="48" customWidth="1"/>
    <col min="7420" max="7420" width="50.54296875" style="48" customWidth="1"/>
    <col min="7421" max="7674" width="11.453125" style="48"/>
    <col min="7675" max="7675" width="10" style="48" customWidth="1"/>
    <col min="7676" max="7676" width="50.54296875" style="48" customWidth="1"/>
    <col min="7677" max="7930" width="11.453125" style="48"/>
    <col min="7931" max="7931" width="10" style="48" customWidth="1"/>
    <col min="7932" max="7932" width="50.54296875" style="48" customWidth="1"/>
    <col min="7933" max="8186" width="11.453125" style="48"/>
    <col min="8187" max="8187" width="10" style="48" customWidth="1"/>
    <col min="8188" max="8188" width="50.54296875" style="48" customWidth="1"/>
    <col min="8189" max="8442" width="11.453125" style="48"/>
    <col min="8443" max="8443" width="10" style="48" customWidth="1"/>
    <col min="8444" max="8444" width="50.54296875" style="48" customWidth="1"/>
    <col min="8445" max="8698" width="11.453125" style="48"/>
    <col min="8699" max="8699" width="10" style="48" customWidth="1"/>
    <col min="8700" max="8700" width="50.54296875" style="48" customWidth="1"/>
    <col min="8701" max="8954" width="11.453125" style="48"/>
    <col min="8955" max="8955" width="10" style="48" customWidth="1"/>
    <col min="8956" max="8956" width="50.54296875" style="48" customWidth="1"/>
    <col min="8957" max="9210" width="11.453125" style="48"/>
    <col min="9211" max="9211" width="10" style="48" customWidth="1"/>
    <col min="9212" max="9212" width="50.54296875" style="48" customWidth="1"/>
    <col min="9213" max="9466" width="11.453125" style="48"/>
    <col min="9467" max="9467" width="10" style="48" customWidth="1"/>
    <col min="9468" max="9468" width="50.54296875" style="48" customWidth="1"/>
    <col min="9469" max="9722" width="11.453125" style="48"/>
    <col min="9723" max="9723" width="10" style="48" customWidth="1"/>
    <col min="9724" max="9724" width="50.54296875" style="48" customWidth="1"/>
    <col min="9725" max="9978" width="11.453125" style="48"/>
    <col min="9979" max="9979" width="10" style="48" customWidth="1"/>
    <col min="9980" max="9980" width="50.54296875" style="48" customWidth="1"/>
    <col min="9981" max="10234" width="11.453125" style="48"/>
    <col min="10235" max="10235" width="10" style="48" customWidth="1"/>
    <col min="10236" max="10236" width="50.54296875" style="48" customWidth="1"/>
    <col min="10237" max="10490" width="11.453125" style="48"/>
    <col min="10491" max="10491" width="10" style="48" customWidth="1"/>
    <col min="10492" max="10492" width="50.54296875" style="48" customWidth="1"/>
    <col min="10493" max="10746" width="11.453125" style="48"/>
    <col min="10747" max="10747" width="10" style="48" customWidth="1"/>
    <col min="10748" max="10748" width="50.54296875" style="48" customWidth="1"/>
    <col min="10749" max="11002" width="11.453125" style="48"/>
    <col min="11003" max="11003" width="10" style="48" customWidth="1"/>
    <col min="11004" max="11004" width="50.54296875" style="48" customWidth="1"/>
    <col min="11005" max="11258" width="11.453125" style="48"/>
    <col min="11259" max="11259" width="10" style="48" customWidth="1"/>
    <col min="11260" max="11260" width="50.54296875" style="48" customWidth="1"/>
    <col min="11261" max="11514" width="11.453125" style="48"/>
    <col min="11515" max="11515" width="10" style="48" customWidth="1"/>
    <col min="11516" max="11516" width="50.54296875" style="48" customWidth="1"/>
    <col min="11517" max="11770" width="11.453125" style="48"/>
    <col min="11771" max="11771" width="10" style="48" customWidth="1"/>
    <col min="11772" max="11772" width="50.54296875" style="48" customWidth="1"/>
    <col min="11773" max="12026" width="11.453125" style="48"/>
    <col min="12027" max="12027" width="10" style="48" customWidth="1"/>
    <col min="12028" max="12028" width="50.54296875" style="48" customWidth="1"/>
    <col min="12029" max="12282" width="11.453125" style="48"/>
    <col min="12283" max="12283" width="10" style="48" customWidth="1"/>
    <col min="12284" max="12284" width="50.54296875" style="48" customWidth="1"/>
    <col min="12285" max="12538" width="11.453125" style="48"/>
    <col min="12539" max="12539" width="10" style="48" customWidth="1"/>
    <col min="12540" max="12540" width="50.54296875" style="48" customWidth="1"/>
    <col min="12541" max="12794" width="11.453125" style="48"/>
    <col min="12795" max="12795" width="10" style="48" customWidth="1"/>
    <col min="12796" max="12796" width="50.54296875" style="48" customWidth="1"/>
    <col min="12797" max="13050" width="11.453125" style="48"/>
    <col min="13051" max="13051" width="10" style="48" customWidth="1"/>
    <col min="13052" max="13052" width="50.54296875" style="48" customWidth="1"/>
    <col min="13053" max="13306" width="11.453125" style="48"/>
    <col min="13307" max="13307" width="10" style="48" customWidth="1"/>
    <col min="13308" max="13308" width="50.54296875" style="48" customWidth="1"/>
    <col min="13309" max="13562" width="11.453125" style="48"/>
    <col min="13563" max="13563" width="10" style="48" customWidth="1"/>
    <col min="13564" max="13564" width="50.54296875" style="48" customWidth="1"/>
    <col min="13565" max="13818" width="11.453125" style="48"/>
    <col min="13819" max="13819" width="10" style="48" customWidth="1"/>
    <col min="13820" max="13820" width="50.54296875" style="48" customWidth="1"/>
    <col min="13821" max="14074" width="11.453125" style="48"/>
    <col min="14075" max="14075" width="10" style="48" customWidth="1"/>
    <col min="14076" max="14076" width="50.54296875" style="48" customWidth="1"/>
    <col min="14077" max="14330" width="11.453125" style="48"/>
    <col min="14331" max="14331" width="10" style="48" customWidth="1"/>
    <col min="14332" max="14332" width="50.54296875" style="48" customWidth="1"/>
    <col min="14333" max="14586" width="11.453125" style="48"/>
    <col min="14587" max="14587" width="10" style="48" customWidth="1"/>
    <col min="14588" max="14588" width="50.54296875" style="48" customWidth="1"/>
    <col min="14589" max="14842" width="11.453125" style="48"/>
    <col min="14843" max="14843" width="10" style="48" customWidth="1"/>
    <col min="14844" max="14844" width="50.54296875" style="48" customWidth="1"/>
    <col min="14845" max="15098" width="11.453125" style="48"/>
    <col min="15099" max="15099" width="10" style="48" customWidth="1"/>
    <col min="15100" max="15100" width="50.54296875" style="48" customWidth="1"/>
    <col min="15101" max="15354" width="11.453125" style="48"/>
    <col min="15355" max="15355" width="10" style="48" customWidth="1"/>
    <col min="15356" max="15356" width="50.54296875" style="48" customWidth="1"/>
    <col min="15357" max="15610" width="11.453125" style="48"/>
    <col min="15611" max="15611" width="10" style="48" customWidth="1"/>
    <col min="15612" max="15612" width="50.54296875" style="48" customWidth="1"/>
    <col min="15613" max="15866" width="11.453125" style="48"/>
    <col min="15867" max="15867" width="10" style="48" customWidth="1"/>
    <col min="15868" max="15868" width="50.54296875" style="48" customWidth="1"/>
    <col min="15869" max="16122" width="11.453125" style="48"/>
    <col min="16123" max="16123" width="10" style="48" customWidth="1"/>
    <col min="16124" max="16124" width="50.54296875" style="48" customWidth="1"/>
    <col min="16125" max="16384" width="11.453125" style="48"/>
  </cols>
  <sheetData>
    <row r="3" spans="1:9" s="50" customFormat="1" ht="13.5" thickBot="1" x14ac:dyDescent="0.35">
      <c r="B3" s="1001"/>
      <c r="C3" s="1001"/>
      <c r="D3" s="1001"/>
    </row>
    <row r="4" spans="1:9" s="50" customFormat="1" ht="18.5" thickBot="1" x14ac:dyDescent="0.45">
      <c r="B4" s="979" t="str">
        <f>"Horas de Trabajo Mensuales por Consultor Año "&amp;I4</f>
        <v>Horas de Trabajo Mensuales por Consultor Año 2015</v>
      </c>
      <c r="C4" s="980"/>
      <c r="D4" s="980"/>
      <c r="E4" s="980"/>
      <c r="F4" s="980"/>
      <c r="G4" s="980"/>
      <c r="H4" s="981"/>
      <c r="I4" s="50">
        <v>2015</v>
      </c>
    </row>
    <row r="5" spans="1:9" s="50" customFormat="1" ht="13.25" customHeight="1" thickBot="1" x14ac:dyDescent="0.35"/>
    <row r="6" spans="1:9" s="45" customFormat="1" ht="12" customHeight="1" x14ac:dyDescent="0.3">
      <c r="B6" s="1002" t="s">
        <v>89</v>
      </c>
      <c r="C6" s="999" t="s">
        <v>94</v>
      </c>
      <c r="D6" s="1002" t="s">
        <v>110</v>
      </c>
      <c r="E6" s="999" t="s">
        <v>112</v>
      </c>
      <c r="F6" s="999"/>
      <c r="G6" s="999"/>
      <c r="H6" s="999"/>
    </row>
    <row r="7" spans="1:9" s="45" customFormat="1" ht="3" customHeight="1" x14ac:dyDescent="0.3">
      <c r="B7" s="1003"/>
      <c r="C7" s="1000"/>
      <c r="D7" s="1003"/>
      <c r="E7" s="1000"/>
      <c r="F7" s="1000"/>
      <c r="G7" s="1000"/>
      <c r="H7" s="1000"/>
    </row>
    <row r="8" spans="1:9" s="45" customFormat="1" ht="13" x14ac:dyDescent="0.3">
      <c r="B8" s="717"/>
      <c r="C8" s="1000"/>
      <c r="D8" s="717"/>
      <c r="E8" s="718" t="s">
        <v>106</v>
      </c>
      <c r="F8" s="718" t="s">
        <v>107</v>
      </c>
      <c r="G8" s="718" t="s">
        <v>108</v>
      </c>
      <c r="H8" s="718" t="s">
        <v>147</v>
      </c>
    </row>
    <row r="9" spans="1:9" s="46" customFormat="1" x14ac:dyDescent="0.35">
      <c r="A9" s="46">
        <v>1</v>
      </c>
      <c r="B9" s="51" t="s">
        <v>93</v>
      </c>
      <c r="C9" s="51">
        <v>10</v>
      </c>
      <c r="D9" s="51" t="s">
        <v>91</v>
      </c>
      <c r="E9" s="51">
        <v>0</v>
      </c>
      <c r="F9" s="51">
        <v>20</v>
      </c>
      <c r="G9" s="51">
        <f>ROUND(IF($G$26*(F9/($F$9+$F$10+$F$13+$F$17))&gt;F9,F9,$G$26*(F9/($F$9+$F$10+$F$13+$F$17))),0)</f>
        <v>20</v>
      </c>
      <c r="H9" s="726">
        <f>IF(D9="Laboral",100%,G9/F9)</f>
        <v>1</v>
      </c>
    </row>
    <row r="10" spans="1:9" s="46" customFormat="1" x14ac:dyDescent="0.35">
      <c r="A10" s="46">
        <v>2</v>
      </c>
      <c r="B10" s="51" t="s">
        <v>90</v>
      </c>
      <c r="C10" s="51">
        <v>2</v>
      </c>
      <c r="D10" s="51" t="s">
        <v>91</v>
      </c>
      <c r="E10" s="51">
        <v>20</v>
      </c>
      <c r="F10" s="51">
        <v>40</v>
      </c>
      <c r="G10" s="51">
        <f t="shared" ref="G10" si="0">ROUND(IF($G$26*(F10/($F$9+$F$10+$F$13+$F$17))&gt;F10,F10,$G$26*(F10/($F$9+$F$10+$F$13+$F$17))),0)</f>
        <v>40</v>
      </c>
      <c r="H10" s="726">
        <f t="shared" ref="H10:H17" si="1">IF(D10="Laboral",100%,G10/F10)</f>
        <v>1</v>
      </c>
    </row>
    <row r="11" spans="1:9" s="46" customFormat="1" x14ac:dyDescent="0.35">
      <c r="A11" s="46">
        <v>3</v>
      </c>
      <c r="B11" s="51" t="s">
        <v>90</v>
      </c>
      <c r="C11" s="51">
        <v>2</v>
      </c>
      <c r="D11" s="51" t="s">
        <v>145</v>
      </c>
      <c r="E11" s="51">
        <v>10</v>
      </c>
      <c r="F11" s="51">
        <v>40</v>
      </c>
      <c r="G11" s="719">
        <f>ROUND(IF(($G$26-($G$9+$G$10+$G$13+$G$17))*(F11/($F$11+$F$12+$F$14+$F$15+$F$16))&gt;F11,F11,($G$26-($G$9+$G$10+$G$13+$G$17))*(F11/($F$11+$F$12+$F$14+$F$15+$F$16))),0)</f>
        <v>20</v>
      </c>
      <c r="H11" s="726">
        <f t="shared" si="1"/>
        <v>0.5</v>
      </c>
    </row>
    <row r="12" spans="1:9" s="46" customFormat="1" x14ac:dyDescent="0.35">
      <c r="A12" s="46">
        <v>4</v>
      </c>
      <c r="B12" s="51" t="s">
        <v>90</v>
      </c>
      <c r="C12" s="51">
        <v>3</v>
      </c>
      <c r="D12" s="51" t="s">
        <v>145</v>
      </c>
      <c r="E12" s="51">
        <v>10</v>
      </c>
      <c r="F12" s="51">
        <v>40</v>
      </c>
      <c r="G12" s="719">
        <f t="shared" ref="G12" si="2">ROUND(IF(($G$26-($G$9+$G$10+$G$13+$G$17))*(F12/($F$11+$F$12+$F$14+$F$15+$F$16))&gt;F12,F12,($G$26-($G$9+$G$10+$G$13+$G$17))*(F12/($F$11+$F$12+$F$14+$F$15+$F$16))),0)</f>
        <v>20</v>
      </c>
      <c r="H12" s="726">
        <f t="shared" si="1"/>
        <v>0.5</v>
      </c>
    </row>
    <row r="13" spans="1:9" s="46" customFormat="1" x14ac:dyDescent="0.35">
      <c r="A13" s="46">
        <v>5</v>
      </c>
      <c r="B13" s="51" t="s">
        <v>90</v>
      </c>
      <c r="C13" s="51">
        <v>5</v>
      </c>
      <c r="D13" s="51" t="s">
        <v>91</v>
      </c>
      <c r="E13" s="51">
        <v>20</v>
      </c>
      <c r="F13" s="51">
        <v>40</v>
      </c>
      <c r="G13" s="51">
        <f>ROUND(IF($G$26*(F13/($F$9+$F$10+$F$13+$F$17))&gt;F13,F13,$G$26*(F13/($F$9+$F$10+$F$13+$F$17))),0)</f>
        <v>40</v>
      </c>
      <c r="H13" s="726">
        <f t="shared" si="1"/>
        <v>1</v>
      </c>
    </row>
    <row r="14" spans="1:9" s="46" customFormat="1" x14ac:dyDescent="0.35">
      <c r="A14" s="46">
        <v>6</v>
      </c>
      <c r="B14" s="51" t="s">
        <v>90</v>
      </c>
      <c r="C14" s="51">
        <v>2</v>
      </c>
      <c r="D14" s="51" t="s">
        <v>145</v>
      </c>
      <c r="E14" s="51">
        <v>10</v>
      </c>
      <c r="F14" s="51">
        <v>40</v>
      </c>
      <c r="G14" s="719">
        <f t="shared" ref="G14:G16" si="3">ROUND(IF(($G$26-($G$9+$G$10+$G$13+$G$17))*(F14/($F$11+$F$12+$F$14+$F$15+$F$16))&gt;F14,F14,($G$26-($G$9+$G$10+$G$13+$G$17))*(F14/($F$11+$F$12+$F$14+$F$15+$F$16))),0)</f>
        <v>20</v>
      </c>
      <c r="H14" s="726">
        <f t="shared" si="1"/>
        <v>0.5</v>
      </c>
    </row>
    <row r="15" spans="1:9" s="46" customFormat="1" x14ac:dyDescent="0.35">
      <c r="A15" s="46">
        <v>7</v>
      </c>
      <c r="B15" s="51" t="s">
        <v>90</v>
      </c>
      <c r="C15" s="51">
        <v>2</v>
      </c>
      <c r="D15" s="51" t="s">
        <v>145</v>
      </c>
      <c r="E15" s="51">
        <v>10</v>
      </c>
      <c r="F15" s="51">
        <v>40</v>
      </c>
      <c r="G15" s="719">
        <f t="shared" si="3"/>
        <v>20</v>
      </c>
      <c r="H15" s="726">
        <f t="shared" si="1"/>
        <v>0.5</v>
      </c>
    </row>
    <row r="16" spans="1:9" s="46" customFormat="1" x14ac:dyDescent="0.35">
      <c r="A16" s="46">
        <v>8</v>
      </c>
      <c r="B16" s="51" t="s">
        <v>90</v>
      </c>
      <c r="C16" s="51">
        <v>7</v>
      </c>
      <c r="D16" s="51" t="s">
        <v>145</v>
      </c>
      <c r="E16" s="51">
        <v>10</v>
      </c>
      <c r="F16" s="51">
        <v>40</v>
      </c>
      <c r="G16" s="719">
        <f t="shared" si="3"/>
        <v>20</v>
      </c>
      <c r="H16" s="726">
        <f t="shared" si="1"/>
        <v>0.5</v>
      </c>
    </row>
    <row r="17" spans="1:8" s="46" customFormat="1" x14ac:dyDescent="0.35">
      <c r="A17" s="46">
        <v>9</v>
      </c>
      <c r="B17" s="51" t="s">
        <v>90</v>
      </c>
      <c r="C17" s="51">
        <v>2</v>
      </c>
      <c r="D17" s="51" t="s">
        <v>91</v>
      </c>
      <c r="E17" s="51">
        <v>20</v>
      </c>
      <c r="F17" s="51">
        <v>40</v>
      </c>
      <c r="G17" s="51">
        <f>ROUND(IF($G$26*(F17/($F$9+$F$10+$F$13+$F$17))&gt;F17,F17,$G$26*(F17/($F$9+$F$10+$F$13+$F$17))),0)</f>
        <v>40</v>
      </c>
      <c r="H17" s="726">
        <f t="shared" si="1"/>
        <v>1</v>
      </c>
    </row>
    <row r="18" spans="1:8" s="46" customFormat="1" x14ac:dyDescent="0.35">
      <c r="B18" s="51"/>
      <c r="C18" s="51"/>
      <c r="D18" s="51"/>
      <c r="E18" s="51"/>
      <c r="F18" s="51"/>
      <c r="G18" s="51"/>
      <c r="H18" s="727"/>
    </row>
    <row r="19" spans="1:8" s="46" customFormat="1" ht="13" x14ac:dyDescent="0.35">
      <c r="B19" s="721" t="s">
        <v>103</v>
      </c>
      <c r="C19" s="720"/>
      <c r="D19" s="720"/>
      <c r="E19" s="720"/>
      <c r="F19" s="720"/>
      <c r="G19" s="721">
        <f>SUM(G9:G17)</f>
        <v>240</v>
      </c>
      <c r="H19" s="727"/>
    </row>
    <row r="20" spans="1:8" s="46" customFormat="1" x14ac:dyDescent="0.35">
      <c r="B20" s="51"/>
      <c r="C20" s="51"/>
      <c r="D20" s="51"/>
      <c r="E20" s="51"/>
      <c r="F20" s="51"/>
      <c r="G20" s="51"/>
      <c r="H20" s="727"/>
    </row>
    <row r="21" spans="1:8" s="46" customFormat="1" x14ac:dyDescent="0.35">
      <c r="A21" s="46">
        <v>10</v>
      </c>
      <c r="B21" s="51" t="s">
        <v>146</v>
      </c>
      <c r="C21" s="722" t="s">
        <v>45</v>
      </c>
      <c r="D21" s="51" t="s">
        <v>91</v>
      </c>
      <c r="E21" s="51">
        <v>20</v>
      </c>
      <c r="F21" s="51">
        <v>40</v>
      </c>
      <c r="G21" s="51">
        <f>F21</f>
        <v>40</v>
      </c>
      <c r="H21" s="726">
        <f t="shared" ref="H21:H22" si="4">IF(D21="Laboral",100%,G21/F21)</f>
        <v>1</v>
      </c>
    </row>
    <row r="22" spans="1:8" s="46" customFormat="1" x14ac:dyDescent="0.35">
      <c r="A22" s="46">
        <v>11</v>
      </c>
      <c r="B22" s="51" t="s">
        <v>92</v>
      </c>
      <c r="C22" s="722" t="s">
        <v>45</v>
      </c>
      <c r="D22" s="51" t="s">
        <v>91</v>
      </c>
      <c r="E22" s="51">
        <v>20</v>
      </c>
      <c r="F22" s="51">
        <v>40</v>
      </c>
      <c r="G22" s="51">
        <f>F22</f>
        <v>40</v>
      </c>
      <c r="H22" s="726">
        <f t="shared" si="4"/>
        <v>1</v>
      </c>
    </row>
    <row r="23" spans="1:8" x14ac:dyDescent="0.25">
      <c r="B23" s="723"/>
      <c r="C23" s="723"/>
      <c r="D23" s="723"/>
      <c r="E23" s="723"/>
      <c r="F23" s="723"/>
      <c r="G23" s="723"/>
      <c r="H23" s="728"/>
    </row>
    <row r="24" spans="1:8" ht="13.5" thickBot="1" x14ac:dyDescent="0.35">
      <c r="B24" s="724" t="s">
        <v>65</v>
      </c>
      <c r="C24" s="724"/>
      <c r="D24" s="724"/>
      <c r="E24" s="724"/>
      <c r="F24" s="724"/>
      <c r="G24" s="725">
        <f>SUM(G19:G22)</f>
        <v>320</v>
      </c>
      <c r="H24" s="729"/>
    </row>
    <row r="25" spans="1:8" x14ac:dyDescent="0.25">
      <c r="G25" s="51"/>
    </row>
    <row r="26" spans="1:8" x14ac:dyDescent="0.25">
      <c r="B26" s="47" t="s">
        <v>104</v>
      </c>
      <c r="G26" s="51">
        <f>HLOOKUP($I$4,'HP Proyect'!$B$4:$F$6,2,0)</f>
        <v>239</v>
      </c>
    </row>
    <row r="27" spans="1:8" x14ac:dyDescent="0.25">
      <c r="B27" s="47" t="s">
        <v>105</v>
      </c>
      <c r="G27" s="51">
        <f>G19-G26</f>
        <v>1</v>
      </c>
    </row>
  </sheetData>
  <mergeCells count="6">
    <mergeCell ref="C6:C8"/>
    <mergeCell ref="E6:H7"/>
    <mergeCell ref="B4:H4"/>
    <mergeCell ref="B3:D3"/>
    <mergeCell ref="B6:B7"/>
    <mergeCell ref="D6:D7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3:Q28"/>
  <sheetViews>
    <sheetView showGridLines="0"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6.54296875" style="47" bestFit="1" customWidth="1"/>
    <col min="4" max="4" width="8.81640625" style="47" bestFit="1" customWidth="1"/>
    <col min="5" max="5" width="5.36328125" style="48" bestFit="1" customWidth="1"/>
    <col min="6" max="6" width="6.08984375" style="48" bestFit="1" customWidth="1"/>
    <col min="7" max="7" width="8.81640625" style="48" bestFit="1" customWidth="1"/>
    <col min="8" max="8" width="5.36328125" style="48" bestFit="1" customWidth="1"/>
    <col min="9" max="9" width="10.81640625" style="48" bestFit="1" customWidth="1"/>
    <col min="10" max="10" width="6.6328125" style="48" bestFit="1" customWidth="1"/>
    <col min="11" max="13" width="6.6328125" style="48" customWidth="1"/>
    <col min="14" max="14" width="7.08984375" style="48" customWidth="1"/>
    <col min="15" max="15" width="11.1796875" style="48" customWidth="1"/>
    <col min="16" max="263" width="11.453125" style="48"/>
    <col min="264" max="264" width="10" style="48" customWidth="1"/>
    <col min="265" max="265" width="50.54296875" style="48" customWidth="1"/>
    <col min="266" max="519" width="11.453125" style="48"/>
    <col min="520" max="520" width="10" style="48" customWidth="1"/>
    <col min="521" max="521" width="50.54296875" style="48" customWidth="1"/>
    <col min="522" max="775" width="11.453125" style="48"/>
    <col min="776" max="776" width="10" style="48" customWidth="1"/>
    <col min="777" max="777" width="50.54296875" style="48" customWidth="1"/>
    <col min="778" max="1031" width="11.453125" style="48"/>
    <col min="1032" max="1032" width="10" style="48" customWidth="1"/>
    <col min="1033" max="1033" width="50.54296875" style="48" customWidth="1"/>
    <col min="1034" max="1287" width="11.453125" style="48"/>
    <col min="1288" max="1288" width="10" style="48" customWidth="1"/>
    <col min="1289" max="1289" width="50.54296875" style="48" customWidth="1"/>
    <col min="1290" max="1543" width="11.453125" style="48"/>
    <col min="1544" max="1544" width="10" style="48" customWidth="1"/>
    <col min="1545" max="1545" width="50.54296875" style="48" customWidth="1"/>
    <col min="1546" max="1799" width="11.453125" style="48"/>
    <col min="1800" max="1800" width="10" style="48" customWidth="1"/>
    <col min="1801" max="1801" width="50.54296875" style="48" customWidth="1"/>
    <col min="1802" max="2055" width="11.453125" style="48"/>
    <col min="2056" max="2056" width="10" style="48" customWidth="1"/>
    <col min="2057" max="2057" width="50.54296875" style="48" customWidth="1"/>
    <col min="2058" max="2311" width="11.453125" style="48"/>
    <col min="2312" max="2312" width="10" style="48" customWidth="1"/>
    <col min="2313" max="2313" width="50.54296875" style="48" customWidth="1"/>
    <col min="2314" max="2567" width="11.453125" style="48"/>
    <col min="2568" max="2568" width="10" style="48" customWidth="1"/>
    <col min="2569" max="2569" width="50.54296875" style="48" customWidth="1"/>
    <col min="2570" max="2823" width="11.453125" style="48"/>
    <col min="2824" max="2824" width="10" style="48" customWidth="1"/>
    <col min="2825" max="2825" width="50.54296875" style="48" customWidth="1"/>
    <col min="2826" max="3079" width="11.453125" style="48"/>
    <col min="3080" max="3080" width="10" style="48" customWidth="1"/>
    <col min="3081" max="3081" width="50.54296875" style="48" customWidth="1"/>
    <col min="3082" max="3335" width="11.453125" style="48"/>
    <col min="3336" max="3336" width="10" style="48" customWidth="1"/>
    <col min="3337" max="3337" width="50.54296875" style="48" customWidth="1"/>
    <col min="3338" max="3591" width="11.453125" style="48"/>
    <col min="3592" max="3592" width="10" style="48" customWidth="1"/>
    <col min="3593" max="3593" width="50.54296875" style="48" customWidth="1"/>
    <col min="3594" max="3847" width="11.453125" style="48"/>
    <col min="3848" max="3848" width="10" style="48" customWidth="1"/>
    <col min="3849" max="3849" width="50.54296875" style="48" customWidth="1"/>
    <col min="3850" max="4103" width="11.453125" style="48"/>
    <col min="4104" max="4104" width="10" style="48" customWidth="1"/>
    <col min="4105" max="4105" width="50.54296875" style="48" customWidth="1"/>
    <col min="4106" max="4359" width="11.453125" style="48"/>
    <col min="4360" max="4360" width="10" style="48" customWidth="1"/>
    <col min="4361" max="4361" width="50.54296875" style="48" customWidth="1"/>
    <col min="4362" max="4615" width="11.453125" style="48"/>
    <col min="4616" max="4616" width="10" style="48" customWidth="1"/>
    <col min="4617" max="4617" width="50.54296875" style="48" customWidth="1"/>
    <col min="4618" max="4871" width="11.453125" style="48"/>
    <col min="4872" max="4872" width="10" style="48" customWidth="1"/>
    <col min="4873" max="4873" width="50.54296875" style="48" customWidth="1"/>
    <col min="4874" max="5127" width="11.453125" style="48"/>
    <col min="5128" max="5128" width="10" style="48" customWidth="1"/>
    <col min="5129" max="5129" width="50.54296875" style="48" customWidth="1"/>
    <col min="5130" max="5383" width="11.453125" style="48"/>
    <col min="5384" max="5384" width="10" style="48" customWidth="1"/>
    <col min="5385" max="5385" width="50.54296875" style="48" customWidth="1"/>
    <col min="5386" max="5639" width="11.453125" style="48"/>
    <col min="5640" max="5640" width="10" style="48" customWidth="1"/>
    <col min="5641" max="5641" width="50.54296875" style="48" customWidth="1"/>
    <col min="5642" max="5895" width="11.453125" style="48"/>
    <col min="5896" max="5896" width="10" style="48" customWidth="1"/>
    <col min="5897" max="5897" width="50.54296875" style="48" customWidth="1"/>
    <col min="5898" max="6151" width="11.453125" style="48"/>
    <col min="6152" max="6152" width="10" style="48" customWidth="1"/>
    <col min="6153" max="6153" width="50.54296875" style="48" customWidth="1"/>
    <col min="6154" max="6407" width="11.453125" style="48"/>
    <col min="6408" max="6408" width="10" style="48" customWidth="1"/>
    <col min="6409" max="6409" width="50.54296875" style="48" customWidth="1"/>
    <col min="6410" max="6663" width="11.453125" style="48"/>
    <col min="6664" max="6664" width="10" style="48" customWidth="1"/>
    <col min="6665" max="6665" width="50.54296875" style="48" customWidth="1"/>
    <col min="6666" max="6919" width="11.453125" style="48"/>
    <col min="6920" max="6920" width="10" style="48" customWidth="1"/>
    <col min="6921" max="6921" width="50.54296875" style="48" customWidth="1"/>
    <col min="6922" max="7175" width="11.453125" style="48"/>
    <col min="7176" max="7176" width="10" style="48" customWidth="1"/>
    <col min="7177" max="7177" width="50.54296875" style="48" customWidth="1"/>
    <col min="7178" max="7431" width="11.453125" style="48"/>
    <col min="7432" max="7432" width="10" style="48" customWidth="1"/>
    <col min="7433" max="7433" width="50.54296875" style="48" customWidth="1"/>
    <col min="7434" max="7687" width="11.453125" style="48"/>
    <col min="7688" max="7688" width="10" style="48" customWidth="1"/>
    <col min="7689" max="7689" width="50.54296875" style="48" customWidth="1"/>
    <col min="7690" max="7943" width="11.453125" style="48"/>
    <col min="7944" max="7944" width="10" style="48" customWidth="1"/>
    <col min="7945" max="7945" width="50.54296875" style="48" customWidth="1"/>
    <col min="7946" max="8199" width="11.453125" style="48"/>
    <col min="8200" max="8200" width="10" style="48" customWidth="1"/>
    <col min="8201" max="8201" width="50.54296875" style="48" customWidth="1"/>
    <col min="8202" max="8455" width="11.453125" style="48"/>
    <col min="8456" max="8456" width="10" style="48" customWidth="1"/>
    <col min="8457" max="8457" width="50.54296875" style="48" customWidth="1"/>
    <col min="8458" max="8711" width="11.453125" style="48"/>
    <col min="8712" max="8712" width="10" style="48" customWidth="1"/>
    <col min="8713" max="8713" width="50.54296875" style="48" customWidth="1"/>
    <col min="8714" max="8967" width="11.453125" style="48"/>
    <col min="8968" max="8968" width="10" style="48" customWidth="1"/>
    <col min="8969" max="8969" width="50.54296875" style="48" customWidth="1"/>
    <col min="8970" max="9223" width="11.453125" style="48"/>
    <col min="9224" max="9224" width="10" style="48" customWidth="1"/>
    <col min="9225" max="9225" width="50.54296875" style="48" customWidth="1"/>
    <col min="9226" max="9479" width="11.453125" style="48"/>
    <col min="9480" max="9480" width="10" style="48" customWidth="1"/>
    <col min="9481" max="9481" width="50.54296875" style="48" customWidth="1"/>
    <col min="9482" max="9735" width="11.453125" style="48"/>
    <col min="9736" max="9736" width="10" style="48" customWidth="1"/>
    <col min="9737" max="9737" width="50.54296875" style="48" customWidth="1"/>
    <col min="9738" max="9991" width="11.453125" style="48"/>
    <col min="9992" max="9992" width="10" style="48" customWidth="1"/>
    <col min="9993" max="9993" width="50.54296875" style="48" customWidth="1"/>
    <col min="9994" max="10247" width="11.453125" style="48"/>
    <col min="10248" max="10248" width="10" style="48" customWidth="1"/>
    <col min="10249" max="10249" width="50.54296875" style="48" customWidth="1"/>
    <col min="10250" max="10503" width="11.453125" style="48"/>
    <col min="10504" max="10504" width="10" style="48" customWidth="1"/>
    <col min="10505" max="10505" width="50.54296875" style="48" customWidth="1"/>
    <col min="10506" max="10759" width="11.453125" style="48"/>
    <col min="10760" max="10760" width="10" style="48" customWidth="1"/>
    <col min="10761" max="10761" width="50.54296875" style="48" customWidth="1"/>
    <col min="10762" max="11015" width="11.453125" style="48"/>
    <col min="11016" max="11016" width="10" style="48" customWidth="1"/>
    <col min="11017" max="11017" width="50.54296875" style="48" customWidth="1"/>
    <col min="11018" max="11271" width="11.453125" style="48"/>
    <col min="11272" max="11272" width="10" style="48" customWidth="1"/>
    <col min="11273" max="11273" width="50.54296875" style="48" customWidth="1"/>
    <col min="11274" max="11527" width="11.453125" style="48"/>
    <col min="11528" max="11528" width="10" style="48" customWidth="1"/>
    <col min="11529" max="11529" width="50.54296875" style="48" customWidth="1"/>
    <col min="11530" max="11783" width="11.453125" style="48"/>
    <col min="11784" max="11784" width="10" style="48" customWidth="1"/>
    <col min="11785" max="11785" width="50.54296875" style="48" customWidth="1"/>
    <col min="11786" max="12039" width="11.453125" style="48"/>
    <col min="12040" max="12040" width="10" style="48" customWidth="1"/>
    <col min="12041" max="12041" width="50.54296875" style="48" customWidth="1"/>
    <col min="12042" max="12295" width="11.453125" style="48"/>
    <col min="12296" max="12296" width="10" style="48" customWidth="1"/>
    <col min="12297" max="12297" width="50.54296875" style="48" customWidth="1"/>
    <col min="12298" max="12551" width="11.453125" style="48"/>
    <col min="12552" max="12552" width="10" style="48" customWidth="1"/>
    <col min="12553" max="12553" width="50.54296875" style="48" customWidth="1"/>
    <col min="12554" max="12807" width="11.453125" style="48"/>
    <col min="12808" max="12808" width="10" style="48" customWidth="1"/>
    <col min="12809" max="12809" width="50.54296875" style="48" customWidth="1"/>
    <col min="12810" max="13063" width="11.453125" style="48"/>
    <col min="13064" max="13064" width="10" style="48" customWidth="1"/>
    <col min="13065" max="13065" width="50.54296875" style="48" customWidth="1"/>
    <col min="13066" max="13319" width="11.453125" style="48"/>
    <col min="13320" max="13320" width="10" style="48" customWidth="1"/>
    <col min="13321" max="13321" width="50.54296875" style="48" customWidth="1"/>
    <col min="13322" max="13575" width="11.453125" style="48"/>
    <col min="13576" max="13576" width="10" style="48" customWidth="1"/>
    <col min="13577" max="13577" width="50.54296875" style="48" customWidth="1"/>
    <col min="13578" max="13831" width="11.453125" style="48"/>
    <col min="13832" max="13832" width="10" style="48" customWidth="1"/>
    <col min="13833" max="13833" width="50.54296875" style="48" customWidth="1"/>
    <col min="13834" max="14087" width="11.453125" style="48"/>
    <col min="14088" max="14088" width="10" style="48" customWidth="1"/>
    <col min="14089" max="14089" width="50.54296875" style="48" customWidth="1"/>
    <col min="14090" max="14343" width="11.453125" style="48"/>
    <col min="14344" max="14344" width="10" style="48" customWidth="1"/>
    <col min="14345" max="14345" width="50.54296875" style="48" customWidth="1"/>
    <col min="14346" max="14599" width="11.453125" style="48"/>
    <col min="14600" max="14600" width="10" style="48" customWidth="1"/>
    <col min="14601" max="14601" width="50.54296875" style="48" customWidth="1"/>
    <col min="14602" max="14855" width="11.453125" style="48"/>
    <col min="14856" max="14856" width="10" style="48" customWidth="1"/>
    <col min="14857" max="14857" width="50.54296875" style="48" customWidth="1"/>
    <col min="14858" max="15111" width="11.453125" style="48"/>
    <col min="15112" max="15112" width="10" style="48" customWidth="1"/>
    <col min="15113" max="15113" width="50.54296875" style="48" customWidth="1"/>
    <col min="15114" max="15367" width="11.453125" style="48"/>
    <col min="15368" max="15368" width="10" style="48" customWidth="1"/>
    <col min="15369" max="15369" width="50.54296875" style="48" customWidth="1"/>
    <col min="15370" max="15623" width="11.453125" style="48"/>
    <col min="15624" max="15624" width="10" style="48" customWidth="1"/>
    <col min="15625" max="15625" width="50.54296875" style="48" customWidth="1"/>
    <col min="15626" max="15879" width="11.453125" style="48"/>
    <col min="15880" max="15880" width="10" style="48" customWidth="1"/>
    <col min="15881" max="15881" width="50.54296875" style="48" customWidth="1"/>
    <col min="15882" max="16135" width="11.453125" style="48"/>
    <col min="16136" max="16136" width="10" style="48" customWidth="1"/>
    <col min="16137" max="16137" width="50.54296875" style="48" customWidth="1"/>
    <col min="16138" max="16384" width="11.453125" style="48"/>
  </cols>
  <sheetData>
    <row r="3" spans="1:17" s="44" customFormat="1" ht="13.5" thickBot="1" x14ac:dyDescent="0.35">
      <c r="A3" s="50"/>
      <c r="B3" s="1001"/>
      <c r="C3" s="1001"/>
      <c r="D3" s="1001"/>
      <c r="J3" s="50"/>
      <c r="K3" s="50"/>
      <c r="L3" s="188"/>
      <c r="M3" s="188"/>
      <c r="N3" s="50"/>
    </row>
    <row r="4" spans="1:17" s="50" customFormat="1" ht="18.5" thickBot="1" x14ac:dyDescent="0.45">
      <c r="B4" s="979" t="str">
        <f>"Remuneración Fija Mensual Presupuestada Año "&amp;P4</f>
        <v>Remuneración Fija Mensual Presupuestada Año 2015</v>
      </c>
      <c r="C4" s="980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1"/>
      <c r="P4" s="50">
        <f>'HC 2015'!I4</f>
        <v>2015</v>
      </c>
    </row>
    <row r="5" spans="1:17" s="50" customFormat="1" ht="13.5" thickBot="1" x14ac:dyDescent="0.35">
      <c r="L5" s="188"/>
      <c r="M5" s="188"/>
    </row>
    <row r="6" spans="1:17" s="45" customFormat="1" ht="12" customHeight="1" x14ac:dyDescent="0.3">
      <c r="B6" s="1002" t="s">
        <v>89</v>
      </c>
      <c r="C6" s="999" t="s">
        <v>833</v>
      </c>
      <c r="D6" s="1002" t="s">
        <v>110</v>
      </c>
      <c r="E6" s="999" t="s">
        <v>95</v>
      </c>
      <c r="F6" s="999"/>
      <c r="G6" s="999"/>
      <c r="H6" s="999"/>
      <c r="I6" s="999"/>
      <c r="J6" s="999"/>
      <c r="K6" s="999"/>
      <c r="L6" s="999"/>
      <c r="M6" s="999"/>
      <c r="N6" s="999"/>
      <c r="O6" s="999"/>
      <c r="P6" s="60">
        <f>HLOOKUP($P$4,'Ing Proyect'!$B$6:$G$12,2,0)</f>
        <v>641000</v>
      </c>
    </row>
    <row r="7" spans="1:17" s="45" customFormat="1" ht="13.75" customHeight="1" x14ac:dyDescent="0.3">
      <c r="B7" s="1003"/>
      <c r="C7" s="1000"/>
      <c r="D7" s="1003"/>
      <c r="E7" s="1000" t="s">
        <v>144</v>
      </c>
      <c r="F7" s="1000"/>
      <c r="G7" s="1000"/>
      <c r="H7" s="1000"/>
      <c r="I7" s="1000"/>
      <c r="J7" s="1000"/>
      <c r="K7" s="1000"/>
      <c r="L7" s="1000"/>
      <c r="M7" s="1000"/>
      <c r="N7" s="1000"/>
      <c r="O7" s="1005" t="s">
        <v>148</v>
      </c>
      <c r="P7" s="220"/>
    </row>
    <row r="8" spans="1:17" s="45" customFormat="1" ht="13" x14ac:dyDescent="0.3">
      <c r="B8" s="1003"/>
      <c r="C8" s="1000"/>
      <c r="D8" s="1003"/>
      <c r="E8" s="740" t="s">
        <v>96</v>
      </c>
      <c r="F8" s="740" t="s">
        <v>113</v>
      </c>
      <c r="G8" s="740" t="s">
        <v>97</v>
      </c>
      <c r="H8" s="740" t="s">
        <v>65</v>
      </c>
      <c r="I8" s="741" t="s">
        <v>102</v>
      </c>
      <c r="J8" s="741" t="s">
        <v>101</v>
      </c>
      <c r="K8" s="1004" t="s">
        <v>205</v>
      </c>
      <c r="L8" s="1004"/>
      <c r="M8" s="1004"/>
      <c r="N8" s="1005" t="s">
        <v>206</v>
      </c>
      <c r="O8" s="1005"/>
      <c r="P8" s="220"/>
    </row>
    <row r="9" spans="1:17" s="45" customFormat="1" ht="13" x14ac:dyDescent="0.3">
      <c r="B9" s="717"/>
      <c r="C9" s="742"/>
      <c r="D9" s="717"/>
      <c r="E9" s="740"/>
      <c r="F9" s="740"/>
      <c r="G9" s="740"/>
      <c r="H9" s="740"/>
      <c r="I9" s="741"/>
      <c r="J9" s="741"/>
      <c r="K9" s="743" t="s">
        <v>203</v>
      </c>
      <c r="L9" s="743" t="s">
        <v>204</v>
      </c>
      <c r="M9" s="743" t="s">
        <v>65</v>
      </c>
      <c r="N9" s="1005"/>
      <c r="O9" s="1005"/>
      <c r="P9" s="220"/>
    </row>
    <row r="10" spans="1:17" s="46" customFormat="1" x14ac:dyDescent="0.25">
      <c r="A10" s="46">
        <v>1</v>
      </c>
      <c r="B10" s="51" t="s">
        <v>93</v>
      </c>
      <c r="C10" s="51">
        <v>10</v>
      </c>
      <c r="D10" s="51" t="s">
        <v>91</v>
      </c>
      <c r="E10" s="744">
        <v>4</v>
      </c>
      <c r="F10" s="745">
        <f t="shared" ref="F10:F18" si="0">IF(C10=2,1,IF(C10=3,1.5,2))</f>
        <v>2</v>
      </c>
      <c r="G10" s="744">
        <v>6</v>
      </c>
      <c r="H10" s="744">
        <f>SUM(E10:G10)</f>
        <v>12</v>
      </c>
      <c r="I10" s="746">
        <f>VLOOKUP($A10,'HC 2015'!$A$9:$H$24,8,0)</f>
        <v>1</v>
      </c>
      <c r="J10" s="747">
        <f>H10*I10</f>
        <v>12</v>
      </c>
      <c r="K10" s="748">
        <f>VLOOKUP("Subtotal prestaciones sociales",Factor!$B$6:$F$25,IF($D10="Laboral",3,5),0)</f>
        <v>0.17666666666666667</v>
      </c>
      <c r="L10" s="748">
        <f>IF($D10="Laboral",0,VLOOKUP("Subtotal seguridad social",Factor!$B$6:$F$25,5))</f>
        <v>0</v>
      </c>
      <c r="M10" s="748">
        <f>SUM(K10:L10)</f>
        <v>0.17666666666666667</v>
      </c>
      <c r="N10" s="747">
        <f>ROUND(J10*(1+M10),1)</f>
        <v>14.1</v>
      </c>
      <c r="O10" s="750">
        <f t="shared" ref="O10:O18" si="1">N10*$P$6</f>
        <v>9038100</v>
      </c>
    </row>
    <row r="11" spans="1:17" s="46" customFormat="1" x14ac:dyDescent="0.25">
      <c r="A11" s="46">
        <v>2</v>
      </c>
      <c r="B11" s="51" t="s">
        <v>90</v>
      </c>
      <c r="C11" s="51">
        <v>2</v>
      </c>
      <c r="D11" s="51" t="s">
        <v>91</v>
      </c>
      <c r="E11" s="744">
        <v>4</v>
      </c>
      <c r="F11" s="745">
        <f t="shared" si="0"/>
        <v>1</v>
      </c>
      <c r="G11" s="744">
        <v>0</v>
      </c>
      <c r="H11" s="744">
        <f t="shared" ref="H11:H18" si="2">SUM(E11:G11)</f>
        <v>5</v>
      </c>
      <c r="I11" s="746">
        <f>VLOOKUP($A11,'HC 2015'!$A$9:$H$24,8,0)</f>
        <v>1</v>
      </c>
      <c r="J11" s="747">
        <f t="shared" ref="J11:J18" si="3">H11*I11</f>
        <v>5</v>
      </c>
      <c r="K11" s="748">
        <f>VLOOKUP("Subtotal prestaciones sociales",Factor!$B$6:$F$25,IF($D11="Laboral",3,5),0)</f>
        <v>0.17666666666666667</v>
      </c>
      <c r="L11" s="748">
        <f>IF($D11="Laboral",0,VLOOKUP("Subtotal seguridad social",Factor!$B$6:$F$25,5))</f>
        <v>0</v>
      </c>
      <c r="M11" s="748">
        <f t="shared" ref="M11:M18" si="4">SUM(K11:L11)</f>
        <v>0.17666666666666667</v>
      </c>
      <c r="N11" s="747">
        <f t="shared" ref="N11:N18" si="5">ROUND(J11*(1+M11),1)</f>
        <v>5.9</v>
      </c>
      <c r="O11" s="750">
        <f t="shared" si="1"/>
        <v>3781900</v>
      </c>
      <c r="Q11" s="187"/>
    </row>
    <row r="12" spans="1:17" s="46" customFormat="1" x14ac:dyDescent="0.25">
      <c r="A12" s="46">
        <v>3</v>
      </c>
      <c r="B12" s="51" t="s">
        <v>90</v>
      </c>
      <c r="C12" s="51">
        <v>2</v>
      </c>
      <c r="D12" s="51" t="s">
        <v>109</v>
      </c>
      <c r="E12" s="744">
        <v>4</v>
      </c>
      <c r="F12" s="745">
        <f t="shared" si="0"/>
        <v>1</v>
      </c>
      <c r="G12" s="744">
        <v>0</v>
      </c>
      <c r="H12" s="744">
        <f t="shared" si="2"/>
        <v>5</v>
      </c>
      <c r="I12" s="746">
        <f>VLOOKUP($A12,'HC 2015'!$A$9:$H$24,8,0)</f>
        <v>0.5</v>
      </c>
      <c r="J12" s="747">
        <f t="shared" si="3"/>
        <v>2.5</v>
      </c>
      <c r="K12" s="748">
        <f>VLOOKUP("Subtotal prestaciones sociales",Factor!$B$6:$F$25,IF($D12="Laboral",3,5),0)</f>
        <v>0.17666666666666667</v>
      </c>
      <c r="L12" s="748">
        <f>IF($D12="Laboral",0,VLOOKUP("Subtotal seguridad social",Factor!$B$6:$F$25,5))</f>
        <v>0.21500000000000002</v>
      </c>
      <c r="M12" s="748">
        <f t="shared" si="4"/>
        <v>0.39166666666666672</v>
      </c>
      <c r="N12" s="747">
        <f t="shared" si="5"/>
        <v>3.5</v>
      </c>
      <c r="O12" s="750">
        <f t="shared" si="1"/>
        <v>2243500</v>
      </c>
    </row>
    <row r="13" spans="1:17" s="46" customFormat="1" x14ac:dyDescent="0.25">
      <c r="A13" s="46">
        <v>4</v>
      </c>
      <c r="B13" s="51" t="s">
        <v>90</v>
      </c>
      <c r="C13" s="51">
        <v>3</v>
      </c>
      <c r="D13" s="51" t="s">
        <v>109</v>
      </c>
      <c r="E13" s="744">
        <v>4</v>
      </c>
      <c r="F13" s="745">
        <f t="shared" si="0"/>
        <v>1.5</v>
      </c>
      <c r="G13" s="744">
        <v>0</v>
      </c>
      <c r="H13" s="744">
        <f t="shared" si="2"/>
        <v>5.5</v>
      </c>
      <c r="I13" s="746">
        <f>VLOOKUP($A13,'HC 2015'!$A$9:$H$24,8,0)</f>
        <v>0.5</v>
      </c>
      <c r="J13" s="747">
        <f t="shared" si="3"/>
        <v>2.75</v>
      </c>
      <c r="K13" s="748">
        <f>VLOOKUP("Subtotal prestaciones sociales",Factor!$B$6:$F$25,IF($D13="Laboral",3,5),0)</f>
        <v>0.17666666666666667</v>
      </c>
      <c r="L13" s="748">
        <f>IF($D13="Laboral",0,VLOOKUP("Subtotal seguridad social",Factor!$B$6:$F$25,5))</f>
        <v>0.21500000000000002</v>
      </c>
      <c r="M13" s="748">
        <f t="shared" si="4"/>
        <v>0.39166666666666672</v>
      </c>
      <c r="N13" s="747">
        <f t="shared" si="5"/>
        <v>3.8</v>
      </c>
      <c r="O13" s="750">
        <f t="shared" si="1"/>
        <v>2435800</v>
      </c>
    </row>
    <row r="14" spans="1:17" s="46" customFormat="1" x14ac:dyDescent="0.25">
      <c r="A14" s="46">
        <v>5</v>
      </c>
      <c r="B14" s="51" t="s">
        <v>90</v>
      </c>
      <c r="C14" s="51">
        <v>5</v>
      </c>
      <c r="D14" s="51" t="s">
        <v>91</v>
      </c>
      <c r="E14" s="744">
        <v>4</v>
      </c>
      <c r="F14" s="745">
        <f t="shared" si="0"/>
        <v>2</v>
      </c>
      <c r="G14" s="744">
        <v>0</v>
      </c>
      <c r="H14" s="744">
        <f t="shared" si="2"/>
        <v>6</v>
      </c>
      <c r="I14" s="746">
        <f>VLOOKUP($A14,'HC 2015'!$A$9:$H$24,8,0)</f>
        <v>1</v>
      </c>
      <c r="J14" s="747">
        <f t="shared" si="3"/>
        <v>6</v>
      </c>
      <c r="K14" s="748">
        <f>VLOOKUP("Subtotal prestaciones sociales",Factor!$B$6:$F$25,IF($D14="Laboral",3,5),0)</f>
        <v>0.17666666666666667</v>
      </c>
      <c r="L14" s="748">
        <f>IF($D14="Laboral",0,VLOOKUP("Subtotal seguridad social",Factor!$B$6:$F$25,5))</f>
        <v>0</v>
      </c>
      <c r="M14" s="748">
        <f t="shared" si="4"/>
        <v>0.17666666666666667</v>
      </c>
      <c r="N14" s="747">
        <f t="shared" si="5"/>
        <v>7.1</v>
      </c>
      <c r="O14" s="750">
        <f t="shared" si="1"/>
        <v>4551100</v>
      </c>
    </row>
    <row r="15" spans="1:17" s="46" customFormat="1" x14ac:dyDescent="0.25">
      <c r="A15" s="46">
        <v>6</v>
      </c>
      <c r="B15" s="51" t="s">
        <v>90</v>
      </c>
      <c r="C15" s="51">
        <v>2</v>
      </c>
      <c r="D15" s="51" t="s">
        <v>109</v>
      </c>
      <c r="E15" s="744">
        <v>4</v>
      </c>
      <c r="F15" s="745">
        <f t="shared" si="0"/>
        <v>1</v>
      </c>
      <c r="G15" s="744">
        <v>0</v>
      </c>
      <c r="H15" s="744">
        <f t="shared" si="2"/>
        <v>5</v>
      </c>
      <c r="I15" s="746">
        <f>VLOOKUP($A15,'HC 2015'!$A$9:$H$24,8,0)</f>
        <v>0.5</v>
      </c>
      <c r="J15" s="747">
        <f t="shared" si="3"/>
        <v>2.5</v>
      </c>
      <c r="K15" s="748">
        <f>VLOOKUP("Subtotal prestaciones sociales",Factor!$B$6:$F$25,IF($D15="Laboral",3,5),0)</f>
        <v>0.17666666666666667</v>
      </c>
      <c r="L15" s="748">
        <f>IF($D15="Laboral",0,VLOOKUP("Subtotal seguridad social",Factor!$B$6:$F$25,5))</f>
        <v>0.21500000000000002</v>
      </c>
      <c r="M15" s="748">
        <f t="shared" si="4"/>
        <v>0.39166666666666672</v>
      </c>
      <c r="N15" s="747">
        <f t="shared" si="5"/>
        <v>3.5</v>
      </c>
      <c r="O15" s="750">
        <f t="shared" si="1"/>
        <v>2243500</v>
      </c>
    </row>
    <row r="16" spans="1:17" s="46" customFormat="1" x14ac:dyDescent="0.25">
      <c r="A16" s="46">
        <v>7</v>
      </c>
      <c r="B16" s="51" t="s">
        <v>90</v>
      </c>
      <c r="C16" s="51">
        <v>2</v>
      </c>
      <c r="D16" s="51" t="s">
        <v>109</v>
      </c>
      <c r="E16" s="744">
        <v>4</v>
      </c>
      <c r="F16" s="745">
        <f t="shared" si="0"/>
        <v>1</v>
      </c>
      <c r="G16" s="744">
        <v>0</v>
      </c>
      <c r="H16" s="744">
        <f t="shared" si="2"/>
        <v>5</v>
      </c>
      <c r="I16" s="746">
        <f>VLOOKUP($A16,'HC 2015'!$A$9:$H$24,8,0)</f>
        <v>0.5</v>
      </c>
      <c r="J16" s="747">
        <f t="shared" si="3"/>
        <v>2.5</v>
      </c>
      <c r="K16" s="748">
        <f>VLOOKUP("Subtotal prestaciones sociales",Factor!$B$6:$F$25,IF($D16="Laboral",3,5),0)</f>
        <v>0.17666666666666667</v>
      </c>
      <c r="L16" s="748">
        <f>IF($D16="Laboral",0,VLOOKUP("Subtotal seguridad social",Factor!$B$6:$F$25,5))</f>
        <v>0.21500000000000002</v>
      </c>
      <c r="M16" s="748">
        <f t="shared" si="4"/>
        <v>0.39166666666666672</v>
      </c>
      <c r="N16" s="747">
        <f t="shared" si="5"/>
        <v>3.5</v>
      </c>
      <c r="O16" s="750">
        <f t="shared" si="1"/>
        <v>2243500</v>
      </c>
    </row>
    <row r="17" spans="1:16" s="46" customFormat="1" x14ac:dyDescent="0.25">
      <c r="A17" s="46">
        <v>8</v>
      </c>
      <c r="B17" s="51" t="s">
        <v>90</v>
      </c>
      <c r="C17" s="51">
        <v>7</v>
      </c>
      <c r="D17" s="51" t="s">
        <v>109</v>
      </c>
      <c r="E17" s="744">
        <v>4</v>
      </c>
      <c r="F17" s="745">
        <f t="shared" si="0"/>
        <v>2</v>
      </c>
      <c r="G17" s="744">
        <v>0</v>
      </c>
      <c r="H17" s="744">
        <f t="shared" si="2"/>
        <v>6</v>
      </c>
      <c r="I17" s="746">
        <f>VLOOKUP($A17,'HC 2015'!$A$9:$H$24,8,0)</f>
        <v>0.5</v>
      </c>
      <c r="J17" s="747">
        <f t="shared" si="3"/>
        <v>3</v>
      </c>
      <c r="K17" s="748">
        <f>VLOOKUP("Subtotal prestaciones sociales",Factor!$B$6:$F$25,IF($D17="Laboral",3,5),0)</f>
        <v>0.17666666666666667</v>
      </c>
      <c r="L17" s="748">
        <f>IF($D17="Laboral",0,VLOOKUP("Subtotal seguridad social",Factor!$B$6:$F$25,5))</f>
        <v>0.21500000000000002</v>
      </c>
      <c r="M17" s="748">
        <f t="shared" si="4"/>
        <v>0.39166666666666672</v>
      </c>
      <c r="N17" s="747">
        <f t="shared" si="5"/>
        <v>4.2</v>
      </c>
      <c r="O17" s="750">
        <f t="shared" si="1"/>
        <v>2692200</v>
      </c>
    </row>
    <row r="18" spans="1:16" s="46" customFormat="1" x14ac:dyDescent="0.25">
      <c r="A18" s="46">
        <v>9</v>
      </c>
      <c r="B18" s="51" t="s">
        <v>90</v>
      </c>
      <c r="C18" s="51">
        <v>2</v>
      </c>
      <c r="D18" s="51" t="s">
        <v>91</v>
      </c>
      <c r="E18" s="744">
        <v>4</v>
      </c>
      <c r="F18" s="745">
        <f t="shared" si="0"/>
        <v>1</v>
      </c>
      <c r="G18" s="744">
        <v>0</v>
      </c>
      <c r="H18" s="744">
        <f t="shared" si="2"/>
        <v>5</v>
      </c>
      <c r="I18" s="746">
        <f>VLOOKUP($A18,'HC 2015'!$A$9:$H$24,8,0)</f>
        <v>1</v>
      </c>
      <c r="J18" s="747">
        <f t="shared" si="3"/>
        <v>5</v>
      </c>
      <c r="K18" s="748">
        <f>VLOOKUP("Subtotal prestaciones sociales",Factor!$B$6:$F$25,IF($D18="Laboral",3,5),0)</f>
        <v>0.17666666666666667</v>
      </c>
      <c r="L18" s="748">
        <f>IF($D18="Laboral",0,VLOOKUP("Subtotal seguridad social",Factor!$B$6:$F$25,5))</f>
        <v>0</v>
      </c>
      <c r="M18" s="748">
        <f t="shared" si="4"/>
        <v>0.17666666666666667</v>
      </c>
      <c r="N18" s="747">
        <f t="shared" si="5"/>
        <v>5.9</v>
      </c>
      <c r="O18" s="750">
        <f t="shared" si="1"/>
        <v>3781900</v>
      </c>
    </row>
    <row r="19" spans="1:16" s="46" customFormat="1" x14ac:dyDescent="0.35">
      <c r="B19" s="51"/>
      <c r="C19" s="51"/>
      <c r="D19" s="51"/>
      <c r="E19" s="744"/>
      <c r="F19" s="745"/>
      <c r="G19" s="744"/>
      <c r="H19" s="744"/>
      <c r="I19" s="746"/>
      <c r="J19" s="749"/>
      <c r="K19" s="749"/>
      <c r="L19" s="749"/>
      <c r="M19" s="749"/>
      <c r="N19" s="747"/>
      <c r="O19" s="751"/>
    </row>
    <row r="20" spans="1:16" s="46" customFormat="1" ht="13" x14ac:dyDescent="0.3">
      <c r="B20" s="721" t="s">
        <v>103</v>
      </c>
      <c r="C20" s="720"/>
      <c r="D20" s="720"/>
      <c r="E20" s="752"/>
      <c r="F20" s="753"/>
      <c r="G20" s="752"/>
      <c r="H20" s="752"/>
      <c r="I20" s="754"/>
      <c r="J20" s="721">
        <f>SUM(J10:J18)</f>
        <v>41.25</v>
      </c>
      <c r="K20" s="721"/>
      <c r="L20" s="721"/>
      <c r="M20" s="721"/>
      <c r="N20" s="759">
        <f>SUM(N10:N18)</f>
        <v>51.5</v>
      </c>
      <c r="O20" s="755">
        <f>SUM(O10:O18)</f>
        <v>33011500</v>
      </c>
    </row>
    <row r="21" spans="1:16" s="46" customFormat="1" x14ac:dyDescent="0.35">
      <c r="B21" s="51"/>
      <c r="C21" s="51"/>
      <c r="D21" s="51"/>
      <c r="E21" s="744"/>
      <c r="F21" s="745"/>
      <c r="G21" s="744"/>
      <c r="H21" s="744"/>
      <c r="I21" s="746"/>
      <c r="J21" s="749"/>
      <c r="K21" s="749"/>
      <c r="L21" s="749"/>
      <c r="M21" s="749"/>
      <c r="N21" s="747"/>
      <c r="O21" s="751"/>
    </row>
    <row r="22" spans="1:16" s="46" customFormat="1" x14ac:dyDescent="0.25">
      <c r="A22" s="46">
        <v>10</v>
      </c>
      <c r="B22" s="51" t="s">
        <v>111</v>
      </c>
      <c r="C22" s="722" t="s">
        <v>45</v>
      </c>
      <c r="D22" s="51" t="s">
        <v>91</v>
      </c>
      <c r="E22" s="744">
        <v>3</v>
      </c>
      <c r="F22" s="745">
        <v>0</v>
      </c>
      <c r="G22" s="744">
        <v>0</v>
      </c>
      <c r="H22" s="744">
        <f t="shared" ref="H22:H23" si="6">SUM(E22:G22)</f>
        <v>3</v>
      </c>
      <c r="I22" s="746">
        <f>VLOOKUP($A22,'HC 2015'!$A$9:$H$24,8,0)</f>
        <v>1</v>
      </c>
      <c r="J22" s="747">
        <f t="shared" ref="J22:J23" si="7">H22*I22</f>
        <v>3</v>
      </c>
      <c r="K22" s="748">
        <f>VLOOKUP("Subtotal prestaciones sociales",Factor!$B$6:$F$25,IF($D22="Laboral",3,5),0)*0</f>
        <v>0</v>
      </c>
      <c r="L22" s="748">
        <f>IF($D22="Laboral",0,VLOOKUP("Subtotal seguridad social",Factor!$B$6:$F$25,5))</f>
        <v>0</v>
      </c>
      <c r="M22" s="748">
        <f t="shared" ref="M22:M23" si="8">SUM(K22:L22)</f>
        <v>0</v>
      </c>
      <c r="N22" s="747">
        <f t="shared" ref="N22:N23" si="9">ROUND(J22*(1+M22),1)</f>
        <v>3</v>
      </c>
      <c r="O22" s="750">
        <f t="shared" ref="O22:O23" si="10">N22*$P$6</f>
        <v>1923000</v>
      </c>
    </row>
    <row r="23" spans="1:16" s="46" customFormat="1" x14ac:dyDescent="0.25">
      <c r="A23" s="46">
        <v>11</v>
      </c>
      <c r="B23" s="51" t="s">
        <v>92</v>
      </c>
      <c r="C23" s="722" t="s">
        <v>45</v>
      </c>
      <c r="D23" s="51" t="s">
        <v>91</v>
      </c>
      <c r="E23" s="744">
        <v>1.5</v>
      </c>
      <c r="F23" s="745">
        <v>0</v>
      </c>
      <c r="G23" s="744">
        <v>0</v>
      </c>
      <c r="H23" s="744">
        <f t="shared" si="6"/>
        <v>1.5</v>
      </c>
      <c r="I23" s="746">
        <f>VLOOKUP($A23,'HC 2015'!$A$9:$H$24,8,0)</f>
        <v>1</v>
      </c>
      <c r="J23" s="747">
        <f t="shared" si="7"/>
        <v>1.5</v>
      </c>
      <c r="K23" s="748">
        <f>VLOOKUP("Subtotal prestaciones sociales",Factor!$B$6:$F$25,IF($D23="Laboral",3,5),0)*0</f>
        <v>0</v>
      </c>
      <c r="L23" s="748">
        <f>IF($D23="Laboral",0,VLOOKUP("Subtotal seguridad social",Factor!$B$6:$F$25,5))</f>
        <v>0</v>
      </c>
      <c r="M23" s="748">
        <f t="shared" si="8"/>
        <v>0</v>
      </c>
      <c r="N23" s="747">
        <f t="shared" si="9"/>
        <v>1.5</v>
      </c>
      <c r="O23" s="750">
        <f t="shared" si="10"/>
        <v>961500</v>
      </c>
    </row>
    <row r="24" spans="1:16" x14ac:dyDescent="0.25">
      <c r="B24" s="723"/>
      <c r="C24" s="723"/>
      <c r="D24" s="723"/>
      <c r="E24" s="728"/>
      <c r="F24" s="728"/>
      <c r="G24" s="728"/>
      <c r="H24" s="728"/>
      <c r="I24" s="728"/>
      <c r="J24" s="728"/>
      <c r="K24" s="728"/>
      <c r="L24" s="728"/>
      <c r="M24" s="728"/>
      <c r="N24" s="760"/>
      <c r="O24" s="756"/>
    </row>
    <row r="25" spans="1:16" ht="13.5" thickBot="1" x14ac:dyDescent="0.35">
      <c r="B25" s="724" t="s">
        <v>65</v>
      </c>
      <c r="C25" s="724"/>
      <c r="D25" s="724"/>
      <c r="E25" s="757"/>
      <c r="F25" s="757"/>
      <c r="G25" s="757"/>
      <c r="H25" s="757"/>
      <c r="I25" s="757"/>
      <c r="J25" s="725">
        <f>SUM(J20:J23)</f>
        <v>45.75</v>
      </c>
      <c r="K25" s="725"/>
      <c r="L25" s="725"/>
      <c r="M25" s="725"/>
      <c r="N25" s="761">
        <f>SUM(N20:N23)</f>
        <v>56</v>
      </c>
      <c r="O25" s="758">
        <f>SUM(O20:O23)</f>
        <v>35896000</v>
      </c>
      <c r="P25" s="228">
        <f>O25/N25-P6</f>
        <v>0</v>
      </c>
    </row>
    <row r="27" spans="1:16" x14ac:dyDescent="0.25">
      <c r="B27" s="47" t="s">
        <v>104</v>
      </c>
    </row>
    <row r="28" spans="1:16" x14ac:dyDescent="0.25">
      <c r="B28" s="47" t="s">
        <v>105</v>
      </c>
    </row>
  </sheetData>
  <mergeCells count="10">
    <mergeCell ref="B3:D3"/>
    <mergeCell ref="E6:O6"/>
    <mergeCell ref="B4:O4"/>
    <mergeCell ref="E7:N7"/>
    <mergeCell ref="B6:B8"/>
    <mergeCell ref="C6:C8"/>
    <mergeCell ref="D6:D8"/>
    <mergeCell ref="K8:M8"/>
    <mergeCell ref="N8:N9"/>
    <mergeCell ref="O7:O9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3:S33"/>
  <sheetViews>
    <sheetView zoomScaleNormal="100" zoomScaleSheetLayoutView="100" workbookViewId="0">
      <pane xSplit="4" ySplit="7" topLeftCell="E20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9.6328125" style="47" customWidth="1"/>
    <col min="4" max="4" width="6.08984375" style="47" bestFit="1" customWidth="1"/>
    <col min="5" max="15" width="10.6328125" style="48" customWidth="1"/>
    <col min="16" max="16" width="11.36328125" style="48" bestFit="1" customWidth="1"/>
    <col min="17" max="17" width="2.6328125" style="48" customWidth="1"/>
    <col min="18" max="18" width="11.90625" style="48" bestFit="1" customWidth="1"/>
    <col min="19" max="16384" width="11.453125" style="48"/>
  </cols>
  <sheetData>
    <row r="3" spans="2:19" ht="13.5" thickBot="1" x14ac:dyDescent="0.3">
      <c r="E3" s="144">
        <v>1</v>
      </c>
      <c r="F3" s="144">
        <v>2</v>
      </c>
      <c r="G3" s="144">
        <v>3</v>
      </c>
      <c r="H3" s="144">
        <v>4</v>
      </c>
      <c r="I3" s="144">
        <v>5</v>
      </c>
      <c r="J3" s="144">
        <v>6</v>
      </c>
      <c r="K3" s="144">
        <v>7</v>
      </c>
      <c r="L3" s="144">
        <v>8</v>
      </c>
      <c r="M3" s="144">
        <v>9</v>
      </c>
      <c r="N3" s="144">
        <v>10</v>
      </c>
      <c r="O3" s="144">
        <v>11</v>
      </c>
    </row>
    <row r="4" spans="2:19" ht="18.5" thickBot="1" x14ac:dyDescent="0.45">
      <c r="B4" s="979" t="str">
        <f>"Remuneración Variable Mensual Presupuestada Año "&amp;R6</f>
        <v>Remuneración Variable Mensual Presupuestada Año 2015</v>
      </c>
      <c r="C4" s="980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0"/>
      <c r="P4" s="981"/>
    </row>
    <row r="5" spans="2:19" ht="13" thickBot="1" x14ac:dyDescent="0.3"/>
    <row r="6" spans="2:19" ht="23" x14ac:dyDescent="0.3">
      <c r="B6" s="1028" t="s">
        <v>89</v>
      </c>
      <c r="C6" s="1029"/>
      <c r="D6" s="1030"/>
      <c r="E6" s="145" t="s">
        <v>93</v>
      </c>
      <c r="F6" s="145" t="s">
        <v>90</v>
      </c>
      <c r="G6" s="145" t="s">
        <v>90</v>
      </c>
      <c r="H6" s="145" t="s">
        <v>90</v>
      </c>
      <c r="I6" s="145" t="s">
        <v>90</v>
      </c>
      <c r="J6" s="145" t="s">
        <v>90</v>
      </c>
      <c r="K6" s="145" t="s">
        <v>90</v>
      </c>
      <c r="L6" s="145" t="s">
        <v>90</v>
      </c>
      <c r="M6" s="145" t="s">
        <v>90</v>
      </c>
      <c r="N6" s="193" t="s">
        <v>146</v>
      </c>
      <c r="O6" s="193" t="s">
        <v>92</v>
      </c>
      <c r="P6" s="166" t="s">
        <v>65</v>
      </c>
      <c r="R6" s="143">
        <f>'HC 2015'!I4</f>
        <v>2015</v>
      </c>
      <c r="S6" s="48" t="s">
        <v>71</v>
      </c>
    </row>
    <row r="7" spans="2:19" ht="13" x14ac:dyDescent="0.3">
      <c r="B7" s="1006" t="s">
        <v>110</v>
      </c>
      <c r="C7" s="1007"/>
      <c r="D7" s="1008"/>
      <c r="E7" s="192" t="s">
        <v>91</v>
      </c>
      <c r="F7" s="192" t="s">
        <v>91</v>
      </c>
      <c r="G7" s="192" t="s">
        <v>109</v>
      </c>
      <c r="H7" s="192" t="s">
        <v>109</v>
      </c>
      <c r="I7" s="192" t="s">
        <v>91</v>
      </c>
      <c r="J7" s="192" t="s">
        <v>109</v>
      </c>
      <c r="K7" s="192" t="s">
        <v>109</v>
      </c>
      <c r="L7" s="192" t="s">
        <v>109</v>
      </c>
      <c r="M7" s="192" t="s">
        <v>91</v>
      </c>
      <c r="N7" s="192" t="s">
        <v>91</v>
      </c>
      <c r="O7" s="192" t="s">
        <v>91</v>
      </c>
      <c r="P7" s="169"/>
      <c r="R7" s="143"/>
    </row>
    <row r="8" spans="2:19" ht="13" x14ac:dyDescent="0.3">
      <c r="B8" s="1006" t="s">
        <v>178</v>
      </c>
      <c r="C8" s="1007"/>
      <c r="D8" s="1008"/>
      <c r="E8" s="148">
        <f>VLOOKUP(E3,'HC 2015'!$A$9:$H$24,7,0)</f>
        <v>20</v>
      </c>
      <c r="F8" s="148">
        <f>VLOOKUP(F3,'HC 2015'!$A$9:$H$24,7,0)</f>
        <v>40</v>
      </c>
      <c r="G8" s="148">
        <f>VLOOKUP(G3,'HC 2015'!$A$9:$H$24,7,0)</f>
        <v>20</v>
      </c>
      <c r="H8" s="148">
        <f>VLOOKUP(H3,'HC 2015'!$A$9:$H$24,7,0)</f>
        <v>20</v>
      </c>
      <c r="I8" s="148">
        <f>VLOOKUP(I3,'HC 2015'!$A$9:$H$24,7,0)</f>
        <v>40</v>
      </c>
      <c r="J8" s="148">
        <f>VLOOKUP(J3,'HC 2015'!$A$9:$H$24,7,0)</f>
        <v>20</v>
      </c>
      <c r="K8" s="148">
        <f>VLOOKUP(K3,'HC 2015'!$A$9:$H$24,7,0)</f>
        <v>20</v>
      </c>
      <c r="L8" s="148">
        <f>VLOOKUP(L3,'HC 2015'!$A$9:$H$24,7,0)</f>
        <v>20</v>
      </c>
      <c r="M8" s="148">
        <f>VLOOKUP(M3,'HC 2015'!$A$9:$H$24,7,0)</f>
        <v>40</v>
      </c>
      <c r="N8" s="148">
        <v>0</v>
      </c>
      <c r="O8" s="148">
        <v>0</v>
      </c>
      <c r="P8" s="164"/>
      <c r="R8" s="60">
        <f>HLOOKUP($R$6,'Ing Proyect'!$B$6:$G$12,6,0)</f>
        <v>104483000</v>
      </c>
      <c r="S8" s="48" t="s">
        <v>175</v>
      </c>
    </row>
    <row r="9" spans="2:19" ht="13" x14ac:dyDescent="0.3">
      <c r="B9" s="1006" t="s">
        <v>177</v>
      </c>
      <c r="C9" s="1007"/>
      <c r="D9" s="1008"/>
      <c r="E9" s="150">
        <f t="shared" ref="E9:L9" si="0">E8/SUM($E$8:$O$8)</f>
        <v>8.3333333333333329E-2</v>
      </c>
      <c r="F9" s="150">
        <f t="shared" si="0"/>
        <v>0.16666666666666666</v>
      </c>
      <c r="G9" s="150">
        <f t="shared" si="0"/>
        <v>8.3333333333333329E-2</v>
      </c>
      <c r="H9" s="150">
        <f t="shared" si="0"/>
        <v>8.3333333333333329E-2</v>
      </c>
      <c r="I9" s="150">
        <f t="shared" si="0"/>
        <v>0.16666666666666666</v>
      </c>
      <c r="J9" s="150">
        <f t="shared" si="0"/>
        <v>8.3333333333333329E-2</v>
      </c>
      <c r="K9" s="150">
        <f t="shared" si="0"/>
        <v>8.3333333333333329E-2</v>
      </c>
      <c r="L9" s="150">
        <f t="shared" si="0"/>
        <v>8.3333333333333329E-2</v>
      </c>
      <c r="M9" s="150">
        <f>M8/SUM($E$8:$O$8)</f>
        <v>0.16666666666666666</v>
      </c>
      <c r="N9" s="150">
        <f t="shared" ref="N9:O9" si="1">N8/SUM($E$8:$O$8)</f>
        <v>0</v>
      </c>
      <c r="O9" s="150">
        <f t="shared" si="1"/>
        <v>0</v>
      </c>
      <c r="P9" s="165">
        <f>SUM(E9:O9)</f>
        <v>1</v>
      </c>
      <c r="R9" s="60">
        <f>HLOOKUP($R$6,'Ing Proyect'!$B$6:$G$12,2,0)</f>
        <v>641000</v>
      </c>
      <c r="S9" s="48" t="s">
        <v>69</v>
      </c>
    </row>
    <row r="10" spans="2:19" x14ac:dyDescent="0.25">
      <c r="B10" s="1006" t="s">
        <v>176</v>
      </c>
      <c r="C10" s="1007"/>
      <c r="D10" s="1008"/>
      <c r="E10" s="151">
        <f t="shared" ref="E10:O10" si="2">ROUND(E9*$R$8,0)</f>
        <v>8706917</v>
      </c>
      <c r="F10" s="151">
        <f t="shared" si="2"/>
        <v>17413833</v>
      </c>
      <c r="G10" s="151">
        <f t="shared" si="2"/>
        <v>8706917</v>
      </c>
      <c r="H10" s="151">
        <f t="shared" si="2"/>
        <v>8706917</v>
      </c>
      <c r="I10" s="151">
        <f t="shared" si="2"/>
        <v>17413833</v>
      </c>
      <c r="J10" s="151">
        <f t="shared" si="2"/>
        <v>8706917</v>
      </c>
      <c r="K10" s="151">
        <f t="shared" si="2"/>
        <v>8706917</v>
      </c>
      <c r="L10" s="151">
        <f t="shared" si="2"/>
        <v>8706917</v>
      </c>
      <c r="M10" s="151">
        <f t="shared" si="2"/>
        <v>17413833</v>
      </c>
      <c r="N10" s="151">
        <f t="shared" si="2"/>
        <v>0</v>
      </c>
      <c r="O10" s="151">
        <f t="shared" si="2"/>
        <v>0</v>
      </c>
      <c r="P10" s="152">
        <f>SUM(E10:O10)</f>
        <v>104483001</v>
      </c>
    </row>
    <row r="11" spans="2:19" x14ac:dyDescent="0.25">
      <c r="B11" s="1018" t="s">
        <v>163</v>
      </c>
      <c r="C11" s="146" t="s">
        <v>164</v>
      </c>
      <c r="D11" s="146"/>
      <c r="E11" s="153">
        <v>0.1</v>
      </c>
      <c r="F11" s="153">
        <v>0.1</v>
      </c>
      <c r="G11" s="153">
        <v>0.1</v>
      </c>
      <c r="H11" s="153">
        <v>0.1</v>
      </c>
      <c r="I11" s="153">
        <v>0.1</v>
      </c>
      <c r="J11" s="153">
        <v>0.1</v>
      </c>
      <c r="K11" s="153">
        <v>0.1</v>
      </c>
      <c r="L11" s="153">
        <v>0.1</v>
      </c>
      <c r="M11" s="153">
        <v>0.1</v>
      </c>
      <c r="N11" s="153">
        <v>0.1</v>
      </c>
      <c r="O11" s="153">
        <v>0.1</v>
      </c>
      <c r="P11" s="1034"/>
    </row>
    <row r="12" spans="2:19" x14ac:dyDescent="0.25">
      <c r="B12" s="1020"/>
      <c r="C12" s="1027" t="s">
        <v>165</v>
      </c>
      <c r="D12" s="147" t="s">
        <v>69</v>
      </c>
      <c r="E12" s="154">
        <v>20</v>
      </c>
      <c r="F12" s="154">
        <v>20</v>
      </c>
      <c r="G12" s="154">
        <v>20</v>
      </c>
      <c r="H12" s="154">
        <v>20</v>
      </c>
      <c r="I12" s="154">
        <v>20</v>
      </c>
      <c r="J12" s="154">
        <v>20</v>
      </c>
      <c r="K12" s="154">
        <v>20</v>
      </c>
      <c r="L12" s="154">
        <v>20</v>
      </c>
      <c r="M12" s="154">
        <v>20</v>
      </c>
      <c r="N12" s="154">
        <v>20</v>
      </c>
      <c r="O12" s="154">
        <v>20</v>
      </c>
      <c r="P12" s="1035"/>
    </row>
    <row r="13" spans="2:19" x14ac:dyDescent="0.25">
      <c r="B13" s="1020"/>
      <c r="C13" s="1027"/>
      <c r="D13" s="147" t="s">
        <v>70</v>
      </c>
      <c r="E13" s="151">
        <f t="shared" ref="E13:O13" si="3">E12*$R$9</f>
        <v>12820000</v>
      </c>
      <c r="F13" s="151">
        <f t="shared" si="3"/>
        <v>12820000</v>
      </c>
      <c r="G13" s="151">
        <f t="shared" si="3"/>
        <v>12820000</v>
      </c>
      <c r="H13" s="151">
        <f t="shared" si="3"/>
        <v>12820000</v>
      </c>
      <c r="I13" s="151">
        <f t="shared" si="3"/>
        <v>12820000</v>
      </c>
      <c r="J13" s="151">
        <f t="shared" si="3"/>
        <v>12820000</v>
      </c>
      <c r="K13" s="151">
        <f t="shared" si="3"/>
        <v>12820000</v>
      </c>
      <c r="L13" s="151">
        <f t="shared" si="3"/>
        <v>12820000</v>
      </c>
      <c r="M13" s="151">
        <f t="shared" si="3"/>
        <v>12820000</v>
      </c>
      <c r="N13" s="151">
        <f t="shared" si="3"/>
        <v>12820000</v>
      </c>
      <c r="O13" s="151">
        <f t="shared" si="3"/>
        <v>12820000</v>
      </c>
      <c r="P13" s="1036"/>
    </row>
    <row r="14" spans="2:19" x14ac:dyDescent="0.25">
      <c r="B14" s="1019"/>
      <c r="C14" s="1012" t="s">
        <v>160</v>
      </c>
      <c r="D14" s="1014"/>
      <c r="E14" s="160">
        <f t="shared" ref="E14" si="4">ROUND(IF(E10&gt;E13,(E11*E13),(E11*E10)),0)</f>
        <v>870692</v>
      </c>
      <c r="F14" s="160">
        <f>ROUND(IF(F10&gt;F13,(F11*F13),(F11*F10)),0)</f>
        <v>1282000</v>
      </c>
      <c r="G14" s="160">
        <f t="shared" ref="G14:O14" si="5">ROUND(IF(G10&gt;G13,(G11*G13),(G11*G10)),0)</f>
        <v>870692</v>
      </c>
      <c r="H14" s="160">
        <f t="shared" si="5"/>
        <v>870692</v>
      </c>
      <c r="I14" s="160">
        <f t="shared" si="5"/>
        <v>1282000</v>
      </c>
      <c r="J14" s="160">
        <f t="shared" si="5"/>
        <v>870692</v>
      </c>
      <c r="K14" s="160">
        <f t="shared" si="5"/>
        <v>870692</v>
      </c>
      <c r="L14" s="160">
        <f t="shared" si="5"/>
        <v>870692</v>
      </c>
      <c r="M14" s="160">
        <f t="shared" si="5"/>
        <v>1282000</v>
      </c>
      <c r="N14" s="160">
        <f t="shared" si="5"/>
        <v>0</v>
      </c>
      <c r="O14" s="160">
        <f t="shared" si="5"/>
        <v>0</v>
      </c>
      <c r="P14" s="152">
        <f>SUM(E14:O14)</f>
        <v>9070152</v>
      </c>
    </row>
    <row r="15" spans="2:19" x14ac:dyDescent="0.25">
      <c r="B15" s="1018" t="s">
        <v>166</v>
      </c>
      <c r="C15" s="1012" t="s">
        <v>164</v>
      </c>
      <c r="D15" s="1013"/>
      <c r="E15" s="153">
        <v>0.2</v>
      </c>
      <c r="F15" s="153">
        <v>0.2</v>
      </c>
      <c r="G15" s="153">
        <v>0.2</v>
      </c>
      <c r="H15" s="153">
        <v>0.2</v>
      </c>
      <c r="I15" s="153">
        <v>0.2</v>
      </c>
      <c r="J15" s="153">
        <v>0.2</v>
      </c>
      <c r="K15" s="153">
        <v>0.2</v>
      </c>
      <c r="L15" s="153">
        <v>0.2</v>
      </c>
      <c r="M15" s="153">
        <v>0.2</v>
      </c>
      <c r="N15" s="153">
        <v>0</v>
      </c>
      <c r="O15" s="153">
        <v>0</v>
      </c>
      <c r="P15" s="149"/>
    </row>
    <row r="16" spans="2:19" x14ac:dyDescent="0.25">
      <c r="B16" s="1019"/>
      <c r="C16" s="1012" t="s">
        <v>160</v>
      </c>
      <c r="D16" s="1014"/>
      <c r="E16" s="160">
        <f t="shared" ref="E16:O16" si="6">ROUND(IF(E10&gt;E13,E15*(E10-E13),0),0)</f>
        <v>0</v>
      </c>
      <c r="F16" s="160">
        <f t="shared" si="6"/>
        <v>918767</v>
      </c>
      <c r="G16" s="160">
        <f t="shared" si="6"/>
        <v>0</v>
      </c>
      <c r="H16" s="160">
        <f t="shared" si="6"/>
        <v>0</v>
      </c>
      <c r="I16" s="160">
        <f t="shared" si="6"/>
        <v>918767</v>
      </c>
      <c r="J16" s="160">
        <f t="shared" si="6"/>
        <v>0</v>
      </c>
      <c r="K16" s="160">
        <f t="shared" si="6"/>
        <v>0</v>
      </c>
      <c r="L16" s="160">
        <f t="shared" si="6"/>
        <v>0</v>
      </c>
      <c r="M16" s="160">
        <f t="shared" si="6"/>
        <v>918767</v>
      </c>
      <c r="N16" s="160">
        <f t="shared" si="6"/>
        <v>0</v>
      </c>
      <c r="O16" s="160">
        <f t="shared" si="6"/>
        <v>0</v>
      </c>
      <c r="P16" s="152">
        <f>SUM(E16:O16)</f>
        <v>2756301</v>
      </c>
    </row>
    <row r="17" spans="2:16" x14ac:dyDescent="0.25">
      <c r="B17" s="1009" t="s">
        <v>167</v>
      </c>
      <c r="C17" s="1010"/>
      <c r="D17" s="1011"/>
      <c r="E17" s="160">
        <f t="shared" ref="E17:O17" si="7">E14+E16</f>
        <v>870692</v>
      </c>
      <c r="F17" s="160">
        <f t="shared" si="7"/>
        <v>2200767</v>
      </c>
      <c r="G17" s="160">
        <f t="shared" si="7"/>
        <v>870692</v>
      </c>
      <c r="H17" s="160">
        <f t="shared" si="7"/>
        <v>870692</v>
      </c>
      <c r="I17" s="160">
        <f t="shared" si="7"/>
        <v>2200767</v>
      </c>
      <c r="J17" s="160">
        <f t="shared" si="7"/>
        <v>870692</v>
      </c>
      <c r="K17" s="160">
        <f t="shared" si="7"/>
        <v>870692</v>
      </c>
      <c r="L17" s="160">
        <f t="shared" si="7"/>
        <v>870692</v>
      </c>
      <c r="M17" s="160">
        <f t="shared" si="7"/>
        <v>2200767</v>
      </c>
      <c r="N17" s="160">
        <f t="shared" si="7"/>
        <v>0</v>
      </c>
      <c r="O17" s="160">
        <f t="shared" si="7"/>
        <v>0</v>
      </c>
      <c r="P17" s="152">
        <f>SUM(E17:O17)</f>
        <v>11826453</v>
      </c>
    </row>
    <row r="18" spans="2:16" x14ac:dyDescent="0.25">
      <c r="B18" s="1018" t="s">
        <v>162</v>
      </c>
      <c r="C18" s="1037" t="s">
        <v>164</v>
      </c>
      <c r="D18" s="1038"/>
      <c r="E18" s="157">
        <v>0.1</v>
      </c>
      <c r="F18" s="157">
        <v>0</v>
      </c>
      <c r="G18" s="157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63"/>
    </row>
    <row r="19" spans="2:16" x14ac:dyDescent="0.25">
      <c r="B19" s="1019"/>
      <c r="C19" s="1037" t="s">
        <v>160</v>
      </c>
      <c r="D19" s="1008"/>
      <c r="E19" s="160">
        <f t="shared" ref="E19:O19" si="8">E21*E18</f>
        <v>2051200</v>
      </c>
      <c r="F19" s="160">
        <f t="shared" si="8"/>
        <v>0</v>
      </c>
      <c r="G19" s="160">
        <f t="shared" si="8"/>
        <v>0</v>
      </c>
      <c r="H19" s="160">
        <f t="shared" si="8"/>
        <v>0</v>
      </c>
      <c r="I19" s="160">
        <f t="shared" si="8"/>
        <v>0</v>
      </c>
      <c r="J19" s="160">
        <f t="shared" si="8"/>
        <v>0</v>
      </c>
      <c r="K19" s="160">
        <f t="shared" si="8"/>
        <v>0</v>
      </c>
      <c r="L19" s="160">
        <f t="shared" si="8"/>
        <v>0</v>
      </c>
      <c r="M19" s="160">
        <f t="shared" si="8"/>
        <v>0</v>
      </c>
      <c r="N19" s="160">
        <f t="shared" si="8"/>
        <v>0</v>
      </c>
      <c r="O19" s="160">
        <f t="shared" si="8"/>
        <v>0</v>
      </c>
      <c r="P19" s="152">
        <f>SUM(E19:O19)</f>
        <v>2051200</v>
      </c>
    </row>
    <row r="20" spans="2:16" x14ac:dyDescent="0.25">
      <c r="B20" s="1021" t="s">
        <v>197</v>
      </c>
      <c r="C20" s="1012" t="s">
        <v>164</v>
      </c>
      <c r="D20" s="1013"/>
      <c r="E20" s="153">
        <v>0.1</v>
      </c>
      <c r="F20" s="153">
        <v>0.1</v>
      </c>
      <c r="G20" s="153">
        <v>0.1</v>
      </c>
      <c r="H20" s="153">
        <v>0.1</v>
      </c>
      <c r="I20" s="153">
        <v>0.1</v>
      </c>
      <c r="J20" s="153">
        <v>0.1</v>
      </c>
      <c r="K20" s="153">
        <v>0.1</v>
      </c>
      <c r="L20" s="153">
        <v>0.1</v>
      </c>
      <c r="M20" s="153">
        <v>0.1</v>
      </c>
      <c r="N20" s="153">
        <v>0.1</v>
      </c>
      <c r="O20" s="153">
        <v>0.1</v>
      </c>
      <c r="P20" s="1034"/>
    </row>
    <row r="21" spans="2:16" x14ac:dyDescent="0.25">
      <c r="B21" s="1022"/>
      <c r="C21" s="1012" t="s">
        <v>169</v>
      </c>
      <c r="D21" s="1014"/>
      <c r="E21" s="151">
        <f t="shared" ref="E21:O21" si="9">8*4*$R$9</f>
        <v>20512000</v>
      </c>
      <c r="F21" s="151">
        <f t="shared" si="9"/>
        <v>20512000</v>
      </c>
      <c r="G21" s="151">
        <f t="shared" si="9"/>
        <v>20512000</v>
      </c>
      <c r="H21" s="151">
        <f t="shared" si="9"/>
        <v>20512000</v>
      </c>
      <c r="I21" s="151">
        <f t="shared" si="9"/>
        <v>20512000</v>
      </c>
      <c r="J21" s="151">
        <f t="shared" si="9"/>
        <v>20512000</v>
      </c>
      <c r="K21" s="151">
        <f t="shared" si="9"/>
        <v>20512000</v>
      </c>
      <c r="L21" s="151">
        <f t="shared" si="9"/>
        <v>20512000</v>
      </c>
      <c r="M21" s="151">
        <f t="shared" si="9"/>
        <v>20512000</v>
      </c>
      <c r="N21" s="151">
        <f t="shared" si="9"/>
        <v>20512000</v>
      </c>
      <c r="O21" s="151">
        <f t="shared" si="9"/>
        <v>20512000</v>
      </c>
      <c r="P21" s="1035"/>
    </row>
    <row r="22" spans="2:16" x14ac:dyDescent="0.25">
      <c r="B22" s="1022"/>
      <c r="C22" s="1012" t="s">
        <v>170</v>
      </c>
      <c r="D22" s="1014"/>
      <c r="E22" s="151">
        <f t="shared" ref="E22:O22" si="10">$P$10-E21</f>
        <v>83971001</v>
      </c>
      <c r="F22" s="151">
        <f t="shared" si="10"/>
        <v>83971001</v>
      </c>
      <c r="G22" s="151">
        <f t="shared" si="10"/>
        <v>83971001</v>
      </c>
      <c r="H22" s="151">
        <f t="shared" si="10"/>
        <v>83971001</v>
      </c>
      <c r="I22" s="151">
        <f t="shared" si="10"/>
        <v>83971001</v>
      </c>
      <c r="J22" s="151">
        <f t="shared" si="10"/>
        <v>83971001</v>
      </c>
      <c r="K22" s="151">
        <f t="shared" si="10"/>
        <v>83971001</v>
      </c>
      <c r="L22" s="151">
        <f t="shared" si="10"/>
        <v>83971001</v>
      </c>
      <c r="M22" s="151">
        <f t="shared" si="10"/>
        <v>83971001</v>
      </c>
      <c r="N22" s="151">
        <f t="shared" si="10"/>
        <v>83971001</v>
      </c>
      <c r="O22" s="151">
        <f t="shared" si="10"/>
        <v>83971001</v>
      </c>
      <c r="P22" s="1035"/>
    </row>
    <row r="23" spans="2:16" x14ac:dyDescent="0.25">
      <c r="B23" s="1022"/>
      <c r="C23" s="1012" t="s">
        <v>171</v>
      </c>
      <c r="D23" s="1014"/>
      <c r="E23" s="151">
        <f t="shared" ref="E23:O23" si="11">E22*E9</f>
        <v>6997583.416666666</v>
      </c>
      <c r="F23" s="151">
        <f t="shared" si="11"/>
        <v>13995166.833333332</v>
      </c>
      <c r="G23" s="151">
        <f t="shared" si="11"/>
        <v>6997583.416666666</v>
      </c>
      <c r="H23" s="151">
        <f t="shared" si="11"/>
        <v>6997583.416666666</v>
      </c>
      <c r="I23" s="151">
        <f t="shared" si="11"/>
        <v>13995166.833333332</v>
      </c>
      <c r="J23" s="151">
        <f t="shared" si="11"/>
        <v>6997583.416666666</v>
      </c>
      <c r="K23" s="151">
        <f t="shared" si="11"/>
        <v>6997583.416666666</v>
      </c>
      <c r="L23" s="151">
        <f t="shared" si="11"/>
        <v>6997583.416666666</v>
      </c>
      <c r="M23" s="151">
        <f t="shared" si="11"/>
        <v>13995166.833333332</v>
      </c>
      <c r="N23" s="151">
        <f t="shared" si="11"/>
        <v>0</v>
      </c>
      <c r="O23" s="151">
        <f t="shared" si="11"/>
        <v>0</v>
      </c>
      <c r="P23" s="1036"/>
    </row>
    <row r="24" spans="2:16" x14ac:dyDescent="0.25">
      <c r="B24" s="1023"/>
      <c r="C24" s="1012" t="s">
        <v>160</v>
      </c>
      <c r="D24" s="1014"/>
      <c r="E24" s="160">
        <f t="shared" ref="E24:O24" si="12">E20*E23</f>
        <v>699758.34166666667</v>
      </c>
      <c r="F24" s="160">
        <f t="shared" si="12"/>
        <v>1399516.6833333333</v>
      </c>
      <c r="G24" s="160">
        <f t="shared" si="12"/>
        <v>699758.34166666667</v>
      </c>
      <c r="H24" s="160">
        <f t="shared" si="12"/>
        <v>699758.34166666667</v>
      </c>
      <c r="I24" s="160">
        <f t="shared" si="12"/>
        <v>1399516.6833333333</v>
      </c>
      <c r="J24" s="160">
        <f t="shared" si="12"/>
        <v>699758.34166666667</v>
      </c>
      <c r="K24" s="160">
        <f t="shared" si="12"/>
        <v>699758.34166666667</v>
      </c>
      <c r="L24" s="160">
        <f t="shared" si="12"/>
        <v>699758.34166666667</v>
      </c>
      <c r="M24" s="160">
        <f t="shared" si="12"/>
        <v>1399516.6833333333</v>
      </c>
      <c r="N24" s="160">
        <f t="shared" si="12"/>
        <v>0</v>
      </c>
      <c r="O24" s="160">
        <f t="shared" si="12"/>
        <v>0</v>
      </c>
      <c r="P24" s="152">
        <f>SUM(E24:O24)</f>
        <v>8397100.0999999996</v>
      </c>
    </row>
    <row r="25" spans="2:16" x14ac:dyDescent="0.25">
      <c r="B25" s="1009" t="s">
        <v>198</v>
      </c>
      <c r="C25" s="1010"/>
      <c r="D25" s="1011"/>
      <c r="E25" s="160">
        <f>E19+E24</f>
        <v>2750958.3416666668</v>
      </c>
      <c r="F25" s="160">
        <f t="shared" ref="F25:O25" si="13">F19+F24</f>
        <v>1399516.6833333333</v>
      </c>
      <c r="G25" s="160">
        <f t="shared" si="13"/>
        <v>699758.34166666667</v>
      </c>
      <c r="H25" s="160">
        <f t="shared" si="13"/>
        <v>699758.34166666667</v>
      </c>
      <c r="I25" s="160">
        <f t="shared" si="13"/>
        <v>1399516.6833333333</v>
      </c>
      <c r="J25" s="160">
        <f t="shared" si="13"/>
        <v>699758.34166666667</v>
      </c>
      <c r="K25" s="160">
        <f t="shared" si="13"/>
        <v>699758.34166666667</v>
      </c>
      <c r="L25" s="160">
        <f t="shared" si="13"/>
        <v>699758.34166666667</v>
      </c>
      <c r="M25" s="160">
        <f t="shared" si="13"/>
        <v>1399516.6833333333</v>
      </c>
      <c r="N25" s="160">
        <f t="shared" si="13"/>
        <v>0</v>
      </c>
      <c r="O25" s="160">
        <f t="shared" si="13"/>
        <v>0</v>
      </c>
      <c r="P25" s="152">
        <f>SUM(E25:O25)</f>
        <v>10448300.100000001</v>
      </c>
    </row>
    <row r="26" spans="2:16" x14ac:dyDescent="0.25">
      <c r="B26" s="1024" t="s">
        <v>172</v>
      </c>
      <c r="C26" s="1012" t="s">
        <v>164</v>
      </c>
      <c r="D26" s="1014"/>
      <c r="E26" s="155">
        <v>0.05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1.4999999999999999E-2</v>
      </c>
      <c r="O26" s="186">
        <v>7.4999999999999997E-3</v>
      </c>
      <c r="P26" s="1034"/>
    </row>
    <row r="27" spans="2:16" x14ac:dyDescent="0.25">
      <c r="B27" s="1025"/>
      <c r="C27" s="1012" t="s">
        <v>173</v>
      </c>
      <c r="D27" s="1014"/>
      <c r="E27" s="156">
        <f t="shared" ref="E27:O27" si="14">$P$10</f>
        <v>104483001</v>
      </c>
      <c r="F27" s="156">
        <f t="shared" si="14"/>
        <v>104483001</v>
      </c>
      <c r="G27" s="156">
        <f t="shared" si="14"/>
        <v>104483001</v>
      </c>
      <c r="H27" s="156">
        <f t="shared" si="14"/>
        <v>104483001</v>
      </c>
      <c r="I27" s="156">
        <f t="shared" si="14"/>
        <v>104483001</v>
      </c>
      <c r="J27" s="156">
        <f t="shared" si="14"/>
        <v>104483001</v>
      </c>
      <c r="K27" s="156">
        <f t="shared" si="14"/>
        <v>104483001</v>
      </c>
      <c r="L27" s="156">
        <f t="shared" si="14"/>
        <v>104483001</v>
      </c>
      <c r="M27" s="156">
        <f t="shared" si="14"/>
        <v>104483001</v>
      </c>
      <c r="N27" s="156">
        <f t="shared" si="14"/>
        <v>104483001</v>
      </c>
      <c r="O27" s="156">
        <f t="shared" si="14"/>
        <v>104483001</v>
      </c>
      <c r="P27" s="1036"/>
    </row>
    <row r="28" spans="2:16" ht="12.5" customHeight="1" x14ac:dyDescent="0.25">
      <c r="B28" s="1026"/>
      <c r="C28" s="1012" t="s">
        <v>160</v>
      </c>
      <c r="D28" s="1014"/>
      <c r="E28" s="161">
        <f t="shared" ref="E28:O28" si="15">E26*E27</f>
        <v>5224150.0500000007</v>
      </c>
      <c r="F28" s="161">
        <f t="shared" si="15"/>
        <v>0</v>
      </c>
      <c r="G28" s="161">
        <f t="shared" si="15"/>
        <v>0</v>
      </c>
      <c r="H28" s="161">
        <f t="shared" si="15"/>
        <v>0</v>
      </c>
      <c r="I28" s="161">
        <f t="shared" si="15"/>
        <v>0</v>
      </c>
      <c r="J28" s="161">
        <f t="shared" si="15"/>
        <v>0</v>
      </c>
      <c r="K28" s="161">
        <f t="shared" si="15"/>
        <v>0</v>
      </c>
      <c r="L28" s="161">
        <f t="shared" si="15"/>
        <v>0</v>
      </c>
      <c r="M28" s="161">
        <f t="shared" si="15"/>
        <v>0</v>
      </c>
      <c r="N28" s="161">
        <f t="shared" si="15"/>
        <v>1567245.0149999999</v>
      </c>
      <c r="O28" s="161">
        <f t="shared" si="15"/>
        <v>783622.50749999995</v>
      </c>
      <c r="P28" s="152">
        <f>SUM(E28:O28)</f>
        <v>7575017.5725000007</v>
      </c>
    </row>
    <row r="29" spans="2:16" x14ac:dyDescent="0.25">
      <c r="B29" s="1039" t="s">
        <v>161</v>
      </c>
      <c r="C29" s="1040"/>
      <c r="D29" s="1041"/>
      <c r="E29" s="160">
        <f>E17+E25+E28</f>
        <v>8845800.3916666675</v>
      </c>
      <c r="F29" s="160">
        <f t="shared" ref="F29:O29" si="16">F17+F25+F28</f>
        <v>3600283.6833333336</v>
      </c>
      <c r="G29" s="160">
        <f t="shared" si="16"/>
        <v>1570450.3416666668</v>
      </c>
      <c r="H29" s="160">
        <f t="shared" si="16"/>
        <v>1570450.3416666668</v>
      </c>
      <c r="I29" s="160">
        <f t="shared" si="16"/>
        <v>3600283.6833333336</v>
      </c>
      <c r="J29" s="160">
        <f t="shared" si="16"/>
        <v>1570450.3416666668</v>
      </c>
      <c r="K29" s="160">
        <f t="shared" si="16"/>
        <v>1570450.3416666668</v>
      </c>
      <c r="L29" s="160">
        <f t="shared" si="16"/>
        <v>1570450.3416666668</v>
      </c>
      <c r="M29" s="160">
        <f t="shared" si="16"/>
        <v>3600283.6833333336</v>
      </c>
      <c r="N29" s="160">
        <f t="shared" si="16"/>
        <v>1567245.0149999999</v>
      </c>
      <c r="O29" s="160">
        <f t="shared" si="16"/>
        <v>783622.50749999995</v>
      </c>
      <c r="P29" s="152">
        <f>SUM(E29:O29)</f>
        <v>29849770.672500011</v>
      </c>
    </row>
    <row r="30" spans="2:16" ht="12.5" customHeight="1" x14ac:dyDescent="0.25">
      <c r="B30" s="1015" t="s">
        <v>205</v>
      </c>
      <c r="C30" s="1012" t="s">
        <v>237</v>
      </c>
      <c r="D30" s="1014"/>
      <c r="E30" s="158">
        <f>VLOOKUP("Subtotal prestaciones sociales",Factor!$B$6:$F$25,IF(E$7="Laboral",3,5),0)</f>
        <v>0.17666666666666667</v>
      </c>
      <c r="F30" s="158">
        <f>VLOOKUP("Subtotal prestaciones sociales",Factor!$B$6:$F$25,IF(F$7="Laboral",3,5),0)</f>
        <v>0.17666666666666667</v>
      </c>
      <c r="G30" s="158">
        <f>VLOOKUP("Subtotal prestaciones sociales",Factor!$B$6:$F$25,IF(G$7="Laboral",3,5),0)</f>
        <v>0.17666666666666667</v>
      </c>
      <c r="H30" s="158">
        <f>VLOOKUP("Subtotal prestaciones sociales",Factor!$B$6:$F$25,IF(H$7="Laboral",3,5),0)</f>
        <v>0.17666666666666667</v>
      </c>
      <c r="I30" s="158">
        <f>VLOOKUP("Subtotal prestaciones sociales",Factor!$B$6:$F$25,IF(I$7="Laboral",3,5),0)</f>
        <v>0.17666666666666667</v>
      </c>
      <c r="J30" s="158">
        <f>VLOOKUP("Subtotal prestaciones sociales",Factor!$B$6:$F$25,IF(J$7="Laboral",3,5),0)</f>
        <v>0.17666666666666667</v>
      </c>
      <c r="K30" s="158">
        <f>VLOOKUP("Subtotal prestaciones sociales",Factor!$B$6:$F$25,IF(K$7="Laboral",3,5),0)</f>
        <v>0.17666666666666667</v>
      </c>
      <c r="L30" s="158">
        <f>VLOOKUP("Subtotal prestaciones sociales",Factor!$B$6:$F$25,IF(L$7="Laboral",3,5),0)</f>
        <v>0.17666666666666667</v>
      </c>
      <c r="M30" s="158">
        <f>VLOOKUP("Subtotal prestaciones sociales",Factor!$B$6:$F$25,IF(M$7="Laboral",3,5),0)</f>
        <v>0.17666666666666667</v>
      </c>
      <c r="N30" s="158">
        <f>VLOOKUP("Subtotal prestaciones sociales",Factor!$B$6:$F$25,IF(N$7="Laboral",3,5),0)</f>
        <v>0.17666666666666667</v>
      </c>
      <c r="O30" s="158">
        <f>VLOOKUP("Subtotal prestaciones sociales",Factor!$B$6:$F$25,IF(O$7="Laboral",3,5),0)</f>
        <v>0.17666666666666667</v>
      </c>
      <c r="P30" s="152"/>
    </row>
    <row r="31" spans="2:16" ht="12.5" customHeight="1" x14ac:dyDescent="0.25">
      <c r="B31" s="1016"/>
      <c r="C31" s="1012" t="s">
        <v>238</v>
      </c>
      <c r="D31" s="1014"/>
      <c r="E31" s="158">
        <f>IF(E$7="Laboral",0,VLOOKUP("Subtotal seguridad social",Factor!$B$6:$F$25,5))</f>
        <v>0</v>
      </c>
      <c r="F31" s="158">
        <f>IF(F$7="Laboral",0,VLOOKUP("Subtotal seguridad social",Factor!$B$6:$F$25,5))</f>
        <v>0</v>
      </c>
      <c r="G31" s="158">
        <f>IF(G$7="Laboral",0,VLOOKUP("Subtotal seguridad social",Factor!$B$6:$F$25,5))</f>
        <v>0.21500000000000002</v>
      </c>
      <c r="H31" s="158">
        <f>IF(H$7="Laboral",0,VLOOKUP("Subtotal seguridad social",Factor!$B$6:$F$25,5))</f>
        <v>0.21500000000000002</v>
      </c>
      <c r="I31" s="158">
        <f>IF(I$7="Laboral",0,VLOOKUP("Subtotal seguridad social",Factor!$B$6:$F$25,5))</f>
        <v>0</v>
      </c>
      <c r="J31" s="158">
        <f>IF(J$7="Laboral",0,VLOOKUP("Subtotal seguridad social",Factor!$B$6:$F$25,5))</f>
        <v>0.21500000000000002</v>
      </c>
      <c r="K31" s="158">
        <f>IF(K$7="Laboral",0,VLOOKUP("Subtotal seguridad social",Factor!$B$6:$F$25,5))</f>
        <v>0.21500000000000002</v>
      </c>
      <c r="L31" s="158">
        <f>IF(L$7="Laboral",0,VLOOKUP("Subtotal seguridad social",Factor!$B$6:$F$25,5))</f>
        <v>0.21500000000000002</v>
      </c>
      <c r="M31" s="158">
        <f>IF(M$7="Laboral",0,VLOOKUP("Subtotal seguridad social",Factor!$B$6:$F$25,5))</f>
        <v>0</v>
      </c>
      <c r="N31" s="158">
        <f>IF(N$7="Laboral",0,VLOOKUP("Subtotal seguridad social",Factor!$B$6:$F$25,5))</f>
        <v>0</v>
      </c>
      <c r="O31" s="158">
        <f>IF(O$7="Laboral",0,VLOOKUP("Subtotal seguridad social",Factor!$B$6:$F$25,5))</f>
        <v>0</v>
      </c>
      <c r="P31" s="152"/>
    </row>
    <row r="32" spans="2:16" ht="12.5" customHeight="1" x14ac:dyDescent="0.25">
      <c r="B32" s="1017"/>
      <c r="C32" s="1012" t="s">
        <v>239</v>
      </c>
      <c r="D32" s="1014"/>
      <c r="E32" s="158">
        <f>SUM(E30:E31)</f>
        <v>0.17666666666666667</v>
      </c>
      <c r="F32" s="158">
        <f t="shared" ref="F32:O32" si="17">SUM(F30:F31)</f>
        <v>0.17666666666666667</v>
      </c>
      <c r="G32" s="158">
        <f t="shared" si="17"/>
        <v>0.39166666666666672</v>
      </c>
      <c r="H32" s="158">
        <f t="shared" si="17"/>
        <v>0.39166666666666672</v>
      </c>
      <c r="I32" s="158">
        <f t="shared" si="17"/>
        <v>0.17666666666666667</v>
      </c>
      <c r="J32" s="158">
        <f t="shared" si="17"/>
        <v>0.39166666666666672</v>
      </c>
      <c r="K32" s="158">
        <f t="shared" si="17"/>
        <v>0.39166666666666672</v>
      </c>
      <c r="L32" s="158">
        <f t="shared" si="17"/>
        <v>0.39166666666666672</v>
      </c>
      <c r="M32" s="158">
        <f t="shared" si="17"/>
        <v>0.17666666666666667</v>
      </c>
      <c r="N32" s="158">
        <f t="shared" si="17"/>
        <v>0.17666666666666667</v>
      </c>
      <c r="O32" s="158">
        <f t="shared" si="17"/>
        <v>0.17666666666666667</v>
      </c>
      <c r="P32" s="149"/>
    </row>
    <row r="33" spans="2:16" ht="13" thickBot="1" x14ac:dyDescent="0.3">
      <c r="B33" s="1031" t="s">
        <v>174</v>
      </c>
      <c r="C33" s="1032"/>
      <c r="D33" s="1033"/>
      <c r="E33" s="162">
        <f>ROUND(E29*(1+E32),1)</f>
        <v>10408558.5</v>
      </c>
      <c r="F33" s="162">
        <f t="shared" ref="F33:O33" si="18">ROUND(F29*(1+F32),1)</f>
        <v>4236333.8</v>
      </c>
      <c r="G33" s="162">
        <f t="shared" si="18"/>
        <v>2185543.4</v>
      </c>
      <c r="H33" s="162">
        <f t="shared" si="18"/>
        <v>2185543.4</v>
      </c>
      <c r="I33" s="162">
        <f t="shared" si="18"/>
        <v>4236333.8</v>
      </c>
      <c r="J33" s="162">
        <f t="shared" si="18"/>
        <v>2185543.4</v>
      </c>
      <c r="K33" s="162">
        <f t="shared" si="18"/>
        <v>2185543.4</v>
      </c>
      <c r="L33" s="162">
        <f t="shared" si="18"/>
        <v>2185543.4</v>
      </c>
      <c r="M33" s="162">
        <f t="shared" si="18"/>
        <v>4236333.8</v>
      </c>
      <c r="N33" s="162">
        <f t="shared" si="18"/>
        <v>1844125</v>
      </c>
      <c r="O33" s="162">
        <f t="shared" si="18"/>
        <v>922062.5</v>
      </c>
      <c r="P33" s="159">
        <f>SUM(E33:O33)</f>
        <v>36811464.399999991</v>
      </c>
    </row>
  </sheetData>
  <mergeCells count="36">
    <mergeCell ref="B33:D33"/>
    <mergeCell ref="P11:P13"/>
    <mergeCell ref="P20:P23"/>
    <mergeCell ref="P26:P27"/>
    <mergeCell ref="C26:D26"/>
    <mergeCell ref="C27:D27"/>
    <mergeCell ref="C28:D28"/>
    <mergeCell ref="C18:D18"/>
    <mergeCell ref="C19:D19"/>
    <mergeCell ref="B29:D29"/>
    <mergeCell ref="C14:D14"/>
    <mergeCell ref="C20:D20"/>
    <mergeCell ref="C21:D21"/>
    <mergeCell ref="C22:D22"/>
    <mergeCell ref="C23:D23"/>
    <mergeCell ref="B4:P4"/>
    <mergeCell ref="B6:D6"/>
    <mergeCell ref="B7:D7"/>
    <mergeCell ref="B8:D8"/>
    <mergeCell ref="B9:D9"/>
    <mergeCell ref="B10:D10"/>
    <mergeCell ref="B17:D17"/>
    <mergeCell ref="C15:D15"/>
    <mergeCell ref="C16:D16"/>
    <mergeCell ref="B30:B32"/>
    <mergeCell ref="C30:D30"/>
    <mergeCell ref="C31:D31"/>
    <mergeCell ref="C32:D32"/>
    <mergeCell ref="C24:D24"/>
    <mergeCell ref="B15:B16"/>
    <mergeCell ref="B11:B14"/>
    <mergeCell ref="B20:B24"/>
    <mergeCell ref="B26:B28"/>
    <mergeCell ref="B25:D25"/>
    <mergeCell ref="B18:B19"/>
    <mergeCell ref="C12:C13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FF"/>
  </sheetPr>
  <dimension ref="A2:D76"/>
  <sheetViews>
    <sheetView tabSelected="1" workbookViewId="0">
      <pane xSplit="1" ySplit="7" topLeftCell="B8" activePane="bottomRight" state="frozen"/>
      <selection activeCell="H18" sqref="H18"/>
      <selection pane="topRight" activeCell="H18" sqref="H18"/>
      <selection pane="bottomLeft" activeCell="H18" sqref="H18"/>
      <selection pane="bottomRight" activeCell="B8" sqref="B8"/>
    </sheetView>
  </sheetViews>
  <sheetFormatPr baseColWidth="10" defaultRowHeight="14.5" x14ac:dyDescent="0.35"/>
  <cols>
    <col min="2" max="2" width="19.81640625" bestFit="1" customWidth="1"/>
    <col min="3" max="3" width="53.81640625" bestFit="1" customWidth="1"/>
    <col min="4" max="4" width="23.453125" bestFit="1" customWidth="1"/>
  </cols>
  <sheetData>
    <row r="2" spans="1:4" ht="26" x14ac:dyDescent="0.6">
      <c r="B2" s="842" t="s">
        <v>789</v>
      </c>
      <c r="C2" s="842"/>
      <c r="D2" s="842"/>
    </row>
    <row r="4" spans="1:4" x14ac:dyDescent="0.35">
      <c r="B4" s="843" t="s">
        <v>790</v>
      </c>
      <c r="C4" s="843"/>
      <c r="D4" s="843"/>
    </row>
    <row r="6" spans="1:4" x14ac:dyDescent="0.35">
      <c r="A6" s="241" t="s">
        <v>897</v>
      </c>
      <c r="B6" s="241" t="s">
        <v>726</v>
      </c>
      <c r="C6" s="241" t="s">
        <v>727</v>
      </c>
      <c r="D6" s="241" t="s">
        <v>728</v>
      </c>
    </row>
    <row r="8" spans="1:4" x14ac:dyDescent="0.35">
      <c r="A8" s="491">
        <v>1</v>
      </c>
      <c r="B8" s="638" t="s">
        <v>876</v>
      </c>
      <c r="C8" s="491" t="s">
        <v>876</v>
      </c>
      <c r="D8" s="492" t="s">
        <v>881</v>
      </c>
    </row>
    <row r="9" spans="1:4" x14ac:dyDescent="0.35">
      <c r="A9" s="491">
        <v>2</v>
      </c>
      <c r="B9" s="638" t="s">
        <v>408</v>
      </c>
      <c r="C9" s="491" t="s">
        <v>739</v>
      </c>
      <c r="D9" s="492" t="s">
        <v>450</v>
      </c>
    </row>
    <row r="10" spans="1:4" x14ac:dyDescent="0.35">
      <c r="A10" s="491">
        <v>3</v>
      </c>
      <c r="B10" s="638" t="s">
        <v>877</v>
      </c>
      <c r="C10" s="491" t="s">
        <v>879</v>
      </c>
      <c r="D10" s="492" t="s">
        <v>882</v>
      </c>
    </row>
    <row r="11" spans="1:4" x14ac:dyDescent="0.35">
      <c r="A11" s="491">
        <v>4</v>
      </c>
      <c r="B11" s="638" t="s">
        <v>878</v>
      </c>
      <c r="C11" s="491" t="s">
        <v>880</v>
      </c>
      <c r="D11" s="493" t="s">
        <v>883</v>
      </c>
    </row>
    <row r="12" spans="1:4" x14ac:dyDescent="0.35">
      <c r="A12" s="491">
        <v>5</v>
      </c>
      <c r="B12" s="490" t="s">
        <v>711</v>
      </c>
      <c r="C12" s="491" t="s">
        <v>740</v>
      </c>
      <c r="D12" s="493" t="s">
        <v>712</v>
      </c>
    </row>
    <row r="13" spans="1:4" x14ac:dyDescent="0.35">
      <c r="A13" s="491">
        <v>6</v>
      </c>
      <c r="B13" s="490" t="s">
        <v>713</v>
      </c>
      <c r="C13" s="491" t="s">
        <v>741</v>
      </c>
      <c r="D13" s="493" t="s">
        <v>714</v>
      </c>
    </row>
    <row r="14" spans="1:4" x14ac:dyDescent="0.35">
      <c r="A14" s="491">
        <v>7</v>
      </c>
      <c r="B14" s="490" t="s">
        <v>715</v>
      </c>
      <c r="C14" s="491" t="s">
        <v>742</v>
      </c>
      <c r="D14" s="493" t="s">
        <v>719</v>
      </c>
    </row>
    <row r="15" spans="1:4" x14ac:dyDescent="0.35">
      <c r="A15" s="491">
        <v>8</v>
      </c>
      <c r="B15" s="490" t="s">
        <v>716</v>
      </c>
      <c r="C15" s="491" t="s">
        <v>743</v>
      </c>
      <c r="D15" s="493" t="s">
        <v>720</v>
      </c>
    </row>
    <row r="16" spans="1:4" x14ac:dyDescent="0.35">
      <c r="A16" s="491">
        <v>9</v>
      </c>
      <c r="B16" s="490" t="s">
        <v>717</v>
      </c>
      <c r="C16" s="491" t="s">
        <v>744</v>
      </c>
      <c r="D16" s="493" t="s">
        <v>721</v>
      </c>
    </row>
    <row r="17" spans="1:4" x14ac:dyDescent="0.35">
      <c r="A17" s="491">
        <v>10</v>
      </c>
      <c r="B17" s="490" t="s">
        <v>718</v>
      </c>
      <c r="C17" s="491" t="s">
        <v>745</v>
      </c>
      <c r="D17" s="493" t="s">
        <v>722</v>
      </c>
    </row>
    <row r="18" spans="1:4" x14ac:dyDescent="0.35">
      <c r="A18" s="491">
        <v>11</v>
      </c>
      <c r="B18" s="490" t="s">
        <v>846</v>
      </c>
      <c r="C18" s="491" t="s">
        <v>847</v>
      </c>
      <c r="D18" s="493" t="s">
        <v>848</v>
      </c>
    </row>
    <row r="19" spans="1:4" x14ac:dyDescent="0.35">
      <c r="A19" s="491">
        <v>12</v>
      </c>
      <c r="B19" s="490" t="s">
        <v>849</v>
      </c>
      <c r="C19" s="491" t="s">
        <v>850</v>
      </c>
      <c r="D19" s="493" t="s">
        <v>851</v>
      </c>
    </row>
    <row r="20" spans="1:4" x14ac:dyDescent="0.35">
      <c r="A20" s="491">
        <v>13</v>
      </c>
      <c r="B20" s="494" t="s">
        <v>701</v>
      </c>
      <c r="C20" s="491" t="s">
        <v>729</v>
      </c>
      <c r="D20" s="493" t="s">
        <v>705</v>
      </c>
    </row>
    <row r="21" spans="1:4" x14ac:dyDescent="0.35">
      <c r="A21" s="491">
        <v>14</v>
      </c>
      <c r="B21" s="494" t="s">
        <v>702</v>
      </c>
      <c r="C21" s="491" t="s">
        <v>730</v>
      </c>
      <c r="D21" s="493" t="s">
        <v>706</v>
      </c>
    </row>
    <row r="22" spans="1:4" x14ac:dyDescent="0.35">
      <c r="A22" s="491">
        <v>15</v>
      </c>
      <c r="B22" s="494" t="s">
        <v>443</v>
      </c>
      <c r="C22" s="491" t="s">
        <v>731</v>
      </c>
      <c r="D22" s="492" t="s">
        <v>483</v>
      </c>
    </row>
    <row r="23" spans="1:4" x14ac:dyDescent="0.35">
      <c r="A23" s="491">
        <v>16</v>
      </c>
      <c r="B23" s="494" t="s">
        <v>703</v>
      </c>
      <c r="C23" s="491" t="s">
        <v>732</v>
      </c>
      <c r="D23" s="493" t="s">
        <v>707</v>
      </c>
    </row>
    <row r="24" spans="1:4" x14ac:dyDescent="0.35">
      <c r="A24" s="491">
        <v>17</v>
      </c>
      <c r="B24" s="494" t="s">
        <v>698</v>
      </c>
      <c r="C24" s="491" t="s">
        <v>733</v>
      </c>
      <c r="D24" s="493" t="s">
        <v>708</v>
      </c>
    </row>
    <row r="25" spans="1:4" x14ac:dyDescent="0.35">
      <c r="A25" s="491">
        <v>18</v>
      </c>
      <c r="B25" s="494" t="s">
        <v>890</v>
      </c>
      <c r="C25" s="491" t="s">
        <v>892</v>
      </c>
      <c r="D25" s="493" t="s">
        <v>894</v>
      </c>
    </row>
    <row r="26" spans="1:4" x14ac:dyDescent="0.35">
      <c r="A26" s="491">
        <v>19</v>
      </c>
      <c r="B26" s="494" t="s">
        <v>891</v>
      </c>
      <c r="C26" s="491" t="s">
        <v>893</v>
      </c>
      <c r="D26" s="493" t="s">
        <v>895</v>
      </c>
    </row>
    <row r="27" spans="1:4" x14ac:dyDescent="0.35">
      <c r="A27" s="491">
        <v>20</v>
      </c>
      <c r="B27" s="494" t="s">
        <v>913</v>
      </c>
      <c r="C27" s="491" t="s">
        <v>914</v>
      </c>
      <c r="D27" s="493" t="s">
        <v>915</v>
      </c>
    </row>
    <row r="28" spans="1:4" x14ac:dyDescent="0.35">
      <c r="A28" s="491">
        <v>21</v>
      </c>
      <c r="B28" s="495" t="s">
        <v>407</v>
      </c>
      <c r="C28" s="491" t="s">
        <v>494</v>
      </c>
      <c r="D28" s="493" t="s">
        <v>446</v>
      </c>
    </row>
    <row r="29" spans="1:4" x14ac:dyDescent="0.35">
      <c r="A29" s="491">
        <v>22</v>
      </c>
      <c r="B29" s="495" t="s">
        <v>444</v>
      </c>
      <c r="C29" s="491" t="s">
        <v>736</v>
      </c>
      <c r="D29" s="493" t="s">
        <v>448</v>
      </c>
    </row>
    <row r="30" spans="1:4" x14ac:dyDescent="0.35">
      <c r="A30" s="491">
        <v>23</v>
      </c>
      <c r="B30" s="495" t="s">
        <v>409</v>
      </c>
      <c r="C30" s="491" t="s">
        <v>735</v>
      </c>
      <c r="D30" s="493" t="s">
        <v>447</v>
      </c>
    </row>
    <row r="31" spans="1:4" x14ac:dyDescent="0.35">
      <c r="A31" s="491">
        <v>24</v>
      </c>
      <c r="B31" s="495" t="s">
        <v>445</v>
      </c>
      <c r="C31" s="491" t="s">
        <v>737</v>
      </c>
      <c r="D31" s="493" t="s">
        <v>449</v>
      </c>
    </row>
    <row r="32" spans="1:4" x14ac:dyDescent="0.35">
      <c r="A32" s="491">
        <v>25</v>
      </c>
      <c r="B32" s="495" t="s">
        <v>709</v>
      </c>
      <c r="C32" s="491" t="s">
        <v>738</v>
      </c>
      <c r="D32" s="493" t="s">
        <v>710</v>
      </c>
    </row>
    <row r="33" spans="1:4" x14ac:dyDescent="0.35">
      <c r="A33" s="491">
        <v>26</v>
      </c>
      <c r="B33" s="496" t="s">
        <v>704</v>
      </c>
      <c r="C33" s="491" t="s">
        <v>746</v>
      </c>
      <c r="D33" s="492" t="s">
        <v>723</v>
      </c>
    </row>
    <row r="34" spans="1:4" x14ac:dyDescent="0.35">
      <c r="A34" s="491">
        <v>27</v>
      </c>
      <c r="B34" s="496" t="s">
        <v>410</v>
      </c>
      <c r="C34" s="491" t="s">
        <v>154</v>
      </c>
      <c r="D34" s="493" t="s">
        <v>451</v>
      </c>
    </row>
    <row r="35" spans="1:4" x14ac:dyDescent="0.35">
      <c r="A35" s="491">
        <v>28</v>
      </c>
      <c r="B35" s="496" t="s">
        <v>411</v>
      </c>
      <c r="C35" s="491" t="s">
        <v>747</v>
      </c>
      <c r="D35" s="493" t="s">
        <v>452</v>
      </c>
    </row>
    <row r="36" spans="1:4" x14ac:dyDescent="0.35">
      <c r="A36" s="491">
        <v>29</v>
      </c>
      <c r="B36" s="496" t="s">
        <v>724</v>
      </c>
      <c r="C36" s="491" t="s">
        <v>748</v>
      </c>
      <c r="D36" s="493" t="s">
        <v>725</v>
      </c>
    </row>
    <row r="37" spans="1:4" x14ac:dyDescent="0.35">
      <c r="A37" s="491">
        <v>30</v>
      </c>
      <c r="B37" s="496" t="s">
        <v>412</v>
      </c>
      <c r="C37" s="491" t="s">
        <v>749</v>
      </c>
      <c r="D37" s="493" t="s">
        <v>453</v>
      </c>
    </row>
    <row r="38" spans="1:4" x14ac:dyDescent="0.35">
      <c r="A38" s="491">
        <v>31</v>
      </c>
      <c r="B38" s="497" t="s">
        <v>413</v>
      </c>
      <c r="C38" s="491" t="s">
        <v>750</v>
      </c>
      <c r="D38" s="493" t="s">
        <v>454</v>
      </c>
    </row>
    <row r="39" spans="1:4" x14ac:dyDescent="0.35">
      <c r="A39" s="491">
        <v>32</v>
      </c>
      <c r="B39" s="497" t="s">
        <v>414</v>
      </c>
      <c r="C39" s="491" t="s">
        <v>751</v>
      </c>
      <c r="D39" s="493" t="s">
        <v>455</v>
      </c>
    </row>
    <row r="40" spans="1:4" x14ac:dyDescent="0.35">
      <c r="A40" s="491">
        <v>33</v>
      </c>
      <c r="B40" s="498" t="s">
        <v>415</v>
      </c>
      <c r="C40" s="491" t="s">
        <v>752</v>
      </c>
      <c r="D40" s="492" t="s">
        <v>456</v>
      </c>
    </row>
    <row r="41" spans="1:4" x14ac:dyDescent="0.35">
      <c r="A41" s="491">
        <v>34</v>
      </c>
      <c r="B41" s="498" t="s">
        <v>416</v>
      </c>
      <c r="C41" s="491" t="s">
        <v>753</v>
      </c>
      <c r="D41" s="493" t="s">
        <v>457</v>
      </c>
    </row>
    <row r="42" spans="1:4" x14ac:dyDescent="0.35">
      <c r="A42" s="491">
        <v>35</v>
      </c>
      <c r="B42" s="498" t="s">
        <v>417</v>
      </c>
      <c r="C42" s="491" t="s">
        <v>754</v>
      </c>
      <c r="D42" s="493" t="s">
        <v>458</v>
      </c>
    </row>
    <row r="43" spans="1:4" x14ac:dyDescent="0.35">
      <c r="A43" s="491">
        <v>36</v>
      </c>
      <c r="B43" s="498" t="s">
        <v>418</v>
      </c>
      <c r="C43" s="491" t="s">
        <v>755</v>
      </c>
      <c r="D43" s="493" t="s">
        <v>459</v>
      </c>
    </row>
    <row r="44" spans="1:4" x14ac:dyDescent="0.35">
      <c r="A44" s="491">
        <v>37</v>
      </c>
      <c r="B44" s="498" t="s">
        <v>419</v>
      </c>
      <c r="C44" s="491" t="s">
        <v>756</v>
      </c>
      <c r="D44" s="493" t="s">
        <v>896</v>
      </c>
    </row>
    <row r="45" spans="1:4" x14ac:dyDescent="0.35">
      <c r="A45" s="491">
        <v>38</v>
      </c>
      <c r="B45" s="499" t="s">
        <v>420</v>
      </c>
      <c r="C45" s="491" t="s">
        <v>757</v>
      </c>
      <c r="D45" s="493" t="s">
        <v>461</v>
      </c>
    </row>
    <row r="46" spans="1:4" x14ac:dyDescent="0.35">
      <c r="A46" s="491">
        <v>39</v>
      </c>
      <c r="B46" s="499" t="s">
        <v>421</v>
      </c>
      <c r="C46" s="491" t="s">
        <v>758</v>
      </c>
      <c r="D46" s="493" t="s">
        <v>460</v>
      </c>
    </row>
    <row r="47" spans="1:4" x14ac:dyDescent="0.35">
      <c r="A47" s="491">
        <v>40</v>
      </c>
      <c r="B47" s="499" t="s">
        <v>422</v>
      </c>
      <c r="C47" s="491" t="s">
        <v>759</v>
      </c>
      <c r="D47" s="492" t="s">
        <v>462</v>
      </c>
    </row>
    <row r="48" spans="1:4" x14ac:dyDescent="0.35">
      <c r="A48" s="491">
        <v>41</v>
      </c>
      <c r="B48" s="499" t="s">
        <v>423</v>
      </c>
      <c r="C48" s="491" t="s">
        <v>760</v>
      </c>
      <c r="D48" s="492" t="s">
        <v>463</v>
      </c>
    </row>
    <row r="49" spans="1:4" x14ac:dyDescent="0.35">
      <c r="A49" s="491">
        <v>42</v>
      </c>
      <c r="B49" s="499" t="s">
        <v>424</v>
      </c>
      <c r="C49" s="491" t="s">
        <v>761</v>
      </c>
      <c r="D49" s="493" t="s">
        <v>464</v>
      </c>
    </row>
    <row r="50" spans="1:4" x14ac:dyDescent="0.35">
      <c r="A50" s="491">
        <v>43</v>
      </c>
      <c r="B50" s="500" t="s">
        <v>425</v>
      </c>
      <c r="C50" s="491" t="s">
        <v>762</v>
      </c>
      <c r="D50" s="493" t="s">
        <v>465</v>
      </c>
    </row>
    <row r="51" spans="1:4" x14ac:dyDescent="0.35">
      <c r="A51" s="491">
        <v>44</v>
      </c>
      <c r="B51" s="500" t="s">
        <v>426</v>
      </c>
      <c r="C51" s="491" t="s">
        <v>763</v>
      </c>
      <c r="D51" s="493" t="s">
        <v>466</v>
      </c>
    </row>
    <row r="52" spans="1:4" x14ac:dyDescent="0.35">
      <c r="A52" s="491">
        <v>45</v>
      </c>
      <c r="B52" s="500" t="s">
        <v>427</v>
      </c>
      <c r="C52" s="491" t="s">
        <v>764</v>
      </c>
      <c r="D52" s="493" t="s">
        <v>467</v>
      </c>
    </row>
    <row r="53" spans="1:4" x14ac:dyDescent="0.35">
      <c r="A53" s="491">
        <v>46</v>
      </c>
      <c r="B53" s="500" t="s">
        <v>853</v>
      </c>
      <c r="C53" s="491" t="s">
        <v>854</v>
      </c>
      <c r="D53" s="493" t="s">
        <v>871</v>
      </c>
    </row>
    <row r="54" spans="1:4" x14ac:dyDescent="0.35">
      <c r="A54" s="491">
        <v>47</v>
      </c>
      <c r="B54" s="501" t="s">
        <v>428</v>
      </c>
      <c r="C54" s="491" t="s">
        <v>774</v>
      </c>
      <c r="D54" s="493" t="s">
        <v>468</v>
      </c>
    </row>
    <row r="55" spans="1:4" x14ac:dyDescent="0.35">
      <c r="A55" s="491">
        <v>48</v>
      </c>
      <c r="B55" s="501" t="s">
        <v>429</v>
      </c>
      <c r="C55" s="491" t="s">
        <v>775</v>
      </c>
      <c r="D55" s="493" t="s">
        <v>469</v>
      </c>
    </row>
    <row r="56" spans="1:4" x14ac:dyDescent="0.35">
      <c r="A56" s="491">
        <v>49</v>
      </c>
      <c r="B56" s="501" t="s">
        <v>430</v>
      </c>
      <c r="C56" s="491" t="s">
        <v>776</v>
      </c>
      <c r="D56" s="493" t="s">
        <v>470</v>
      </c>
    </row>
    <row r="57" spans="1:4" x14ac:dyDescent="0.35">
      <c r="A57" s="491">
        <v>50</v>
      </c>
      <c r="B57" s="501" t="s">
        <v>855</v>
      </c>
      <c r="C57" s="491" t="s">
        <v>856</v>
      </c>
      <c r="D57" s="493" t="s">
        <v>872</v>
      </c>
    </row>
    <row r="58" spans="1:4" x14ac:dyDescent="0.35">
      <c r="A58" s="491">
        <v>51</v>
      </c>
      <c r="B58" s="502" t="s">
        <v>431</v>
      </c>
      <c r="C58" s="491" t="s">
        <v>771</v>
      </c>
      <c r="D58" s="493" t="s">
        <v>471</v>
      </c>
    </row>
    <row r="59" spans="1:4" x14ac:dyDescent="0.35">
      <c r="A59" s="491">
        <v>52</v>
      </c>
      <c r="B59" s="502" t="s">
        <v>432</v>
      </c>
      <c r="C59" s="491" t="s">
        <v>772</v>
      </c>
      <c r="D59" s="493" t="s">
        <v>472</v>
      </c>
    </row>
    <row r="60" spans="1:4" x14ac:dyDescent="0.35">
      <c r="A60" s="491">
        <v>53</v>
      </c>
      <c r="B60" s="502" t="s">
        <v>433</v>
      </c>
      <c r="C60" s="491" t="s">
        <v>773</v>
      </c>
      <c r="D60" s="493" t="s">
        <v>473</v>
      </c>
    </row>
    <row r="61" spans="1:4" x14ac:dyDescent="0.35">
      <c r="A61" s="491">
        <v>54</v>
      </c>
      <c r="B61" s="502" t="s">
        <v>857</v>
      </c>
      <c r="C61" s="491" t="s">
        <v>858</v>
      </c>
      <c r="D61" s="493" t="s">
        <v>873</v>
      </c>
    </row>
    <row r="62" spans="1:4" x14ac:dyDescent="0.35">
      <c r="A62" s="491">
        <v>55</v>
      </c>
      <c r="B62" s="503" t="s">
        <v>434</v>
      </c>
      <c r="C62" s="491" t="s">
        <v>768</v>
      </c>
      <c r="D62" s="493" t="s">
        <v>474</v>
      </c>
    </row>
    <row r="63" spans="1:4" x14ac:dyDescent="0.35">
      <c r="A63" s="491">
        <v>56</v>
      </c>
      <c r="B63" s="503" t="s">
        <v>435</v>
      </c>
      <c r="C63" s="491" t="s">
        <v>769</v>
      </c>
      <c r="D63" s="493" t="s">
        <v>475</v>
      </c>
    </row>
    <row r="64" spans="1:4" x14ac:dyDescent="0.35">
      <c r="A64" s="491">
        <v>57</v>
      </c>
      <c r="B64" s="503" t="s">
        <v>436</v>
      </c>
      <c r="C64" s="491" t="s">
        <v>770</v>
      </c>
      <c r="D64" s="493" t="s">
        <v>476</v>
      </c>
    </row>
    <row r="65" spans="1:4" x14ac:dyDescent="0.35">
      <c r="A65" s="491">
        <v>58</v>
      </c>
      <c r="B65" s="503" t="s">
        <v>859</v>
      </c>
      <c r="C65" s="491" t="s">
        <v>860</v>
      </c>
      <c r="D65" s="493" t="s">
        <v>874</v>
      </c>
    </row>
    <row r="66" spans="1:4" x14ac:dyDescent="0.35">
      <c r="A66" s="491">
        <v>59</v>
      </c>
      <c r="B66" s="504" t="s">
        <v>437</v>
      </c>
      <c r="C66" s="491" t="s">
        <v>765</v>
      </c>
      <c r="D66" s="493" t="s">
        <v>477</v>
      </c>
    </row>
    <row r="67" spans="1:4" x14ac:dyDescent="0.35">
      <c r="A67" s="491">
        <v>60</v>
      </c>
      <c r="B67" s="504" t="s">
        <v>438</v>
      </c>
      <c r="C67" s="491" t="s">
        <v>766</v>
      </c>
      <c r="D67" s="493" t="s">
        <v>478</v>
      </c>
    </row>
    <row r="68" spans="1:4" x14ac:dyDescent="0.35">
      <c r="A68" s="491">
        <v>61</v>
      </c>
      <c r="B68" s="504" t="s">
        <v>439</v>
      </c>
      <c r="C68" s="491" t="s">
        <v>767</v>
      </c>
      <c r="D68" s="493" t="s">
        <v>479</v>
      </c>
    </row>
    <row r="69" spans="1:4" x14ac:dyDescent="0.35">
      <c r="A69" s="491">
        <v>62</v>
      </c>
      <c r="B69" s="504" t="s">
        <v>861</v>
      </c>
      <c r="C69" s="491" t="s">
        <v>862</v>
      </c>
      <c r="D69" s="493" t="s">
        <v>875</v>
      </c>
    </row>
    <row r="70" spans="1:4" x14ac:dyDescent="0.35">
      <c r="A70" s="491">
        <v>63</v>
      </c>
      <c r="B70" s="505" t="s">
        <v>440</v>
      </c>
      <c r="C70" s="491" t="s">
        <v>777</v>
      </c>
      <c r="D70" s="493" t="s">
        <v>480</v>
      </c>
    </row>
    <row r="71" spans="1:4" x14ac:dyDescent="0.35">
      <c r="A71" s="491">
        <v>64</v>
      </c>
      <c r="B71" s="505" t="s">
        <v>441</v>
      </c>
      <c r="C71" s="491" t="s">
        <v>778</v>
      </c>
      <c r="D71" s="493" t="s">
        <v>481</v>
      </c>
    </row>
    <row r="72" spans="1:4" x14ac:dyDescent="0.35">
      <c r="A72" s="491">
        <v>65</v>
      </c>
      <c r="B72" s="505" t="s">
        <v>863</v>
      </c>
      <c r="C72" s="491" t="s">
        <v>834</v>
      </c>
      <c r="D72" s="493" t="s">
        <v>866</v>
      </c>
    </row>
    <row r="73" spans="1:4" x14ac:dyDescent="0.35">
      <c r="A73" s="491">
        <v>66</v>
      </c>
      <c r="B73" s="505" t="s">
        <v>864</v>
      </c>
      <c r="C73" s="491" t="s">
        <v>835</v>
      </c>
      <c r="D73" s="493" t="s">
        <v>867</v>
      </c>
    </row>
    <row r="74" spans="1:4" x14ac:dyDescent="0.35">
      <c r="A74" s="491">
        <v>67</v>
      </c>
      <c r="B74" s="505" t="s">
        <v>865</v>
      </c>
      <c r="C74" s="491" t="s">
        <v>836</v>
      </c>
      <c r="D74" s="493" t="s">
        <v>868</v>
      </c>
    </row>
    <row r="75" spans="1:4" x14ac:dyDescent="0.35">
      <c r="A75" s="491">
        <v>68</v>
      </c>
      <c r="B75" s="505" t="s">
        <v>442</v>
      </c>
      <c r="C75" s="491" t="s">
        <v>779</v>
      </c>
      <c r="D75" s="493" t="s">
        <v>482</v>
      </c>
    </row>
    <row r="76" spans="1:4" x14ac:dyDescent="0.35">
      <c r="A76" s="1150">
        <v>69</v>
      </c>
      <c r="B76" s="505" t="s">
        <v>869</v>
      </c>
      <c r="C76" s="491" t="s">
        <v>841</v>
      </c>
      <c r="D76" s="493" t="s">
        <v>870</v>
      </c>
    </row>
  </sheetData>
  <mergeCells count="2">
    <mergeCell ref="B2:D2"/>
    <mergeCell ref="B4:D4"/>
  </mergeCells>
  <hyperlinks>
    <hyperlink ref="D28" location="'Inv Inicial'!A1" display="'Inv Inicial'!A1"/>
    <hyperlink ref="D30" location="'Inv Adic'!A1" display="'Inv Adic'!A1"/>
    <hyperlink ref="D29" location="'Amort Inv Inic'!A1" display="'Amort Inv Inic'!A1"/>
    <hyperlink ref="D31" location="'Amort Inv Adic'!A1" display="'Amort Inv Adic'!A1"/>
    <hyperlink ref="D12" location="'Ppto-Mes'!A1" display="'Ppto-Mes'!A1"/>
    <hyperlink ref="D34" location="'Financ 1'!A1" display="'Financ 1'!A1"/>
    <hyperlink ref="D35" location="'Financ 2'!A1" display="'Financ 2'!A1"/>
    <hyperlink ref="D37" location="'Financ Total'!A1" display="'Financ Total'!A1"/>
    <hyperlink ref="D38" location="'Productos $'!A1" display="'Productos $'!A1"/>
    <hyperlink ref="D39" location="'Productos Horas'!A1" display="'Productos Horas'!A1"/>
    <hyperlink ref="D40" location="Clientes!A1" display="Clientes!A1"/>
    <hyperlink ref="D41" location="'Ingresos Uds 100'!A1" display="'Ingresos Uds 100'!A1"/>
    <hyperlink ref="D42" location="'Ingresos Uds'!A1" display="'Ingresos Uds'!A1"/>
    <hyperlink ref="D43" location="'Ingresos $'!A1" display="'Ingresos $'!A1"/>
    <hyperlink ref="D45" location="'Horas Productos'!A1" display="'Horas Productos'!A1"/>
    <hyperlink ref="D46" location="'HP Proyect'!A1" display="'HP Proyect'!A1"/>
    <hyperlink ref="D47" location="Remuner!A1" display="Remuner!A1"/>
    <hyperlink ref="D48" location="Factor!A1" display="Factor!A1"/>
    <hyperlink ref="D49" location="'Factor Proy'!A1" display="'Factor Proy'!A1"/>
    <hyperlink ref="D50" location="'HC 2015'!A1" display="'HC 2015'!A1"/>
    <hyperlink ref="D51" location="'RF 2015'!A1" display="'RF 2015'!A1"/>
    <hyperlink ref="D52" location="'RV 2015'!A1" display="'RV 2015'!A1"/>
    <hyperlink ref="D54" location="'HC 2016'!A1" display="'HC 2016'!A1"/>
    <hyperlink ref="D55" location="'RF 2016'!A1" display="'RF 2016'!A1"/>
    <hyperlink ref="D56" location="'RV 2016'!A1" display="'RV 2016'!A1"/>
    <hyperlink ref="D58" location="'HC 2017'!A1" display="'HC 2017'!A1"/>
    <hyperlink ref="D59" location="'RF 2017'!A1" display="'RF 2017'!A1"/>
    <hyperlink ref="D60" location="'RV 2017'!A1" display="'RV 2017'!A1"/>
    <hyperlink ref="D62" location="'HC 2018'!A1" display="'HC 2018'!A1"/>
    <hyperlink ref="D63" location="'RF 2018'!A1" display="'RF 2018'!A1"/>
    <hyperlink ref="D64" location="'RV 2018'!A1" display="'RV 2018'!A1"/>
    <hyperlink ref="D66" location="'HC 2019'!A1" display="'HC 2019'!A1"/>
    <hyperlink ref="D67" location="'RF 2019'!A1" display="'RF 2019'!A1"/>
    <hyperlink ref="D68" location="'RV 2019'!A1" display="'RV 2019'!A1"/>
    <hyperlink ref="D70" location="'Gastos Grales'!A1" display="'Gastos Grales'!A1"/>
    <hyperlink ref="D71" location="'Gastos Proyect'!A1" display="'Gastos Proyect'!A1"/>
    <hyperlink ref="D75" location="'Gtos Consultores'!A1" display="'Gtos Consultores'!A1"/>
    <hyperlink ref="D20" location="'Tes Banrep'!A1" display="'Tes Banrep'!A1"/>
    <hyperlink ref="D21" location="'Tes AVAL'!A1" display="'Tes AVAL'!A1"/>
    <hyperlink ref="D22" location="Betas!A1" display="Betas!A1"/>
    <hyperlink ref="D23" location="'Rent Mercado'!A1" display="'Rent Mercado'!A1"/>
    <hyperlink ref="D24" location="'Riesgo País'!A1" display="'Riesgo País'!A1"/>
    <hyperlink ref="D32" location="'Inv Temp'!A1" display="'Inv Temp'!A1"/>
    <hyperlink ref="D13" location="'Ppto-Año'!A1" display="'Ppto-Año'!A1"/>
    <hyperlink ref="D18" location="'Flujo-Mes'!A1" display="'Flujo-Mes'!A1"/>
    <hyperlink ref="D14" location="'PyG-Mes'!A1" display="'PyG-Mes'!A1"/>
    <hyperlink ref="D15" location="'PyG-Año'!A1" display="'PyG-Año'!A1"/>
    <hyperlink ref="D16" location="'Bal Mes'!A1" display="'Bal Mes'!A1"/>
    <hyperlink ref="D17" location="'Bal Año'!A1" display="'Bal Año'!A1"/>
    <hyperlink ref="D33" location="DTF!A1" display="DTF!A1"/>
    <hyperlink ref="D36" location="'Financ 3'!A1" display="'Financ 3'!A1"/>
    <hyperlink ref="D19" location="'Flujo-Año'!A1" display="Flujo-Mes'!A1"/>
    <hyperlink ref="D72" location="'HC Proyect'!A1" display="'HC Proyect'!A1"/>
    <hyperlink ref="D73" location="'RF Proyect'!A1" display="'RF Proyect'!A1"/>
    <hyperlink ref="D74" location="'RV Proyect'!A1" display="'RV Proyect'!A1"/>
    <hyperlink ref="D76" location="'Gtos Nómina-Resumen'!A1" display="'Gtos Nómina-Resumen'!A1"/>
    <hyperlink ref="D53" location="'RV 2015-Resumen'!A1" display="'RV 2015-Resumen'!A1"/>
    <hyperlink ref="D57" location="'RV 2016-Resumen'!A1" display="'RV 2016-Resumen'!A1"/>
    <hyperlink ref="D65" location="'RV 2018-Resumen'!A1" display="RV 2017-Resumen'!A1"/>
    <hyperlink ref="D61" location="'RV 2017-Resumen'!A1" display="'RV 2017-Resumen'!A1"/>
    <hyperlink ref="D69" location="'RV 2019-Resumen'!A1" display="'RV 2019-Resumen'!A1"/>
    <hyperlink ref="D8" location="Índice!A1" display="Índice!A1"/>
    <hyperlink ref="D9" location="Variables!A1" display="Variables!A1"/>
    <hyperlink ref="D10" location="Resumen!A1" display="Resumen!A1"/>
    <hyperlink ref="D11" location="'Resumen Total'!A1" display="'Resumen Total'!A1"/>
    <hyperlink ref="D25" location="'WACC Gral'!A1" display="'WACC Gral'!A1"/>
    <hyperlink ref="D26" location="'WACC Ajust'!A1" display="'WACC Ajust'!A1"/>
    <hyperlink ref="D44" location="'Ing Proyect'!A1" display="'Ing Proyect'!A1"/>
    <hyperlink ref="D27" location="Ebitda!A1" display="Ebitda!A1"/>
  </hyperlink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3:M34"/>
  <sheetViews>
    <sheetView showGridLines="0" zoomScaleNormal="100" zoomScaleSheetLayoutView="100" workbookViewId="0">
      <pane xSplit="4" ySplit="7" topLeftCell="E16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9.6328125" style="47" customWidth="1"/>
    <col min="4" max="4" width="6.08984375" style="47" bestFit="1" customWidth="1"/>
    <col min="5" max="9" width="10.6328125" style="48" customWidth="1"/>
    <col min="10" max="10" width="11.36328125" style="48" bestFit="1" customWidth="1"/>
    <col min="11" max="11" width="2.6328125" style="48" customWidth="1"/>
    <col min="12" max="12" width="11.90625" style="48" bestFit="1" customWidth="1"/>
    <col min="13" max="16384" width="11.453125" style="48"/>
  </cols>
  <sheetData>
    <row r="3" spans="1:13" ht="13.5" thickBot="1" x14ac:dyDescent="0.3">
      <c r="E3" s="144">
        <v>1</v>
      </c>
      <c r="F3" s="144">
        <v>2</v>
      </c>
      <c r="G3" s="144">
        <v>3</v>
      </c>
      <c r="H3" s="144">
        <v>10</v>
      </c>
      <c r="I3" s="144">
        <v>11</v>
      </c>
    </row>
    <row r="4" spans="1:13" ht="18.5" thickBot="1" x14ac:dyDescent="0.45">
      <c r="B4" s="979" t="str">
        <f>"Remuneración Variable Mensual Presupuestada Año "&amp;L6</f>
        <v>Remuneración Variable Mensual Presupuestada Año 2015</v>
      </c>
      <c r="C4" s="980"/>
      <c r="D4" s="980"/>
      <c r="E4" s="980"/>
      <c r="F4" s="980"/>
      <c r="G4" s="980"/>
      <c r="H4" s="980"/>
      <c r="I4" s="980"/>
      <c r="J4" s="981"/>
    </row>
    <row r="5" spans="1:13" ht="13" thickBot="1" x14ac:dyDescent="0.3"/>
    <row r="6" spans="1:13" ht="23" x14ac:dyDescent="0.3">
      <c r="B6" s="1044" t="s">
        <v>89</v>
      </c>
      <c r="C6" s="1044"/>
      <c r="D6" s="1044"/>
      <c r="E6" s="764" t="s">
        <v>93</v>
      </c>
      <c r="F6" s="764" t="s">
        <v>90</v>
      </c>
      <c r="G6" s="764" t="s">
        <v>90</v>
      </c>
      <c r="H6" s="765" t="s">
        <v>146</v>
      </c>
      <c r="I6" s="765" t="s">
        <v>92</v>
      </c>
      <c r="J6" s="766" t="s">
        <v>65</v>
      </c>
      <c r="L6" s="601">
        <f>'HC 2015'!I4</f>
        <v>2015</v>
      </c>
      <c r="M6" s="48" t="s">
        <v>71</v>
      </c>
    </row>
    <row r="7" spans="1:13" ht="13" x14ac:dyDescent="0.3">
      <c r="A7" s="48">
        <v>0</v>
      </c>
      <c r="B7" s="1045" t="s">
        <v>832</v>
      </c>
      <c r="C7" s="1043"/>
      <c r="D7" s="1043"/>
      <c r="E7" s="767">
        <v>1</v>
      </c>
      <c r="F7" s="767">
        <v>3</v>
      </c>
      <c r="G7" s="767">
        <v>5</v>
      </c>
      <c r="H7" s="767">
        <v>1</v>
      </c>
      <c r="I7" s="767">
        <v>1</v>
      </c>
      <c r="J7" s="768">
        <f>SUM(E7:I7)</f>
        <v>11</v>
      </c>
      <c r="L7" s="601"/>
    </row>
    <row r="8" spans="1:13" ht="13" x14ac:dyDescent="0.3">
      <c r="A8" s="48">
        <v>6</v>
      </c>
      <c r="B8" s="1045" t="s">
        <v>178</v>
      </c>
      <c r="C8" s="1043"/>
      <c r="D8" s="1043"/>
      <c r="E8" s="769">
        <f>HLOOKUP(E$3,'RV 2015'!$B$3:$P$33,$A8,0)</f>
        <v>20</v>
      </c>
      <c r="F8" s="769">
        <f>HLOOKUP(F$3,'RV 2015'!$B$3:$P$33,$A8,0)</f>
        <v>40</v>
      </c>
      <c r="G8" s="769">
        <f>HLOOKUP(G$3,'RV 2015'!$B$3:$P$33,$A8,0)</f>
        <v>20</v>
      </c>
      <c r="H8" s="769">
        <f>HLOOKUP(H$3,'RV 2015'!$B$3:$P$33,$A8,0)</f>
        <v>0</v>
      </c>
      <c r="I8" s="769">
        <f>HLOOKUP(I$3,'RV 2015'!$B$3:$P$33,$A8,0)</f>
        <v>0</v>
      </c>
      <c r="J8" s="770">
        <f>SUMPRODUCT($E$7:$I$7,$E8:$I8)</f>
        <v>240</v>
      </c>
      <c r="L8" s="60">
        <f>HLOOKUP($L$6,'Ing Proyect'!$B$6:$G$12,6,0)</f>
        <v>104483000</v>
      </c>
      <c r="M8" s="48" t="s">
        <v>175</v>
      </c>
    </row>
    <row r="9" spans="1:13" ht="13" x14ac:dyDescent="0.3">
      <c r="A9" s="48">
        <v>7</v>
      </c>
      <c r="B9" s="1045" t="s">
        <v>177</v>
      </c>
      <c r="C9" s="1043"/>
      <c r="D9" s="1043"/>
      <c r="E9" s="771">
        <f>HLOOKUP(E$3,'RV 2015'!$B$3:$P$33,$A9,0)</f>
        <v>8.3333333333333329E-2</v>
      </c>
      <c r="F9" s="771">
        <f>HLOOKUP(F$3,'RV 2015'!$B$3:$P$33,$A9,0)</f>
        <v>0.16666666666666666</v>
      </c>
      <c r="G9" s="771">
        <f>HLOOKUP(G$3,'RV 2015'!$B$3:$P$33,$A9,0)</f>
        <v>8.3333333333333329E-2</v>
      </c>
      <c r="H9" s="771">
        <f>HLOOKUP(H$3,'RV 2015'!$B$3:$P$33,$A9,0)</f>
        <v>0</v>
      </c>
      <c r="I9" s="771">
        <f>HLOOKUP(I$3,'RV 2015'!$B$3:$P$33,$A9,0)</f>
        <v>0</v>
      </c>
      <c r="J9" s="772">
        <f>SUMPRODUCT($E$7:$I$7,$E9:$I9)</f>
        <v>1</v>
      </c>
      <c r="L9" s="60">
        <f>HLOOKUP($L$6,'Ing Proyect'!$B$6:$G$12,2,0)</f>
        <v>641000</v>
      </c>
      <c r="M9" s="48" t="s">
        <v>69</v>
      </c>
    </row>
    <row r="10" spans="1:13" x14ac:dyDescent="0.25">
      <c r="A10" s="48">
        <v>8</v>
      </c>
      <c r="B10" s="1042" t="s">
        <v>176</v>
      </c>
      <c r="C10" s="1043"/>
      <c r="D10" s="1043"/>
      <c r="E10" s="773">
        <f>HLOOKUP(E$3,'RV 2015'!$B$3:$P$33,$A10,0)</f>
        <v>8706917</v>
      </c>
      <c r="F10" s="773">
        <f>HLOOKUP(F$3,'RV 2015'!$B$3:$P$33,$A10,0)</f>
        <v>17413833</v>
      </c>
      <c r="G10" s="773">
        <f>HLOOKUP(G$3,'RV 2015'!$B$3:$P$33,$A10,0)</f>
        <v>8706917</v>
      </c>
      <c r="H10" s="773">
        <f>HLOOKUP(H$3,'RV 2015'!$B$3:$P$33,$A10,0)</f>
        <v>0</v>
      </c>
      <c r="I10" s="773">
        <f>HLOOKUP(I$3,'RV 2015'!$B$3:$P$33,$A10,0)</f>
        <v>0</v>
      </c>
      <c r="J10" s="774">
        <f>SUMPRODUCT($E$7:$I$7,$E10:$I10)</f>
        <v>104483001</v>
      </c>
    </row>
    <row r="11" spans="1:13" x14ac:dyDescent="0.25">
      <c r="A11" s="48">
        <v>9</v>
      </c>
      <c r="B11" s="1046" t="s">
        <v>163</v>
      </c>
      <c r="C11" s="775" t="s">
        <v>164</v>
      </c>
      <c r="D11" s="775"/>
      <c r="E11" s="776">
        <f>HLOOKUP(E$3,'RV 2015'!$B$3:$P$33,$A11,0)</f>
        <v>0.1</v>
      </c>
      <c r="F11" s="776">
        <f>HLOOKUP(F$3,'RV 2015'!$B$3:$P$33,$A11,0)</f>
        <v>0.1</v>
      </c>
      <c r="G11" s="776">
        <f>HLOOKUP(G$3,'RV 2015'!$B$3:$P$33,$A11,0)</f>
        <v>0.1</v>
      </c>
      <c r="H11" s="776">
        <f>HLOOKUP(H$3,'RV 2015'!$B$3:$P$33,$A11,0)</f>
        <v>0.1</v>
      </c>
      <c r="I11" s="776">
        <f>HLOOKUP(I$3,'RV 2015'!$B$3:$P$33,$A11,0)</f>
        <v>0.1</v>
      </c>
      <c r="J11" s="1047"/>
    </row>
    <row r="12" spans="1:13" ht="12.5" customHeight="1" x14ac:dyDescent="0.25">
      <c r="A12" s="48">
        <v>10</v>
      </c>
      <c r="B12" s="1046"/>
      <c r="C12" s="1048" t="s">
        <v>165</v>
      </c>
      <c r="D12" s="777" t="s">
        <v>69</v>
      </c>
      <c r="E12" s="778">
        <f>HLOOKUP(E$3,'RV 2015'!$B$3:$P$33,$A12,0)</f>
        <v>20</v>
      </c>
      <c r="F12" s="778">
        <f>HLOOKUP(F$3,'RV 2015'!$B$3:$P$33,$A12,0)</f>
        <v>20</v>
      </c>
      <c r="G12" s="778">
        <f>HLOOKUP(G$3,'RV 2015'!$B$3:$P$33,$A12,0)</f>
        <v>20</v>
      </c>
      <c r="H12" s="778">
        <f>HLOOKUP(H$3,'RV 2015'!$B$3:$P$33,$A12,0)</f>
        <v>20</v>
      </c>
      <c r="I12" s="778">
        <f>HLOOKUP(I$3,'RV 2015'!$B$3:$P$33,$A12,0)</f>
        <v>20</v>
      </c>
      <c r="J12" s="1047"/>
    </row>
    <row r="13" spans="1:13" x14ac:dyDescent="0.25">
      <c r="A13" s="48">
        <v>11</v>
      </c>
      <c r="B13" s="1046"/>
      <c r="C13" s="1048"/>
      <c r="D13" s="777" t="s">
        <v>70</v>
      </c>
      <c r="E13" s="773">
        <f>HLOOKUP(E$3,'RV 2015'!$B$3:$P$33,$A13,0)</f>
        <v>12820000</v>
      </c>
      <c r="F13" s="773">
        <f>HLOOKUP(F$3,'RV 2015'!$B$3:$P$33,$A13,0)</f>
        <v>12820000</v>
      </c>
      <c r="G13" s="773">
        <f>HLOOKUP(G$3,'RV 2015'!$B$3:$P$33,$A13,0)</f>
        <v>12820000</v>
      </c>
      <c r="H13" s="773">
        <f>HLOOKUP(H$3,'RV 2015'!$B$3:$P$33,$A13,0)</f>
        <v>12820000</v>
      </c>
      <c r="I13" s="773">
        <f>HLOOKUP(I$3,'RV 2015'!$B$3:$P$33,$A13,0)</f>
        <v>12820000</v>
      </c>
      <c r="J13" s="1047"/>
    </row>
    <row r="14" spans="1:13" x14ac:dyDescent="0.25">
      <c r="A14" s="48">
        <v>12</v>
      </c>
      <c r="B14" s="1046"/>
      <c r="C14" s="1049" t="s">
        <v>160</v>
      </c>
      <c r="D14" s="1050"/>
      <c r="E14" s="779">
        <f>HLOOKUP(E$3,'RV 2015'!$B$3:$P$33,$A14,0)</f>
        <v>870692</v>
      </c>
      <c r="F14" s="779">
        <f>HLOOKUP(F$3,'RV 2015'!$B$3:$P$33,$A14,0)</f>
        <v>1282000</v>
      </c>
      <c r="G14" s="779">
        <f>HLOOKUP(G$3,'RV 2015'!$B$3:$P$33,$A14,0)</f>
        <v>870692</v>
      </c>
      <c r="H14" s="779">
        <f>HLOOKUP(H$3,'RV 2015'!$B$3:$P$33,$A14,0)</f>
        <v>0</v>
      </c>
      <c r="I14" s="779">
        <f>HLOOKUP(I$3,'RV 2015'!$B$3:$P$33,$A14,0)</f>
        <v>0</v>
      </c>
      <c r="J14" s="779">
        <f>SUMPRODUCT($E$7:$I$7,$E14:$I14)</f>
        <v>9070152</v>
      </c>
    </row>
    <row r="15" spans="1:13" x14ac:dyDescent="0.25">
      <c r="A15" s="48">
        <v>13</v>
      </c>
      <c r="B15" s="1046" t="s">
        <v>166</v>
      </c>
      <c r="C15" s="1049" t="s">
        <v>164</v>
      </c>
      <c r="D15" s="1049"/>
      <c r="E15" s="776">
        <f>HLOOKUP(E$3,'RV 2015'!$B$3:$P$33,$A15,0)</f>
        <v>0.2</v>
      </c>
      <c r="F15" s="776">
        <f>HLOOKUP(F$3,'RV 2015'!$B$3:$P$33,$A15,0)</f>
        <v>0.2</v>
      </c>
      <c r="G15" s="776">
        <f>HLOOKUP(G$3,'RV 2015'!$B$3:$P$33,$A15,0)</f>
        <v>0.2</v>
      </c>
      <c r="H15" s="776">
        <f>HLOOKUP(H$3,'RV 2015'!$B$3:$P$33,$A15,0)</f>
        <v>0</v>
      </c>
      <c r="I15" s="776">
        <f>HLOOKUP(I$3,'RV 2015'!$B$3:$P$33,$A15,0)</f>
        <v>0</v>
      </c>
      <c r="J15" s="780"/>
    </row>
    <row r="16" spans="1:13" x14ac:dyDescent="0.25">
      <c r="A16" s="48">
        <v>14</v>
      </c>
      <c r="B16" s="1046"/>
      <c r="C16" s="1049" t="s">
        <v>160</v>
      </c>
      <c r="D16" s="1050"/>
      <c r="E16" s="779">
        <f>HLOOKUP(E$3,'RV 2015'!$B$3:$P$33,$A16,0)</f>
        <v>0</v>
      </c>
      <c r="F16" s="779">
        <f>HLOOKUP(F$3,'RV 2015'!$B$3:$P$33,$A16,0)</f>
        <v>918767</v>
      </c>
      <c r="G16" s="779">
        <f>HLOOKUP(G$3,'RV 2015'!$B$3:$P$33,$A16,0)</f>
        <v>0</v>
      </c>
      <c r="H16" s="779">
        <f>HLOOKUP(H$3,'RV 2015'!$B$3:$P$33,$A16,0)</f>
        <v>0</v>
      </c>
      <c r="I16" s="779">
        <f>HLOOKUP(I$3,'RV 2015'!$B$3:$P$33,$A16,0)</f>
        <v>0</v>
      </c>
      <c r="J16" s="779">
        <f>SUMPRODUCT($E$7:$I$7,$E16:$I16)</f>
        <v>2756301</v>
      </c>
    </row>
    <row r="17" spans="1:10" ht="12.5" customHeight="1" x14ac:dyDescent="0.25">
      <c r="A17" s="48">
        <v>15</v>
      </c>
      <c r="B17" s="1051" t="s">
        <v>167</v>
      </c>
      <c r="C17" s="1051"/>
      <c r="D17" s="1051"/>
      <c r="E17" s="774">
        <f>HLOOKUP(E$3,'RV 2015'!$B$3:$P$33,$A17,0)</f>
        <v>870692</v>
      </c>
      <c r="F17" s="774">
        <f>HLOOKUP(F$3,'RV 2015'!$B$3:$P$33,$A17,0)</f>
        <v>2200767</v>
      </c>
      <c r="G17" s="774">
        <f>HLOOKUP(G$3,'RV 2015'!$B$3:$P$33,$A17,0)</f>
        <v>870692</v>
      </c>
      <c r="H17" s="774">
        <f>HLOOKUP(H$3,'RV 2015'!$B$3:$P$33,$A17,0)</f>
        <v>0</v>
      </c>
      <c r="I17" s="774">
        <f>HLOOKUP(I$3,'RV 2015'!$B$3:$P$33,$A17,0)</f>
        <v>0</v>
      </c>
      <c r="J17" s="774">
        <f>SUMPRODUCT($E$7:$I$7,$E17:$I17)</f>
        <v>11826453</v>
      </c>
    </row>
    <row r="18" spans="1:10" ht="12.5" customHeight="1" x14ac:dyDescent="0.25">
      <c r="A18" s="48">
        <v>16</v>
      </c>
      <c r="B18" s="1046" t="s">
        <v>162</v>
      </c>
      <c r="C18" s="1045" t="s">
        <v>164</v>
      </c>
      <c r="D18" s="1045"/>
      <c r="E18" s="781">
        <f>HLOOKUP(E$3,'RV 2015'!$B$3:$P$33,$A18,0)</f>
        <v>0.1</v>
      </c>
      <c r="F18" s="781">
        <f>HLOOKUP(F$3,'RV 2015'!$B$3:$P$33,$A18,0)</f>
        <v>0</v>
      </c>
      <c r="G18" s="781">
        <f>HLOOKUP(G$3,'RV 2015'!$B$3:$P$33,$A18,0)</f>
        <v>0</v>
      </c>
      <c r="H18" s="781">
        <f>HLOOKUP(H$3,'RV 2015'!$B$3:$P$33,$A18,0)</f>
        <v>0</v>
      </c>
      <c r="I18" s="781">
        <f>HLOOKUP(I$3,'RV 2015'!$B$3:$P$33,$A18,0)</f>
        <v>0</v>
      </c>
      <c r="J18" s="782"/>
    </row>
    <row r="19" spans="1:10" x14ac:dyDescent="0.25">
      <c r="A19" s="48">
        <v>17</v>
      </c>
      <c r="B19" s="1046"/>
      <c r="C19" s="1045" t="s">
        <v>160</v>
      </c>
      <c r="D19" s="1043"/>
      <c r="E19" s="779">
        <f>HLOOKUP(E$3,'RV 2015'!$B$3:$P$33,$A19,0)</f>
        <v>2051200</v>
      </c>
      <c r="F19" s="779">
        <f>HLOOKUP(F$3,'RV 2015'!$B$3:$P$33,$A19,0)</f>
        <v>0</v>
      </c>
      <c r="G19" s="779">
        <f>HLOOKUP(G$3,'RV 2015'!$B$3:$P$33,$A19,0)</f>
        <v>0</v>
      </c>
      <c r="H19" s="779">
        <f>HLOOKUP(H$3,'RV 2015'!$B$3:$P$33,$A19,0)</f>
        <v>0</v>
      </c>
      <c r="I19" s="779">
        <f>HLOOKUP(I$3,'RV 2015'!$B$3:$P$33,$A19,0)</f>
        <v>0</v>
      </c>
      <c r="J19" s="779">
        <f>SUMPRODUCT($E$7:$I$7,$E19:$I19)</f>
        <v>2051200</v>
      </c>
    </row>
    <row r="20" spans="1:10" ht="12.5" customHeight="1" x14ac:dyDescent="0.25">
      <c r="A20" s="48">
        <v>18</v>
      </c>
      <c r="B20" s="1052" t="s">
        <v>197</v>
      </c>
      <c r="C20" s="1049" t="s">
        <v>164</v>
      </c>
      <c r="D20" s="1049"/>
      <c r="E20" s="776">
        <f>HLOOKUP(E$3,'RV 2015'!$B$3:$P$33,$A20,0)</f>
        <v>0.1</v>
      </c>
      <c r="F20" s="776">
        <f>HLOOKUP(F$3,'RV 2015'!$B$3:$P$33,$A20,0)</f>
        <v>0.1</v>
      </c>
      <c r="G20" s="776">
        <f>HLOOKUP(G$3,'RV 2015'!$B$3:$P$33,$A20,0)</f>
        <v>0.1</v>
      </c>
      <c r="H20" s="776">
        <f>HLOOKUP(H$3,'RV 2015'!$B$3:$P$33,$A20,0)</f>
        <v>0.1</v>
      </c>
      <c r="I20" s="776">
        <f>HLOOKUP(I$3,'RV 2015'!$B$3:$P$33,$A20,0)</f>
        <v>0.1</v>
      </c>
      <c r="J20" s="1047"/>
    </row>
    <row r="21" spans="1:10" ht="12.5" customHeight="1" x14ac:dyDescent="0.25">
      <c r="A21" s="48">
        <v>19</v>
      </c>
      <c r="B21" s="1052"/>
      <c r="C21" s="1049" t="s">
        <v>169</v>
      </c>
      <c r="D21" s="1050"/>
      <c r="E21" s="773">
        <f>HLOOKUP(E$3,'RV 2015'!$B$3:$P$33,$A21,0)</f>
        <v>20512000</v>
      </c>
      <c r="F21" s="773">
        <f>HLOOKUP(F$3,'RV 2015'!$B$3:$P$33,$A21,0)</f>
        <v>20512000</v>
      </c>
      <c r="G21" s="773">
        <f>HLOOKUP(G$3,'RV 2015'!$B$3:$P$33,$A21,0)</f>
        <v>20512000</v>
      </c>
      <c r="H21" s="773">
        <f>HLOOKUP(H$3,'RV 2015'!$B$3:$P$33,$A21,0)</f>
        <v>20512000</v>
      </c>
      <c r="I21" s="773">
        <f>HLOOKUP(I$3,'RV 2015'!$B$3:$P$33,$A21,0)</f>
        <v>20512000</v>
      </c>
      <c r="J21" s="1047"/>
    </row>
    <row r="22" spans="1:10" ht="12.5" customHeight="1" x14ac:dyDescent="0.25">
      <c r="A22" s="48">
        <v>20</v>
      </c>
      <c r="B22" s="1052"/>
      <c r="C22" s="1049" t="s">
        <v>170</v>
      </c>
      <c r="D22" s="1050"/>
      <c r="E22" s="773">
        <f>HLOOKUP(E$3,'RV 2015'!$B$3:$P$33,$A22,0)</f>
        <v>83971001</v>
      </c>
      <c r="F22" s="773">
        <f>HLOOKUP(F$3,'RV 2015'!$B$3:$P$33,$A22,0)</f>
        <v>83971001</v>
      </c>
      <c r="G22" s="773">
        <f>HLOOKUP(G$3,'RV 2015'!$B$3:$P$33,$A22,0)</f>
        <v>83971001</v>
      </c>
      <c r="H22" s="773">
        <f>HLOOKUP(H$3,'RV 2015'!$B$3:$P$33,$A22,0)</f>
        <v>83971001</v>
      </c>
      <c r="I22" s="773">
        <f>HLOOKUP(I$3,'RV 2015'!$B$3:$P$33,$A22,0)</f>
        <v>83971001</v>
      </c>
      <c r="J22" s="1047"/>
    </row>
    <row r="23" spans="1:10" ht="12.5" customHeight="1" x14ac:dyDescent="0.25">
      <c r="A23" s="48">
        <v>21</v>
      </c>
      <c r="B23" s="1052"/>
      <c r="C23" s="1049" t="s">
        <v>171</v>
      </c>
      <c r="D23" s="1050"/>
      <c r="E23" s="773">
        <f>HLOOKUP(E$3,'RV 2015'!$B$3:$P$33,$A23,0)</f>
        <v>6997583.416666666</v>
      </c>
      <c r="F23" s="773">
        <f>HLOOKUP(F$3,'RV 2015'!$B$3:$P$33,$A23,0)</f>
        <v>13995166.833333332</v>
      </c>
      <c r="G23" s="773">
        <f>HLOOKUP(G$3,'RV 2015'!$B$3:$P$33,$A23,0)</f>
        <v>6997583.416666666</v>
      </c>
      <c r="H23" s="773">
        <f>HLOOKUP(H$3,'RV 2015'!$B$3:$P$33,$A23,0)</f>
        <v>0</v>
      </c>
      <c r="I23" s="773">
        <f>HLOOKUP(I$3,'RV 2015'!$B$3:$P$33,$A23,0)</f>
        <v>0</v>
      </c>
      <c r="J23" s="1047"/>
    </row>
    <row r="24" spans="1:10" x14ac:dyDescent="0.25">
      <c r="A24" s="48">
        <v>22</v>
      </c>
      <c r="B24" s="1052"/>
      <c r="C24" s="1049" t="s">
        <v>160</v>
      </c>
      <c r="D24" s="1050"/>
      <c r="E24" s="779">
        <f>HLOOKUP(E$3,'RV 2015'!$B$3:$P$33,$A24,0)</f>
        <v>699758.34166666667</v>
      </c>
      <c r="F24" s="779">
        <f>HLOOKUP(F$3,'RV 2015'!$B$3:$P$33,$A24,0)</f>
        <v>1399516.6833333333</v>
      </c>
      <c r="G24" s="779">
        <f>HLOOKUP(G$3,'RV 2015'!$B$3:$P$33,$A24,0)</f>
        <v>699758.34166666667</v>
      </c>
      <c r="H24" s="779">
        <f>HLOOKUP(H$3,'RV 2015'!$B$3:$P$33,$A24,0)</f>
        <v>0</v>
      </c>
      <c r="I24" s="779">
        <f>HLOOKUP(I$3,'RV 2015'!$B$3:$P$33,$A24,0)</f>
        <v>0</v>
      </c>
      <c r="J24" s="779">
        <f t="shared" ref="J24:J25" si="0">SUMPRODUCT($E$7:$I$7,$E24:$I24)</f>
        <v>8397100.0999999996</v>
      </c>
    </row>
    <row r="25" spans="1:10" x14ac:dyDescent="0.25">
      <c r="A25" s="48">
        <v>23</v>
      </c>
      <c r="B25" s="1051" t="s">
        <v>198</v>
      </c>
      <c r="C25" s="1051"/>
      <c r="D25" s="1051"/>
      <c r="E25" s="774">
        <f>HLOOKUP(E$3,'RV 2015'!$B$3:$P$33,$A25,0)</f>
        <v>2750958.3416666668</v>
      </c>
      <c r="F25" s="774">
        <f>HLOOKUP(F$3,'RV 2015'!$B$3:$P$33,$A25,0)</f>
        <v>1399516.6833333333</v>
      </c>
      <c r="G25" s="774">
        <f>HLOOKUP(G$3,'RV 2015'!$B$3:$P$33,$A25,0)</f>
        <v>699758.34166666667</v>
      </c>
      <c r="H25" s="774">
        <f>HLOOKUP(H$3,'RV 2015'!$B$3:$P$33,$A25,0)</f>
        <v>0</v>
      </c>
      <c r="I25" s="774">
        <f>HLOOKUP(I$3,'RV 2015'!$B$3:$P$33,$A25,0)</f>
        <v>0</v>
      </c>
      <c r="J25" s="774">
        <f t="shared" si="0"/>
        <v>10448300.1</v>
      </c>
    </row>
    <row r="26" spans="1:10" x14ac:dyDescent="0.25">
      <c r="A26" s="48">
        <v>24</v>
      </c>
      <c r="B26" s="1046" t="s">
        <v>172</v>
      </c>
      <c r="C26" s="1049" t="s">
        <v>164</v>
      </c>
      <c r="D26" s="1050"/>
      <c r="E26" s="783">
        <f>HLOOKUP(E$3,'RV 2015'!$B$3:$P$33,$A26,0)</f>
        <v>0.05</v>
      </c>
      <c r="F26" s="783">
        <f>HLOOKUP(F$3,'RV 2015'!$B$3:$P$33,$A26,0)</f>
        <v>0</v>
      </c>
      <c r="G26" s="783">
        <f>HLOOKUP(G$3,'RV 2015'!$B$3:$P$33,$A26,0)</f>
        <v>0</v>
      </c>
      <c r="H26" s="783">
        <f>HLOOKUP(H$3,'RV 2015'!$B$3:$P$33,$A26,0)</f>
        <v>1.4999999999999999E-2</v>
      </c>
      <c r="I26" s="784">
        <f>HLOOKUP(I$3,'RV 2015'!$B$3:$P$33,$A26,0)</f>
        <v>7.4999999999999997E-3</v>
      </c>
      <c r="J26" s="1047"/>
    </row>
    <row r="27" spans="1:10" ht="12.5" customHeight="1" x14ac:dyDescent="0.25">
      <c r="A27" s="48">
        <v>25</v>
      </c>
      <c r="B27" s="1046"/>
      <c r="C27" s="1049" t="s">
        <v>173</v>
      </c>
      <c r="D27" s="1050"/>
      <c r="E27" s="785">
        <f>HLOOKUP(E$3,'RV 2015'!$B$3:$P$33,$A27,0)</f>
        <v>104483001</v>
      </c>
      <c r="F27" s="785">
        <f>HLOOKUP(F$3,'RV 2015'!$B$3:$P$33,$A27,0)</f>
        <v>104483001</v>
      </c>
      <c r="G27" s="785">
        <f>HLOOKUP(G$3,'RV 2015'!$B$3:$P$33,$A27,0)</f>
        <v>104483001</v>
      </c>
      <c r="H27" s="785">
        <f>HLOOKUP(H$3,'RV 2015'!$B$3:$P$33,$A27,0)</f>
        <v>104483001</v>
      </c>
      <c r="I27" s="785">
        <f>HLOOKUP(I$3,'RV 2015'!$B$3:$P$33,$A27,0)</f>
        <v>104483001</v>
      </c>
      <c r="J27" s="1047"/>
    </row>
    <row r="28" spans="1:10" ht="12.5" customHeight="1" x14ac:dyDescent="0.25">
      <c r="A28" s="48">
        <v>26</v>
      </c>
      <c r="B28" s="1046"/>
      <c r="C28" s="1049" t="s">
        <v>160</v>
      </c>
      <c r="D28" s="1050"/>
      <c r="E28" s="786">
        <f>HLOOKUP(E$3,'RV 2015'!$B$3:$P$33,$A28,0)</f>
        <v>5224150.0500000007</v>
      </c>
      <c r="F28" s="786">
        <f>HLOOKUP(F$3,'RV 2015'!$B$3:$P$33,$A28,0)</f>
        <v>0</v>
      </c>
      <c r="G28" s="786">
        <f>HLOOKUP(G$3,'RV 2015'!$B$3:$P$33,$A28,0)</f>
        <v>0</v>
      </c>
      <c r="H28" s="786">
        <f>HLOOKUP(H$3,'RV 2015'!$B$3:$P$33,$A28,0)</f>
        <v>1567245.0149999999</v>
      </c>
      <c r="I28" s="786">
        <f>HLOOKUP(I$3,'RV 2015'!$B$3:$P$33,$A28,0)</f>
        <v>783622.50749999995</v>
      </c>
      <c r="J28" s="779">
        <f t="shared" ref="J28:J29" si="1">SUMPRODUCT($E$7:$I$7,$E28:$I28)</f>
        <v>7575017.5725000007</v>
      </c>
    </row>
    <row r="29" spans="1:10" x14ac:dyDescent="0.25">
      <c r="A29" s="48">
        <v>27</v>
      </c>
      <c r="B29" s="1042" t="s">
        <v>161</v>
      </c>
      <c r="C29" s="1053"/>
      <c r="D29" s="1053"/>
      <c r="E29" s="774">
        <f>HLOOKUP(E$3,'RV 2015'!$B$3:$P$33,$A29,0)</f>
        <v>8845800.3916666675</v>
      </c>
      <c r="F29" s="774">
        <f>HLOOKUP(F$3,'RV 2015'!$B$3:$P$33,$A29,0)</f>
        <v>3600283.6833333336</v>
      </c>
      <c r="G29" s="774">
        <f>HLOOKUP(G$3,'RV 2015'!$B$3:$P$33,$A29,0)</f>
        <v>1570450.3416666668</v>
      </c>
      <c r="H29" s="774">
        <f>HLOOKUP(H$3,'RV 2015'!$B$3:$P$33,$A29,0)</f>
        <v>1567245.0149999999</v>
      </c>
      <c r="I29" s="774">
        <f>HLOOKUP(I$3,'RV 2015'!$B$3:$P$33,$A29,0)</f>
        <v>783622.50749999995</v>
      </c>
      <c r="J29" s="774">
        <f t="shared" si="1"/>
        <v>29849770.672500007</v>
      </c>
    </row>
    <row r="30" spans="1:10" ht="12.5" customHeight="1" x14ac:dyDescent="0.25">
      <c r="A30" s="48">
        <v>28</v>
      </c>
      <c r="B30" s="1054" t="s">
        <v>205</v>
      </c>
      <c r="C30" s="1049" t="s">
        <v>237</v>
      </c>
      <c r="D30" s="1050"/>
      <c r="E30" s="787">
        <f>HLOOKUP(E$3,'RV 2015'!$B$3:$P$33,$A30,0)</f>
        <v>0.17666666666666667</v>
      </c>
      <c r="F30" s="787">
        <f>HLOOKUP(F$3,'RV 2015'!$B$3:$P$33,$A30,0)</f>
        <v>0.17666666666666667</v>
      </c>
      <c r="G30" s="787">
        <f>HLOOKUP(G$3,'RV 2015'!$B$3:$P$33,$A30,0)</f>
        <v>0.17666666666666667</v>
      </c>
      <c r="H30" s="787">
        <f>HLOOKUP(H$3,'RV 2015'!$B$3:$P$33,$A30,0)</f>
        <v>0.17666666666666667</v>
      </c>
      <c r="I30" s="787">
        <f>HLOOKUP(I$3,'RV 2015'!$B$3:$P$33,$A30,0)</f>
        <v>0.17666666666666667</v>
      </c>
      <c r="J30" s="774"/>
    </row>
    <row r="31" spans="1:10" ht="12.5" customHeight="1" x14ac:dyDescent="0.25">
      <c r="A31" s="48">
        <v>29</v>
      </c>
      <c r="B31" s="1054"/>
      <c r="C31" s="1049" t="s">
        <v>238</v>
      </c>
      <c r="D31" s="1050"/>
      <c r="E31" s="787">
        <f>HLOOKUP(E$3,'RV 2015'!$B$3:$P$33,$A31,0)</f>
        <v>0</v>
      </c>
      <c r="F31" s="787">
        <f>HLOOKUP(F$3,'RV 2015'!$B$3:$P$33,$A31,0)</f>
        <v>0</v>
      </c>
      <c r="G31" s="787">
        <f>HLOOKUP(G$3,'RV 2015'!$B$3:$P$33,$A31,0)</f>
        <v>0.21500000000000002</v>
      </c>
      <c r="H31" s="787">
        <f>HLOOKUP(H$3,'RV 2015'!$B$3:$P$33,$A31,0)</f>
        <v>0</v>
      </c>
      <c r="I31" s="787">
        <f>HLOOKUP(I$3,'RV 2015'!$B$3:$P$33,$A31,0)</f>
        <v>0</v>
      </c>
      <c r="J31" s="774"/>
    </row>
    <row r="32" spans="1:10" ht="12.5" customHeight="1" x14ac:dyDescent="0.25">
      <c r="A32" s="48">
        <v>30</v>
      </c>
      <c r="B32" s="1054"/>
      <c r="C32" s="1049" t="s">
        <v>239</v>
      </c>
      <c r="D32" s="1050"/>
      <c r="E32" s="787">
        <f>HLOOKUP(E$3,'RV 2015'!$B$3:$P$33,$A32,0)</f>
        <v>0.17666666666666667</v>
      </c>
      <c r="F32" s="787">
        <f>HLOOKUP(F$3,'RV 2015'!$B$3:$P$33,$A32,0)</f>
        <v>0.17666666666666667</v>
      </c>
      <c r="G32" s="787">
        <f>HLOOKUP(G$3,'RV 2015'!$B$3:$P$33,$A32,0)</f>
        <v>0.39166666666666672</v>
      </c>
      <c r="H32" s="787">
        <f>HLOOKUP(H$3,'RV 2015'!$B$3:$P$33,$A32,0)</f>
        <v>0.17666666666666667</v>
      </c>
      <c r="I32" s="787">
        <f>HLOOKUP(I$3,'RV 2015'!$B$3:$P$33,$A32,0)</f>
        <v>0.17666666666666667</v>
      </c>
      <c r="J32" s="780"/>
    </row>
    <row r="33" spans="1:10" ht="13" thickBot="1" x14ac:dyDescent="0.3">
      <c r="A33" s="48">
        <v>31</v>
      </c>
      <c r="B33" s="1055" t="s">
        <v>174</v>
      </c>
      <c r="C33" s="1056"/>
      <c r="D33" s="1056"/>
      <c r="E33" s="788">
        <f>HLOOKUP(E$3,'RV 2015'!$B$3:$P$33,$A33,0)</f>
        <v>10408558.5</v>
      </c>
      <c r="F33" s="788">
        <f>HLOOKUP(F$3,'RV 2015'!$B$3:$P$33,$A33,0)</f>
        <v>4236333.8</v>
      </c>
      <c r="G33" s="788">
        <f>HLOOKUP(G$3,'RV 2015'!$B$3:$P$33,$A33,0)</f>
        <v>2185543.4</v>
      </c>
      <c r="H33" s="788">
        <f>HLOOKUP(H$3,'RV 2015'!$B$3:$P$33,$A33,0)</f>
        <v>1844125</v>
      </c>
      <c r="I33" s="788">
        <f>HLOOKUP(I$3,'RV 2015'!$B$3:$P$33,$A33,0)</f>
        <v>922062.5</v>
      </c>
      <c r="J33" s="788">
        <f>SUMPRODUCT($E$7:$I$7,$E33:$I33)</f>
        <v>36811464.399999999</v>
      </c>
    </row>
    <row r="34" spans="1:10" x14ac:dyDescent="0.25">
      <c r="J34" s="606">
        <f>J33-'RV 2015'!P33</f>
        <v>0</v>
      </c>
    </row>
  </sheetData>
  <mergeCells count="36">
    <mergeCell ref="B30:B32"/>
    <mergeCell ref="C30:D30"/>
    <mergeCell ref="C31:D31"/>
    <mergeCell ref="C32:D32"/>
    <mergeCell ref="B33:D33"/>
    <mergeCell ref="B29:D29"/>
    <mergeCell ref="J20:J23"/>
    <mergeCell ref="C21:D21"/>
    <mergeCell ref="C22:D22"/>
    <mergeCell ref="C23:D23"/>
    <mergeCell ref="C24:D24"/>
    <mergeCell ref="B25:D25"/>
    <mergeCell ref="B26:B28"/>
    <mergeCell ref="C26:D26"/>
    <mergeCell ref="J26:J27"/>
    <mergeCell ref="C27:D27"/>
    <mergeCell ref="C28:D28"/>
    <mergeCell ref="B17:D17"/>
    <mergeCell ref="B18:B19"/>
    <mergeCell ref="C18:D18"/>
    <mergeCell ref="C19:D19"/>
    <mergeCell ref="B20:B24"/>
    <mergeCell ref="C20:D20"/>
    <mergeCell ref="B11:B14"/>
    <mergeCell ref="J11:J13"/>
    <mergeCell ref="C12:C13"/>
    <mergeCell ref="C14:D14"/>
    <mergeCell ref="B15:B16"/>
    <mergeCell ref="C15:D15"/>
    <mergeCell ref="C16:D16"/>
    <mergeCell ref="B10:D10"/>
    <mergeCell ref="B4:J4"/>
    <mergeCell ref="B6:D6"/>
    <mergeCell ref="B7:D7"/>
    <mergeCell ref="B8:D8"/>
    <mergeCell ref="B9:D9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I27"/>
  <sheetViews>
    <sheetView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20.6328125" style="47" customWidth="1"/>
    <col min="3" max="3" width="10.90625" style="47" customWidth="1"/>
    <col min="4" max="4" width="20.36328125" style="47" bestFit="1" customWidth="1"/>
    <col min="5" max="5" width="8.1796875" style="47" customWidth="1"/>
    <col min="6" max="6" width="8.08984375" style="47" customWidth="1"/>
    <col min="7" max="7" width="7.6328125" style="47" customWidth="1"/>
    <col min="8" max="8" width="8.08984375" style="48" bestFit="1" customWidth="1"/>
    <col min="9" max="250" width="11.453125" style="48"/>
    <col min="251" max="251" width="10" style="48" customWidth="1"/>
    <col min="252" max="252" width="50.54296875" style="48" customWidth="1"/>
    <col min="253" max="506" width="11.453125" style="48"/>
    <col min="507" max="507" width="10" style="48" customWidth="1"/>
    <col min="508" max="508" width="50.54296875" style="48" customWidth="1"/>
    <col min="509" max="762" width="11.453125" style="48"/>
    <col min="763" max="763" width="10" style="48" customWidth="1"/>
    <col min="764" max="764" width="50.54296875" style="48" customWidth="1"/>
    <col min="765" max="1018" width="11.453125" style="48"/>
    <col min="1019" max="1019" width="10" style="48" customWidth="1"/>
    <col min="1020" max="1020" width="50.54296875" style="48" customWidth="1"/>
    <col min="1021" max="1274" width="11.453125" style="48"/>
    <col min="1275" max="1275" width="10" style="48" customWidth="1"/>
    <col min="1276" max="1276" width="50.54296875" style="48" customWidth="1"/>
    <col min="1277" max="1530" width="11.453125" style="48"/>
    <col min="1531" max="1531" width="10" style="48" customWidth="1"/>
    <col min="1532" max="1532" width="50.54296875" style="48" customWidth="1"/>
    <col min="1533" max="1786" width="11.453125" style="48"/>
    <col min="1787" max="1787" width="10" style="48" customWidth="1"/>
    <col min="1788" max="1788" width="50.54296875" style="48" customWidth="1"/>
    <col min="1789" max="2042" width="11.453125" style="48"/>
    <col min="2043" max="2043" width="10" style="48" customWidth="1"/>
    <col min="2044" max="2044" width="50.54296875" style="48" customWidth="1"/>
    <col min="2045" max="2298" width="11.453125" style="48"/>
    <col min="2299" max="2299" width="10" style="48" customWidth="1"/>
    <col min="2300" max="2300" width="50.54296875" style="48" customWidth="1"/>
    <col min="2301" max="2554" width="11.453125" style="48"/>
    <col min="2555" max="2555" width="10" style="48" customWidth="1"/>
    <col min="2556" max="2556" width="50.54296875" style="48" customWidth="1"/>
    <col min="2557" max="2810" width="11.453125" style="48"/>
    <col min="2811" max="2811" width="10" style="48" customWidth="1"/>
    <col min="2812" max="2812" width="50.54296875" style="48" customWidth="1"/>
    <col min="2813" max="3066" width="11.453125" style="48"/>
    <col min="3067" max="3067" width="10" style="48" customWidth="1"/>
    <col min="3068" max="3068" width="50.54296875" style="48" customWidth="1"/>
    <col min="3069" max="3322" width="11.453125" style="48"/>
    <col min="3323" max="3323" width="10" style="48" customWidth="1"/>
    <col min="3324" max="3324" width="50.54296875" style="48" customWidth="1"/>
    <col min="3325" max="3578" width="11.453125" style="48"/>
    <col min="3579" max="3579" width="10" style="48" customWidth="1"/>
    <col min="3580" max="3580" width="50.54296875" style="48" customWidth="1"/>
    <col min="3581" max="3834" width="11.453125" style="48"/>
    <col min="3835" max="3835" width="10" style="48" customWidth="1"/>
    <col min="3836" max="3836" width="50.54296875" style="48" customWidth="1"/>
    <col min="3837" max="4090" width="11.453125" style="48"/>
    <col min="4091" max="4091" width="10" style="48" customWidth="1"/>
    <col min="4092" max="4092" width="50.54296875" style="48" customWidth="1"/>
    <col min="4093" max="4346" width="11.453125" style="48"/>
    <col min="4347" max="4347" width="10" style="48" customWidth="1"/>
    <col min="4348" max="4348" width="50.54296875" style="48" customWidth="1"/>
    <col min="4349" max="4602" width="11.453125" style="48"/>
    <col min="4603" max="4603" width="10" style="48" customWidth="1"/>
    <col min="4604" max="4604" width="50.54296875" style="48" customWidth="1"/>
    <col min="4605" max="4858" width="11.453125" style="48"/>
    <col min="4859" max="4859" width="10" style="48" customWidth="1"/>
    <col min="4860" max="4860" width="50.54296875" style="48" customWidth="1"/>
    <col min="4861" max="5114" width="11.453125" style="48"/>
    <col min="5115" max="5115" width="10" style="48" customWidth="1"/>
    <col min="5116" max="5116" width="50.54296875" style="48" customWidth="1"/>
    <col min="5117" max="5370" width="11.453125" style="48"/>
    <col min="5371" max="5371" width="10" style="48" customWidth="1"/>
    <col min="5372" max="5372" width="50.54296875" style="48" customWidth="1"/>
    <col min="5373" max="5626" width="11.453125" style="48"/>
    <col min="5627" max="5627" width="10" style="48" customWidth="1"/>
    <col min="5628" max="5628" width="50.54296875" style="48" customWidth="1"/>
    <col min="5629" max="5882" width="11.453125" style="48"/>
    <col min="5883" max="5883" width="10" style="48" customWidth="1"/>
    <col min="5884" max="5884" width="50.54296875" style="48" customWidth="1"/>
    <col min="5885" max="6138" width="11.453125" style="48"/>
    <col min="6139" max="6139" width="10" style="48" customWidth="1"/>
    <col min="6140" max="6140" width="50.54296875" style="48" customWidth="1"/>
    <col min="6141" max="6394" width="11.453125" style="48"/>
    <col min="6395" max="6395" width="10" style="48" customWidth="1"/>
    <col min="6396" max="6396" width="50.54296875" style="48" customWidth="1"/>
    <col min="6397" max="6650" width="11.453125" style="48"/>
    <col min="6651" max="6651" width="10" style="48" customWidth="1"/>
    <col min="6652" max="6652" width="50.54296875" style="48" customWidth="1"/>
    <col min="6653" max="6906" width="11.453125" style="48"/>
    <col min="6907" max="6907" width="10" style="48" customWidth="1"/>
    <col min="6908" max="6908" width="50.54296875" style="48" customWidth="1"/>
    <col min="6909" max="7162" width="11.453125" style="48"/>
    <col min="7163" max="7163" width="10" style="48" customWidth="1"/>
    <col min="7164" max="7164" width="50.54296875" style="48" customWidth="1"/>
    <col min="7165" max="7418" width="11.453125" style="48"/>
    <col min="7419" max="7419" width="10" style="48" customWidth="1"/>
    <col min="7420" max="7420" width="50.54296875" style="48" customWidth="1"/>
    <col min="7421" max="7674" width="11.453125" style="48"/>
    <col min="7675" max="7675" width="10" style="48" customWidth="1"/>
    <col min="7676" max="7676" width="50.54296875" style="48" customWidth="1"/>
    <col min="7677" max="7930" width="11.453125" style="48"/>
    <col min="7931" max="7931" width="10" style="48" customWidth="1"/>
    <col min="7932" max="7932" width="50.54296875" style="48" customWidth="1"/>
    <col min="7933" max="8186" width="11.453125" style="48"/>
    <col min="8187" max="8187" width="10" style="48" customWidth="1"/>
    <col min="8188" max="8188" width="50.54296875" style="48" customWidth="1"/>
    <col min="8189" max="8442" width="11.453125" style="48"/>
    <col min="8443" max="8443" width="10" style="48" customWidth="1"/>
    <col min="8444" max="8444" width="50.54296875" style="48" customWidth="1"/>
    <col min="8445" max="8698" width="11.453125" style="48"/>
    <col min="8699" max="8699" width="10" style="48" customWidth="1"/>
    <col min="8700" max="8700" width="50.54296875" style="48" customWidth="1"/>
    <col min="8701" max="8954" width="11.453125" style="48"/>
    <col min="8955" max="8955" width="10" style="48" customWidth="1"/>
    <col min="8956" max="8956" width="50.54296875" style="48" customWidth="1"/>
    <col min="8957" max="9210" width="11.453125" style="48"/>
    <col min="9211" max="9211" width="10" style="48" customWidth="1"/>
    <col min="9212" max="9212" width="50.54296875" style="48" customWidth="1"/>
    <col min="9213" max="9466" width="11.453125" style="48"/>
    <col min="9467" max="9467" width="10" style="48" customWidth="1"/>
    <col min="9468" max="9468" width="50.54296875" style="48" customWidth="1"/>
    <col min="9469" max="9722" width="11.453125" style="48"/>
    <col min="9723" max="9723" width="10" style="48" customWidth="1"/>
    <col min="9724" max="9724" width="50.54296875" style="48" customWidth="1"/>
    <col min="9725" max="9978" width="11.453125" style="48"/>
    <col min="9979" max="9979" width="10" style="48" customWidth="1"/>
    <col min="9980" max="9980" width="50.54296875" style="48" customWidth="1"/>
    <col min="9981" max="10234" width="11.453125" style="48"/>
    <col min="10235" max="10235" width="10" style="48" customWidth="1"/>
    <col min="10236" max="10236" width="50.54296875" style="48" customWidth="1"/>
    <col min="10237" max="10490" width="11.453125" style="48"/>
    <col min="10491" max="10491" width="10" style="48" customWidth="1"/>
    <col min="10492" max="10492" width="50.54296875" style="48" customWidth="1"/>
    <col min="10493" max="10746" width="11.453125" style="48"/>
    <col min="10747" max="10747" width="10" style="48" customWidth="1"/>
    <col min="10748" max="10748" width="50.54296875" style="48" customWidth="1"/>
    <col min="10749" max="11002" width="11.453125" style="48"/>
    <col min="11003" max="11003" width="10" style="48" customWidth="1"/>
    <col min="11004" max="11004" width="50.54296875" style="48" customWidth="1"/>
    <col min="11005" max="11258" width="11.453125" style="48"/>
    <col min="11259" max="11259" width="10" style="48" customWidth="1"/>
    <col min="11260" max="11260" width="50.54296875" style="48" customWidth="1"/>
    <col min="11261" max="11514" width="11.453125" style="48"/>
    <col min="11515" max="11515" width="10" style="48" customWidth="1"/>
    <col min="11516" max="11516" width="50.54296875" style="48" customWidth="1"/>
    <col min="11517" max="11770" width="11.453125" style="48"/>
    <col min="11771" max="11771" width="10" style="48" customWidth="1"/>
    <col min="11772" max="11772" width="50.54296875" style="48" customWidth="1"/>
    <col min="11773" max="12026" width="11.453125" style="48"/>
    <col min="12027" max="12027" width="10" style="48" customWidth="1"/>
    <col min="12028" max="12028" width="50.54296875" style="48" customWidth="1"/>
    <col min="12029" max="12282" width="11.453125" style="48"/>
    <col min="12283" max="12283" width="10" style="48" customWidth="1"/>
    <col min="12284" max="12284" width="50.54296875" style="48" customWidth="1"/>
    <col min="12285" max="12538" width="11.453125" style="48"/>
    <col min="12539" max="12539" width="10" style="48" customWidth="1"/>
    <col min="12540" max="12540" width="50.54296875" style="48" customWidth="1"/>
    <col min="12541" max="12794" width="11.453125" style="48"/>
    <col min="12795" max="12795" width="10" style="48" customWidth="1"/>
    <col min="12796" max="12796" width="50.54296875" style="48" customWidth="1"/>
    <col min="12797" max="13050" width="11.453125" style="48"/>
    <col min="13051" max="13051" width="10" style="48" customWidth="1"/>
    <col min="13052" max="13052" width="50.54296875" style="48" customWidth="1"/>
    <col min="13053" max="13306" width="11.453125" style="48"/>
    <col min="13307" max="13307" width="10" style="48" customWidth="1"/>
    <col min="13308" max="13308" width="50.54296875" style="48" customWidth="1"/>
    <col min="13309" max="13562" width="11.453125" style="48"/>
    <col min="13563" max="13563" width="10" style="48" customWidth="1"/>
    <col min="13564" max="13564" width="50.54296875" style="48" customWidth="1"/>
    <col min="13565" max="13818" width="11.453125" style="48"/>
    <col min="13819" max="13819" width="10" style="48" customWidth="1"/>
    <col min="13820" max="13820" width="50.54296875" style="48" customWidth="1"/>
    <col min="13821" max="14074" width="11.453125" style="48"/>
    <col min="14075" max="14075" width="10" style="48" customWidth="1"/>
    <col min="14076" max="14076" width="50.54296875" style="48" customWidth="1"/>
    <col min="14077" max="14330" width="11.453125" style="48"/>
    <col min="14331" max="14331" width="10" style="48" customWidth="1"/>
    <col min="14332" max="14332" width="50.54296875" style="48" customWidth="1"/>
    <col min="14333" max="14586" width="11.453125" style="48"/>
    <col min="14587" max="14587" width="10" style="48" customWidth="1"/>
    <col min="14588" max="14588" width="50.54296875" style="48" customWidth="1"/>
    <col min="14589" max="14842" width="11.453125" style="48"/>
    <col min="14843" max="14843" width="10" style="48" customWidth="1"/>
    <col min="14844" max="14844" width="50.54296875" style="48" customWidth="1"/>
    <col min="14845" max="15098" width="11.453125" style="48"/>
    <col min="15099" max="15099" width="10" style="48" customWidth="1"/>
    <col min="15100" max="15100" width="50.54296875" style="48" customWidth="1"/>
    <col min="15101" max="15354" width="11.453125" style="48"/>
    <col min="15355" max="15355" width="10" style="48" customWidth="1"/>
    <col min="15356" max="15356" width="50.54296875" style="48" customWidth="1"/>
    <col min="15357" max="15610" width="11.453125" style="48"/>
    <col min="15611" max="15611" width="10" style="48" customWidth="1"/>
    <col min="15612" max="15612" width="50.54296875" style="48" customWidth="1"/>
    <col min="15613" max="15866" width="11.453125" style="48"/>
    <col min="15867" max="15867" width="10" style="48" customWidth="1"/>
    <col min="15868" max="15868" width="50.54296875" style="48" customWidth="1"/>
    <col min="15869" max="16122" width="11.453125" style="48"/>
    <col min="16123" max="16123" width="10" style="48" customWidth="1"/>
    <col min="16124" max="16124" width="50.54296875" style="48" customWidth="1"/>
    <col min="16125" max="16384" width="11.453125" style="48"/>
  </cols>
  <sheetData>
    <row r="3" spans="1:9" s="50" customFormat="1" ht="13.5" thickBot="1" x14ac:dyDescent="0.35">
      <c r="B3" s="1001"/>
      <c r="C3" s="1001"/>
      <c r="D3" s="1001"/>
    </row>
    <row r="4" spans="1:9" s="50" customFormat="1" ht="18.5" thickBot="1" x14ac:dyDescent="0.45">
      <c r="B4" s="979" t="str">
        <f>"Horas de Trabajo Mensuales por Consultor Año "&amp;I4</f>
        <v>Horas de Trabajo Mensuales por Consultor Año 2016</v>
      </c>
      <c r="C4" s="980"/>
      <c r="D4" s="980"/>
      <c r="E4" s="980"/>
      <c r="F4" s="980"/>
      <c r="G4" s="980"/>
      <c r="H4" s="981"/>
      <c r="I4" s="50">
        <v>2016</v>
      </c>
    </row>
    <row r="5" spans="1:9" s="50" customFormat="1" ht="13.25" customHeight="1" thickBot="1" x14ac:dyDescent="0.35"/>
    <row r="6" spans="1:9" s="45" customFormat="1" ht="12" customHeight="1" x14ac:dyDescent="0.3">
      <c r="B6" s="1057" t="s">
        <v>89</v>
      </c>
      <c r="C6" s="1059" t="s">
        <v>94</v>
      </c>
      <c r="D6" s="1062" t="s">
        <v>110</v>
      </c>
      <c r="E6" s="1064" t="s">
        <v>112</v>
      </c>
      <c r="F6" s="999"/>
      <c r="G6" s="999"/>
      <c r="H6" s="1065"/>
    </row>
    <row r="7" spans="1:9" s="45" customFormat="1" ht="3" customHeight="1" x14ac:dyDescent="0.3">
      <c r="B7" s="1058"/>
      <c r="C7" s="1060"/>
      <c r="D7" s="1063"/>
      <c r="E7" s="1066"/>
      <c r="F7" s="1067"/>
      <c r="G7" s="1067"/>
      <c r="H7" s="1068"/>
    </row>
    <row r="8" spans="1:9" s="45" customFormat="1" ht="13" x14ac:dyDescent="0.3">
      <c r="B8" s="136"/>
      <c r="C8" s="1061"/>
      <c r="D8" s="134"/>
      <c r="E8" s="121" t="s">
        <v>106</v>
      </c>
      <c r="F8" s="121" t="s">
        <v>107</v>
      </c>
      <c r="G8" s="121" t="s">
        <v>108</v>
      </c>
      <c r="H8" s="133" t="s">
        <v>147</v>
      </c>
    </row>
    <row r="9" spans="1:9" s="46" customFormat="1" x14ac:dyDescent="0.35">
      <c r="A9" s="46">
        <v>1</v>
      </c>
      <c r="B9" s="52" t="s">
        <v>93</v>
      </c>
      <c r="C9" s="53">
        <v>10</v>
      </c>
      <c r="D9" s="53" t="s">
        <v>91</v>
      </c>
      <c r="E9" s="53">
        <v>0</v>
      </c>
      <c r="F9" s="53">
        <v>20</v>
      </c>
      <c r="G9" s="53">
        <f>ROUND(IF($G$26*(F9/($F$9+$F$10+$F$13+$F$17))&gt;F9,F9,$G$26*(F9/($F$9+$F$10+$F$13+$F$17))),0)</f>
        <v>20</v>
      </c>
      <c r="H9" s="138">
        <f>IF(D9="Laboral",100%,G9/F9)</f>
        <v>1</v>
      </c>
    </row>
    <row r="10" spans="1:9" s="46" customFormat="1" x14ac:dyDescent="0.35">
      <c r="A10" s="46">
        <v>2</v>
      </c>
      <c r="B10" s="52" t="s">
        <v>90</v>
      </c>
      <c r="C10" s="53">
        <v>2</v>
      </c>
      <c r="D10" s="53" t="s">
        <v>91</v>
      </c>
      <c r="E10" s="53">
        <v>20</v>
      </c>
      <c r="F10" s="53">
        <v>40</v>
      </c>
      <c r="G10" s="53">
        <f t="shared" ref="G10" si="0">ROUND(IF($G$26*(F10/($F$9+$F$10+$F$13+$F$17))&gt;F10,F10,$G$26*(F10/($F$9+$F$10+$F$13+$F$17))),0)</f>
        <v>40</v>
      </c>
      <c r="H10" s="138">
        <f t="shared" ref="H10:H17" si="1">IF(D10="Laboral",100%,G10/F10)</f>
        <v>1</v>
      </c>
    </row>
    <row r="11" spans="1:9" s="46" customFormat="1" x14ac:dyDescent="0.35">
      <c r="A11" s="46">
        <v>3</v>
      </c>
      <c r="B11" s="52" t="s">
        <v>90</v>
      </c>
      <c r="C11" s="53">
        <v>2</v>
      </c>
      <c r="D11" s="53" t="s">
        <v>145</v>
      </c>
      <c r="E11" s="53">
        <v>10</v>
      </c>
      <c r="F11" s="53">
        <v>40</v>
      </c>
      <c r="G11" s="57">
        <f>ROUND(IF(($G$26-($G$9+$G$10+$G$13+$G$17))*(F11/($F$11+$F$12+$F$14+$F$15+$F$16))&gt;F11,F11,($G$26-($G$9+$G$10+$G$13+$G$17))*(F11/($F$11+$F$12+$F$14+$F$15+$F$16))),0)</f>
        <v>25</v>
      </c>
      <c r="H11" s="138">
        <f t="shared" si="1"/>
        <v>0.625</v>
      </c>
    </row>
    <row r="12" spans="1:9" s="46" customFormat="1" x14ac:dyDescent="0.35">
      <c r="A12" s="46">
        <v>4</v>
      </c>
      <c r="B12" s="52" t="s">
        <v>90</v>
      </c>
      <c r="C12" s="53">
        <v>3</v>
      </c>
      <c r="D12" s="53" t="s">
        <v>145</v>
      </c>
      <c r="E12" s="53">
        <v>10</v>
      </c>
      <c r="F12" s="53">
        <v>40</v>
      </c>
      <c r="G12" s="57">
        <f t="shared" ref="G12" si="2">ROUND(IF(($G$26-($G$9+$G$10+$G$13+$G$17))*(F12/($F$11+$F$12+$F$14+$F$15+$F$16))&gt;F12,F12,($G$26-($G$9+$G$10+$G$13+$G$17))*(F12/($F$11+$F$12+$F$14+$F$15+$F$16))),0)</f>
        <v>25</v>
      </c>
      <c r="H12" s="138">
        <f t="shared" si="1"/>
        <v>0.625</v>
      </c>
    </row>
    <row r="13" spans="1:9" s="46" customFormat="1" x14ac:dyDescent="0.35">
      <c r="A13" s="46">
        <v>5</v>
      </c>
      <c r="B13" s="52" t="s">
        <v>90</v>
      </c>
      <c r="C13" s="53">
        <v>5</v>
      </c>
      <c r="D13" s="53" t="s">
        <v>91</v>
      </c>
      <c r="E13" s="53">
        <v>20</v>
      </c>
      <c r="F13" s="53">
        <v>40</v>
      </c>
      <c r="G13" s="53">
        <f>ROUND(IF($G$26*(F13/($F$9+$F$10+$F$13+$F$17))&gt;F13,F13,$G$26*(F13/($F$9+$F$10+$F$13+$F$17))),0)</f>
        <v>40</v>
      </c>
      <c r="H13" s="138">
        <f t="shared" si="1"/>
        <v>1</v>
      </c>
    </row>
    <row r="14" spans="1:9" s="46" customFormat="1" x14ac:dyDescent="0.35">
      <c r="A14" s="46">
        <v>6</v>
      </c>
      <c r="B14" s="52" t="s">
        <v>90</v>
      </c>
      <c r="C14" s="53">
        <v>2</v>
      </c>
      <c r="D14" s="53" t="s">
        <v>145</v>
      </c>
      <c r="E14" s="53">
        <v>10</v>
      </c>
      <c r="F14" s="53">
        <v>40</v>
      </c>
      <c r="G14" s="57">
        <f t="shared" ref="G14:G16" si="3">ROUND(IF(($G$26-($G$9+$G$10+$G$13+$G$17))*(F14/($F$11+$F$12+$F$14+$F$15+$F$16))&gt;F14,F14,($G$26-($G$9+$G$10+$G$13+$G$17))*(F14/($F$11+$F$12+$F$14+$F$15+$F$16))),0)</f>
        <v>25</v>
      </c>
      <c r="H14" s="138">
        <f t="shared" si="1"/>
        <v>0.625</v>
      </c>
    </row>
    <row r="15" spans="1:9" s="46" customFormat="1" x14ac:dyDescent="0.35">
      <c r="A15" s="46">
        <v>7</v>
      </c>
      <c r="B15" s="52" t="s">
        <v>90</v>
      </c>
      <c r="C15" s="53">
        <v>2</v>
      </c>
      <c r="D15" s="53" t="s">
        <v>145</v>
      </c>
      <c r="E15" s="53">
        <v>10</v>
      </c>
      <c r="F15" s="53">
        <v>40</v>
      </c>
      <c r="G15" s="57">
        <f t="shared" si="3"/>
        <v>25</v>
      </c>
      <c r="H15" s="138">
        <f t="shared" si="1"/>
        <v>0.625</v>
      </c>
    </row>
    <row r="16" spans="1:9" s="46" customFormat="1" x14ac:dyDescent="0.35">
      <c r="A16" s="46">
        <v>8</v>
      </c>
      <c r="B16" s="52" t="s">
        <v>90</v>
      </c>
      <c r="C16" s="53">
        <v>7</v>
      </c>
      <c r="D16" s="53" t="s">
        <v>145</v>
      </c>
      <c r="E16" s="53">
        <v>10</v>
      </c>
      <c r="F16" s="53">
        <v>40</v>
      </c>
      <c r="G16" s="57">
        <f t="shared" si="3"/>
        <v>25</v>
      </c>
      <c r="H16" s="138">
        <f t="shared" si="1"/>
        <v>0.625</v>
      </c>
    </row>
    <row r="17" spans="1:8" s="46" customFormat="1" x14ac:dyDescent="0.35">
      <c r="A17" s="46">
        <v>9</v>
      </c>
      <c r="B17" s="52" t="s">
        <v>90</v>
      </c>
      <c r="C17" s="53">
        <v>2</v>
      </c>
      <c r="D17" s="53" t="s">
        <v>91</v>
      </c>
      <c r="E17" s="53">
        <v>20</v>
      </c>
      <c r="F17" s="53">
        <v>40</v>
      </c>
      <c r="G17" s="53">
        <f>ROUND(IF($G$26*(F17/($F$9+$F$10+$F$13+$F$17))&gt;F17,F17,$G$26*(F17/($F$9+$F$10+$F$13+$F$17))),0)</f>
        <v>40</v>
      </c>
      <c r="H17" s="138">
        <f t="shared" si="1"/>
        <v>1</v>
      </c>
    </row>
    <row r="18" spans="1:8" s="46" customFormat="1" x14ac:dyDescent="0.35">
      <c r="B18" s="122"/>
      <c r="C18" s="123"/>
      <c r="D18" s="123"/>
      <c r="E18" s="123"/>
      <c r="F18" s="123"/>
      <c r="G18" s="123"/>
      <c r="H18" s="141"/>
    </row>
    <row r="19" spans="1:8" s="46" customFormat="1" ht="13" x14ac:dyDescent="0.35">
      <c r="B19" s="73" t="s">
        <v>103</v>
      </c>
      <c r="C19" s="65"/>
      <c r="D19" s="65"/>
      <c r="E19" s="65"/>
      <c r="F19" s="66"/>
      <c r="G19" s="74">
        <f>SUM(G9:G17)</f>
        <v>265</v>
      </c>
      <c r="H19" s="139"/>
    </row>
    <row r="20" spans="1:8" s="46" customFormat="1" x14ac:dyDescent="0.35">
      <c r="B20" s="52"/>
      <c r="C20" s="53"/>
      <c r="D20" s="53"/>
      <c r="E20" s="53"/>
      <c r="F20" s="53"/>
      <c r="G20" s="53"/>
      <c r="H20" s="139"/>
    </row>
    <row r="21" spans="1:8" s="46" customFormat="1" x14ac:dyDescent="0.35">
      <c r="A21" s="46">
        <v>10</v>
      </c>
      <c r="B21" s="52" t="s">
        <v>146</v>
      </c>
      <c r="C21" s="58" t="s">
        <v>45</v>
      </c>
      <c r="D21" s="53" t="s">
        <v>91</v>
      </c>
      <c r="E21" s="53">
        <v>20</v>
      </c>
      <c r="F21" s="53">
        <v>40</v>
      </c>
      <c r="G21" s="53">
        <f>F21</f>
        <v>40</v>
      </c>
      <c r="H21" s="138">
        <f t="shared" ref="H21:H22" si="4">IF(D21="Laboral",100%,G21/F21)</f>
        <v>1</v>
      </c>
    </row>
    <row r="22" spans="1:8" s="46" customFormat="1" x14ac:dyDescent="0.35">
      <c r="A22" s="46">
        <v>11</v>
      </c>
      <c r="B22" s="52" t="s">
        <v>92</v>
      </c>
      <c r="C22" s="58" t="s">
        <v>45</v>
      </c>
      <c r="D22" s="53" t="s">
        <v>91</v>
      </c>
      <c r="E22" s="53">
        <v>20</v>
      </c>
      <c r="F22" s="53">
        <v>40</v>
      </c>
      <c r="G22" s="53">
        <f>F22</f>
        <v>40</v>
      </c>
      <c r="H22" s="138">
        <f t="shared" si="4"/>
        <v>1</v>
      </c>
    </row>
    <row r="23" spans="1:8" x14ac:dyDescent="0.25">
      <c r="B23" s="129"/>
      <c r="C23" s="130"/>
      <c r="D23" s="130"/>
      <c r="E23" s="130"/>
      <c r="F23" s="130"/>
      <c r="G23" s="130"/>
      <c r="H23" s="140"/>
    </row>
    <row r="24" spans="1:8" ht="13.5" thickBot="1" x14ac:dyDescent="0.35">
      <c r="B24" s="68" t="s">
        <v>65</v>
      </c>
      <c r="C24" s="69"/>
      <c r="D24" s="69"/>
      <c r="E24" s="69"/>
      <c r="F24" s="70"/>
      <c r="G24" s="63">
        <f>SUM(G19:G22)</f>
        <v>345</v>
      </c>
      <c r="H24" s="137"/>
    </row>
    <row r="25" spans="1:8" x14ac:dyDescent="0.25">
      <c r="G25" s="51"/>
    </row>
    <row r="26" spans="1:8" x14ac:dyDescent="0.25">
      <c r="B26" s="47" t="s">
        <v>104</v>
      </c>
      <c r="G26" s="51">
        <f>HLOOKUP($I$4,'HP Proyect'!$B$4:$F$6,2,0)</f>
        <v>263</v>
      </c>
    </row>
    <row r="27" spans="1:8" x14ac:dyDescent="0.25">
      <c r="B27" s="47" t="s">
        <v>105</v>
      </c>
      <c r="G27" s="51">
        <f>G19-G26</f>
        <v>2</v>
      </c>
    </row>
  </sheetData>
  <mergeCells count="6">
    <mergeCell ref="B3:D3"/>
    <mergeCell ref="B4:H4"/>
    <mergeCell ref="B6:B7"/>
    <mergeCell ref="C6:C8"/>
    <mergeCell ref="D6:D7"/>
    <mergeCell ref="E6:H7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P28"/>
  <sheetViews>
    <sheetView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6.54296875" style="47" bestFit="1" customWidth="1"/>
    <col min="4" max="4" width="8.81640625" style="47" bestFit="1" customWidth="1"/>
    <col min="5" max="5" width="5.36328125" style="48" bestFit="1" customWidth="1"/>
    <col min="6" max="6" width="6.08984375" style="48" bestFit="1" customWidth="1"/>
    <col min="7" max="7" width="8.81640625" style="48" bestFit="1" customWidth="1"/>
    <col min="8" max="8" width="5.36328125" style="48" bestFit="1" customWidth="1"/>
    <col min="9" max="9" width="10.81640625" style="48" bestFit="1" customWidth="1"/>
    <col min="10" max="10" width="6.6328125" style="48" bestFit="1" customWidth="1"/>
    <col min="11" max="13" width="6.6328125" style="48" customWidth="1"/>
    <col min="14" max="14" width="7.26953125" style="48" customWidth="1"/>
    <col min="15" max="15" width="12" style="48" customWidth="1"/>
    <col min="16" max="263" width="11.453125" style="48"/>
    <col min="264" max="264" width="10" style="48" customWidth="1"/>
    <col min="265" max="265" width="50.54296875" style="48" customWidth="1"/>
    <col min="266" max="519" width="11.453125" style="48"/>
    <col min="520" max="520" width="10" style="48" customWidth="1"/>
    <col min="521" max="521" width="50.54296875" style="48" customWidth="1"/>
    <col min="522" max="775" width="11.453125" style="48"/>
    <col min="776" max="776" width="10" style="48" customWidth="1"/>
    <col min="777" max="777" width="50.54296875" style="48" customWidth="1"/>
    <col min="778" max="1031" width="11.453125" style="48"/>
    <col min="1032" max="1032" width="10" style="48" customWidth="1"/>
    <col min="1033" max="1033" width="50.54296875" style="48" customWidth="1"/>
    <col min="1034" max="1287" width="11.453125" style="48"/>
    <col min="1288" max="1288" width="10" style="48" customWidth="1"/>
    <col min="1289" max="1289" width="50.54296875" style="48" customWidth="1"/>
    <col min="1290" max="1543" width="11.453125" style="48"/>
    <col min="1544" max="1544" width="10" style="48" customWidth="1"/>
    <col min="1545" max="1545" width="50.54296875" style="48" customWidth="1"/>
    <col min="1546" max="1799" width="11.453125" style="48"/>
    <col min="1800" max="1800" width="10" style="48" customWidth="1"/>
    <col min="1801" max="1801" width="50.54296875" style="48" customWidth="1"/>
    <col min="1802" max="2055" width="11.453125" style="48"/>
    <col min="2056" max="2056" width="10" style="48" customWidth="1"/>
    <col min="2057" max="2057" width="50.54296875" style="48" customWidth="1"/>
    <col min="2058" max="2311" width="11.453125" style="48"/>
    <col min="2312" max="2312" width="10" style="48" customWidth="1"/>
    <col min="2313" max="2313" width="50.54296875" style="48" customWidth="1"/>
    <col min="2314" max="2567" width="11.453125" style="48"/>
    <col min="2568" max="2568" width="10" style="48" customWidth="1"/>
    <col min="2569" max="2569" width="50.54296875" style="48" customWidth="1"/>
    <col min="2570" max="2823" width="11.453125" style="48"/>
    <col min="2824" max="2824" width="10" style="48" customWidth="1"/>
    <col min="2825" max="2825" width="50.54296875" style="48" customWidth="1"/>
    <col min="2826" max="3079" width="11.453125" style="48"/>
    <col min="3080" max="3080" width="10" style="48" customWidth="1"/>
    <col min="3081" max="3081" width="50.54296875" style="48" customWidth="1"/>
    <col min="3082" max="3335" width="11.453125" style="48"/>
    <col min="3336" max="3336" width="10" style="48" customWidth="1"/>
    <col min="3337" max="3337" width="50.54296875" style="48" customWidth="1"/>
    <col min="3338" max="3591" width="11.453125" style="48"/>
    <col min="3592" max="3592" width="10" style="48" customWidth="1"/>
    <col min="3593" max="3593" width="50.54296875" style="48" customWidth="1"/>
    <col min="3594" max="3847" width="11.453125" style="48"/>
    <col min="3848" max="3848" width="10" style="48" customWidth="1"/>
    <col min="3849" max="3849" width="50.54296875" style="48" customWidth="1"/>
    <col min="3850" max="4103" width="11.453125" style="48"/>
    <col min="4104" max="4104" width="10" style="48" customWidth="1"/>
    <col min="4105" max="4105" width="50.54296875" style="48" customWidth="1"/>
    <col min="4106" max="4359" width="11.453125" style="48"/>
    <col min="4360" max="4360" width="10" style="48" customWidth="1"/>
    <col min="4361" max="4361" width="50.54296875" style="48" customWidth="1"/>
    <col min="4362" max="4615" width="11.453125" style="48"/>
    <col min="4616" max="4616" width="10" style="48" customWidth="1"/>
    <col min="4617" max="4617" width="50.54296875" style="48" customWidth="1"/>
    <col min="4618" max="4871" width="11.453125" style="48"/>
    <col min="4872" max="4872" width="10" style="48" customWidth="1"/>
    <col min="4873" max="4873" width="50.54296875" style="48" customWidth="1"/>
    <col min="4874" max="5127" width="11.453125" style="48"/>
    <col min="5128" max="5128" width="10" style="48" customWidth="1"/>
    <col min="5129" max="5129" width="50.54296875" style="48" customWidth="1"/>
    <col min="5130" max="5383" width="11.453125" style="48"/>
    <col min="5384" max="5384" width="10" style="48" customWidth="1"/>
    <col min="5385" max="5385" width="50.54296875" style="48" customWidth="1"/>
    <col min="5386" max="5639" width="11.453125" style="48"/>
    <col min="5640" max="5640" width="10" style="48" customWidth="1"/>
    <col min="5641" max="5641" width="50.54296875" style="48" customWidth="1"/>
    <col min="5642" max="5895" width="11.453125" style="48"/>
    <col min="5896" max="5896" width="10" style="48" customWidth="1"/>
    <col min="5897" max="5897" width="50.54296875" style="48" customWidth="1"/>
    <col min="5898" max="6151" width="11.453125" style="48"/>
    <col min="6152" max="6152" width="10" style="48" customWidth="1"/>
    <col min="6153" max="6153" width="50.54296875" style="48" customWidth="1"/>
    <col min="6154" max="6407" width="11.453125" style="48"/>
    <col min="6408" max="6408" width="10" style="48" customWidth="1"/>
    <col min="6409" max="6409" width="50.54296875" style="48" customWidth="1"/>
    <col min="6410" max="6663" width="11.453125" style="48"/>
    <col min="6664" max="6664" width="10" style="48" customWidth="1"/>
    <col min="6665" max="6665" width="50.54296875" style="48" customWidth="1"/>
    <col min="6666" max="6919" width="11.453125" style="48"/>
    <col min="6920" max="6920" width="10" style="48" customWidth="1"/>
    <col min="6921" max="6921" width="50.54296875" style="48" customWidth="1"/>
    <col min="6922" max="7175" width="11.453125" style="48"/>
    <col min="7176" max="7176" width="10" style="48" customWidth="1"/>
    <col min="7177" max="7177" width="50.54296875" style="48" customWidth="1"/>
    <col min="7178" max="7431" width="11.453125" style="48"/>
    <col min="7432" max="7432" width="10" style="48" customWidth="1"/>
    <col min="7433" max="7433" width="50.54296875" style="48" customWidth="1"/>
    <col min="7434" max="7687" width="11.453125" style="48"/>
    <col min="7688" max="7688" width="10" style="48" customWidth="1"/>
    <col min="7689" max="7689" width="50.54296875" style="48" customWidth="1"/>
    <col min="7690" max="7943" width="11.453125" style="48"/>
    <col min="7944" max="7944" width="10" style="48" customWidth="1"/>
    <col min="7945" max="7945" width="50.54296875" style="48" customWidth="1"/>
    <col min="7946" max="8199" width="11.453125" style="48"/>
    <col min="8200" max="8200" width="10" style="48" customWidth="1"/>
    <col min="8201" max="8201" width="50.54296875" style="48" customWidth="1"/>
    <col min="8202" max="8455" width="11.453125" style="48"/>
    <col min="8456" max="8456" width="10" style="48" customWidth="1"/>
    <col min="8457" max="8457" width="50.54296875" style="48" customWidth="1"/>
    <col min="8458" max="8711" width="11.453125" style="48"/>
    <col min="8712" max="8712" width="10" style="48" customWidth="1"/>
    <col min="8713" max="8713" width="50.54296875" style="48" customWidth="1"/>
    <col min="8714" max="8967" width="11.453125" style="48"/>
    <col min="8968" max="8968" width="10" style="48" customWidth="1"/>
    <col min="8969" max="8969" width="50.54296875" style="48" customWidth="1"/>
    <col min="8970" max="9223" width="11.453125" style="48"/>
    <col min="9224" max="9224" width="10" style="48" customWidth="1"/>
    <col min="9225" max="9225" width="50.54296875" style="48" customWidth="1"/>
    <col min="9226" max="9479" width="11.453125" style="48"/>
    <col min="9480" max="9480" width="10" style="48" customWidth="1"/>
    <col min="9481" max="9481" width="50.54296875" style="48" customWidth="1"/>
    <col min="9482" max="9735" width="11.453125" style="48"/>
    <col min="9736" max="9736" width="10" style="48" customWidth="1"/>
    <col min="9737" max="9737" width="50.54296875" style="48" customWidth="1"/>
    <col min="9738" max="9991" width="11.453125" style="48"/>
    <col min="9992" max="9992" width="10" style="48" customWidth="1"/>
    <col min="9993" max="9993" width="50.54296875" style="48" customWidth="1"/>
    <col min="9994" max="10247" width="11.453125" style="48"/>
    <col min="10248" max="10248" width="10" style="48" customWidth="1"/>
    <col min="10249" max="10249" width="50.54296875" style="48" customWidth="1"/>
    <col min="10250" max="10503" width="11.453125" style="48"/>
    <col min="10504" max="10504" width="10" style="48" customWidth="1"/>
    <col min="10505" max="10505" width="50.54296875" style="48" customWidth="1"/>
    <col min="10506" max="10759" width="11.453125" style="48"/>
    <col min="10760" max="10760" width="10" style="48" customWidth="1"/>
    <col min="10761" max="10761" width="50.54296875" style="48" customWidth="1"/>
    <col min="10762" max="11015" width="11.453125" style="48"/>
    <col min="11016" max="11016" width="10" style="48" customWidth="1"/>
    <col min="11017" max="11017" width="50.54296875" style="48" customWidth="1"/>
    <col min="11018" max="11271" width="11.453125" style="48"/>
    <col min="11272" max="11272" width="10" style="48" customWidth="1"/>
    <col min="11273" max="11273" width="50.54296875" style="48" customWidth="1"/>
    <col min="11274" max="11527" width="11.453125" style="48"/>
    <col min="11528" max="11528" width="10" style="48" customWidth="1"/>
    <col min="11529" max="11529" width="50.54296875" style="48" customWidth="1"/>
    <col min="11530" max="11783" width="11.453125" style="48"/>
    <col min="11784" max="11784" width="10" style="48" customWidth="1"/>
    <col min="11785" max="11785" width="50.54296875" style="48" customWidth="1"/>
    <col min="11786" max="12039" width="11.453125" style="48"/>
    <col min="12040" max="12040" width="10" style="48" customWidth="1"/>
    <col min="12041" max="12041" width="50.54296875" style="48" customWidth="1"/>
    <col min="12042" max="12295" width="11.453125" style="48"/>
    <col min="12296" max="12296" width="10" style="48" customWidth="1"/>
    <col min="12297" max="12297" width="50.54296875" style="48" customWidth="1"/>
    <col min="12298" max="12551" width="11.453125" style="48"/>
    <col min="12552" max="12552" width="10" style="48" customWidth="1"/>
    <col min="12553" max="12553" width="50.54296875" style="48" customWidth="1"/>
    <col min="12554" max="12807" width="11.453125" style="48"/>
    <col min="12808" max="12808" width="10" style="48" customWidth="1"/>
    <col min="12809" max="12809" width="50.54296875" style="48" customWidth="1"/>
    <col min="12810" max="13063" width="11.453125" style="48"/>
    <col min="13064" max="13064" width="10" style="48" customWidth="1"/>
    <col min="13065" max="13065" width="50.54296875" style="48" customWidth="1"/>
    <col min="13066" max="13319" width="11.453125" style="48"/>
    <col min="13320" max="13320" width="10" style="48" customWidth="1"/>
    <col min="13321" max="13321" width="50.54296875" style="48" customWidth="1"/>
    <col min="13322" max="13575" width="11.453125" style="48"/>
    <col min="13576" max="13576" width="10" style="48" customWidth="1"/>
    <col min="13577" max="13577" width="50.54296875" style="48" customWidth="1"/>
    <col min="13578" max="13831" width="11.453125" style="48"/>
    <col min="13832" max="13832" width="10" style="48" customWidth="1"/>
    <col min="13833" max="13833" width="50.54296875" style="48" customWidth="1"/>
    <col min="13834" max="14087" width="11.453125" style="48"/>
    <col min="14088" max="14088" width="10" style="48" customWidth="1"/>
    <col min="14089" max="14089" width="50.54296875" style="48" customWidth="1"/>
    <col min="14090" max="14343" width="11.453125" style="48"/>
    <col min="14344" max="14344" width="10" style="48" customWidth="1"/>
    <col min="14345" max="14345" width="50.54296875" style="48" customWidth="1"/>
    <col min="14346" max="14599" width="11.453125" style="48"/>
    <col min="14600" max="14600" width="10" style="48" customWidth="1"/>
    <col min="14601" max="14601" width="50.54296875" style="48" customWidth="1"/>
    <col min="14602" max="14855" width="11.453125" style="48"/>
    <col min="14856" max="14856" width="10" style="48" customWidth="1"/>
    <col min="14857" max="14857" width="50.54296875" style="48" customWidth="1"/>
    <col min="14858" max="15111" width="11.453125" style="48"/>
    <col min="15112" max="15112" width="10" style="48" customWidth="1"/>
    <col min="15113" max="15113" width="50.54296875" style="48" customWidth="1"/>
    <col min="15114" max="15367" width="11.453125" style="48"/>
    <col min="15368" max="15368" width="10" style="48" customWidth="1"/>
    <col min="15369" max="15369" width="50.54296875" style="48" customWidth="1"/>
    <col min="15370" max="15623" width="11.453125" style="48"/>
    <col min="15624" max="15624" width="10" style="48" customWidth="1"/>
    <col min="15625" max="15625" width="50.54296875" style="48" customWidth="1"/>
    <col min="15626" max="15879" width="11.453125" style="48"/>
    <col min="15880" max="15880" width="10" style="48" customWidth="1"/>
    <col min="15881" max="15881" width="50.54296875" style="48" customWidth="1"/>
    <col min="15882" max="16135" width="11.453125" style="48"/>
    <col min="16136" max="16136" width="10" style="48" customWidth="1"/>
    <col min="16137" max="16137" width="50.54296875" style="48" customWidth="1"/>
    <col min="16138" max="16384" width="11.453125" style="48"/>
  </cols>
  <sheetData>
    <row r="3" spans="1:16" s="50" customFormat="1" ht="13.5" thickBot="1" x14ac:dyDescent="0.35">
      <c r="B3" s="1001"/>
      <c r="C3" s="1001"/>
      <c r="D3" s="1001"/>
      <c r="L3" s="195"/>
      <c r="M3" s="195"/>
    </row>
    <row r="4" spans="1:16" s="50" customFormat="1" ht="18.5" thickBot="1" x14ac:dyDescent="0.45">
      <c r="B4" s="979" t="str">
        <f>"Remuneración Fija Mensual Presupuestada Año "&amp;P4</f>
        <v>Remuneración Fija Mensual Presupuestada Año 2016</v>
      </c>
      <c r="C4" s="980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1"/>
      <c r="P4" s="50">
        <f>'HC 2016'!I4</f>
        <v>2016</v>
      </c>
    </row>
    <row r="5" spans="1:16" s="50" customFormat="1" ht="13.5" thickBot="1" x14ac:dyDescent="0.35">
      <c r="L5" s="195"/>
      <c r="M5" s="195"/>
    </row>
    <row r="6" spans="1:16" s="45" customFormat="1" ht="12" customHeight="1" x14ac:dyDescent="0.3">
      <c r="B6" s="1057" t="s">
        <v>89</v>
      </c>
      <c r="C6" s="1059" t="s">
        <v>833</v>
      </c>
      <c r="D6" s="1062" t="s">
        <v>110</v>
      </c>
      <c r="E6" s="1072" t="s">
        <v>95</v>
      </c>
      <c r="F6" s="1072"/>
      <c r="G6" s="1072"/>
      <c r="H6" s="1072"/>
      <c r="I6" s="1072"/>
      <c r="J6" s="1072"/>
      <c r="K6" s="1073"/>
      <c r="L6" s="1073"/>
      <c r="M6" s="1073"/>
      <c r="N6" s="1073"/>
      <c r="O6" s="1074"/>
      <c r="P6" s="60">
        <f>HLOOKUP($P$4,'Ing Proyect'!$B$6:$G$12,2,0)</f>
        <v>667000</v>
      </c>
    </row>
    <row r="7" spans="1:16" s="45" customFormat="1" ht="13.75" customHeight="1" x14ac:dyDescent="0.3">
      <c r="B7" s="1058"/>
      <c r="C7" s="1060"/>
      <c r="D7" s="1063"/>
      <c r="E7" s="1069" t="s">
        <v>144</v>
      </c>
      <c r="F7" s="1070"/>
      <c r="G7" s="1070"/>
      <c r="H7" s="1070"/>
      <c r="I7" s="1070"/>
      <c r="J7" s="1070"/>
      <c r="K7" s="1070"/>
      <c r="L7" s="1070"/>
      <c r="M7" s="1070"/>
      <c r="N7" s="1071"/>
      <c r="O7" s="1079" t="s">
        <v>148</v>
      </c>
      <c r="P7" s="135"/>
    </row>
    <row r="8" spans="1:16" s="45" customFormat="1" ht="13" customHeight="1" x14ac:dyDescent="0.3">
      <c r="B8" s="1058"/>
      <c r="C8" s="1060"/>
      <c r="D8" s="1063"/>
      <c r="E8" s="221" t="s">
        <v>96</v>
      </c>
      <c r="F8" s="221" t="s">
        <v>113</v>
      </c>
      <c r="G8" s="221" t="s">
        <v>97</v>
      </c>
      <c r="H8" s="221" t="s">
        <v>65</v>
      </c>
      <c r="I8" s="222" t="s">
        <v>102</v>
      </c>
      <c r="J8" s="222" t="s">
        <v>101</v>
      </c>
      <c r="K8" s="1075" t="s">
        <v>205</v>
      </c>
      <c r="L8" s="1076"/>
      <c r="M8" s="1076"/>
      <c r="N8" s="1077" t="s">
        <v>206</v>
      </c>
      <c r="O8" s="1080"/>
      <c r="P8" s="135"/>
    </row>
    <row r="9" spans="1:16" s="45" customFormat="1" ht="13" x14ac:dyDescent="0.3">
      <c r="B9" s="196"/>
      <c r="C9" s="194"/>
      <c r="D9" s="197"/>
      <c r="E9" s="223"/>
      <c r="F9" s="223"/>
      <c r="G9" s="223"/>
      <c r="H9" s="223"/>
      <c r="I9" s="224"/>
      <c r="J9" s="224"/>
      <c r="K9" s="191" t="s">
        <v>203</v>
      </c>
      <c r="L9" s="191" t="s">
        <v>204</v>
      </c>
      <c r="M9" s="191" t="s">
        <v>65</v>
      </c>
      <c r="N9" s="1078"/>
      <c r="O9" s="1081"/>
      <c r="P9" s="220"/>
    </row>
    <row r="10" spans="1:16" s="46" customFormat="1" x14ac:dyDescent="0.25">
      <c r="A10" s="46">
        <v>1</v>
      </c>
      <c r="B10" s="52" t="s">
        <v>93</v>
      </c>
      <c r="C10" s="53">
        <f>'RF 2015'!C10+1</f>
        <v>11</v>
      </c>
      <c r="D10" s="53" t="s">
        <v>91</v>
      </c>
      <c r="E10" s="54">
        <v>4</v>
      </c>
      <c r="F10" s="55">
        <f t="shared" ref="F10:F18" si="0">IF(C10=2,1,IF(C10=3,1.5,2))</f>
        <v>2</v>
      </c>
      <c r="G10" s="54">
        <v>6</v>
      </c>
      <c r="H10" s="54">
        <f>SUM(E10:G10)</f>
        <v>12</v>
      </c>
      <c r="I10" s="56">
        <f>VLOOKUP($A10,'HC 2016'!$A$9:$H$24,8,0)</f>
        <v>1</v>
      </c>
      <c r="J10" s="61">
        <f>H10*I10</f>
        <v>12</v>
      </c>
      <c r="K10" s="82">
        <f>VLOOKUP("Subtotal prestaciones sociales",Factor!$B$6:$F$25,IF($D10="Laboral",3,5),0)</f>
        <v>0.17666666666666667</v>
      </c>
      <c r="L10" s="82">
        <f>IF($D10="Laboral",0,VLOOKUP("Subtotal seguridad social",Factor!$B$6:$F$25,5))</f>
        <v>0</v>
      </c>
      <c r="M10" s="82">
        <f>SUM(K10:L10)</f>
        <v>0.17666666666666667</v>
      </c>
      <c r="N10" s="80">
        <f>ROUND(J10*(1+M10),1)</f>
        <v>14.1</v>
      </c>
      <c r="O10" s="62">
        <f t="shared" ref="O10:O18" si="1">N10*$P$6</f>
        <v>9404700</v>
      </c>
    </row>
    <row r="11" spans="1:16" s="46" customFormat="1" x14ac:dyDescent="0.25">
      <c r="A11" s="46">
        <v>2</v>
      </c>
      <c r="B11" s="52" t="s">
        <v>90</v>
      </c>
      <c r="C11" s="53">
        <f>'RF 2015'!C11+1</f>
        <v>3</v>
      </c>
      <c r="D11" s="53" t="s">
        <v>91</v>
      </c>
      <c r="E11" s="54">
        <v>4</v>
      </c>
      <c r="F11" s="55">
        <f t="shared" si="0"/>
        <v>1.5</v>
      </c>
      <c r="G11" s="54">
        <v>0</v>
      </c>
      <c r="H11" s="54">
        <f t="shared" ref="H11:H18" si="2">SUM(E11:G11)</f>
        <v>5.5</v>
      </c>
      <c r="I11" s="56">
        <f>VLOOKUP($A11,'HC 2016'!$A$9:$H$24,8,0)</f>
        <v>1</v>
      </c>
      <c r="J11" s="61">
        <f t="shared" ref="J11:J18" si="3">H11*I11</f>
        <v>5.5</v>
      </c>
      <c r="K11" s="82">
        <f>VLOOKUP("Subtotal prestaciones sociales",Factor!$B$6:$F$25,IF($D11="Laboral",3,5),0)</f>
        <v>0.17666666666666667</v>
      </c>
      <c r="L11" s="82">
        <f>IF($D11="Laboral",0,VLOOKUP("Subtotal seguridad social",Factor!$B$6:$F$25,5))</f>
        <v>0</v>
      </c>
      <c r="M11" s="82">
        <f t="shared" ref="M11:M18" si="4">SUM(K11:L11)</f>
        <v>0.17666666666666667</v>
      </c>
      <c r="N11" s="80">
        <f t="shared" ref="N11:N18" si="5">ROUND(J11*(1+M11),1)</f>
        <v>6.5</v>
      </c>
      <c r="O11" s="62">
        <f t="shared" si="1"/>
        <v>4335500</v>
      </c>
    </row>
    <row r="12" spans="1:16" s="46" customFormat="1" x14ac:dyDescent="0.25">
      <c r="A12" s="46">
        <v>3</v>
      </c>
      <c r="B12" s="52" t="s">
        <v>90</v>
      </c>
      <c r="C12" s="53">
        <f>'RF 2015'!C12+1</f>
        <v>3</v>
      </c>
      <c r="D12" s="53" t="s">
        <v>109</v>
      </c>
      <c r="E12" s="54">
        <v>4</v>
      </c>
      <c r="F12" s="55">
        <f t="shared" si="0"/>
        <v>1.5</v>
      </c>
      <c r="G12" s="54">
        <v>0</v>
      </c>
      <c r="H12" s="54">
        <f t="shared" si="2"/>
        <v>5.5</v>
      </c>
      <c r="I12" s="56">
        <f>VLOOKUP($A12,'HC 2016'!$A$9:$H$24,8,0)</f>
        <v>0.625</v>
      </c>
      <c r="J12" s="61">
        <f t="shared" si="3"/>
        <v>3.4375</v>
      </c>
      <c r="K12" s="82">
        <f>VLOOKUP("Subtotal prestaciones sociales",Factor!$B$6:$F$25,IF($D12="Laboral",3,5),0)</f>
        <v>0.17666666666666667</v>
      </c>
      <c r="L12" s="82">
        <f>IF($D12="Laboral",0,VLOOKUP("Subtotal seguridad social",Factor!$B$6:$F$25,5))</f>
        <v>0.21500000000000002</v>
      </c>
      <c r="M12" s="82">
        <f t="shared" si="4"/>
        <v>0.39166666666666672</v>
      </c>
      <c r="N12" s="80">
        <f t="shared" si="5"/>
        <v>4.8</v>
      </c>
      <c r="O12" s="62">
        <f t="shared" si="1"/>
        <v>3201600</v>
      </c>
    </row>
    <row r="13" spans="1:16" s="46" customFormat="1" x14ac:dyDescent="0.25">
      <c r="A13" s="46">
        <v>4</v>
      </c>
      <c r="B13" s="52" t="s">
        <v>90</v>
      </c>
      <c r="C13" s="53">
        <f>'RF 2015'!C13+1</f>
        <v>4</v>
      </c>
      <c r="D13" s="53" t="s">
        <v>109</v>
      </c>
      <c r="E13" s="54">
        <v>4</v>
      </c>
      <c r="F13" s="55">
        <f t="shared" si="0"/>
        <v>2</v>
      </c>
      <c r="G13" s="54">
        <v>0</v>
      </c>
      <c r="H13" s="54">
        <f t="shared" si="2"/>
        <v>6</v>
      </c>
      <c r="I13" s="56">
        <f>VLOOKUP($A13,'HC 2016'!$A$9:$H$24,8,0)</f>
        <v>0.625</v>
      </c>
      <c r="J13" s="61">
        <f t="shared" si="3"/>
        <v>3.75</v>
      </c>
      <c r="K13" s="82">
        <f>VLOOKUP("Subtotal prestaciones sociales",Factor!$B$6:$F$25,IF($D13="Laboral",3,5),0)</f>
        <v>0.17666666666666667</v>
      </c>
      <c r="L13" s="82">
        <f>IF($D13="Laboral",0,VLOOKUP("Subtotal seguridad social",Factor!$B$6:$F$25,5))</f>
        <v>0.21500000000000002</v>
      </c>
      <c r="M13" s="82">
        <f t="shared" si="4"/>
        <v>0.39166666666666672</v>
      </c>
      <c r="N13" s="80">
        <f t="shared" si="5"/>
        <v>5.2</v>
      </c>
      <c r="O13" s="62">
        <f t="shared" si="1"/>
        <v>3468400</v>
      </c>
    </row>
    <row r="14" spans="1:16" s="46" customFormat="1" x14ac:dyDescent="0.25">
      <c r="A14" s="46">
        <v>5</v>
      </c>
      <c r="B14" s="52" t="s">
        <v>90</v>
      </c>
      <c r="C14" s="53">
        <f>'RF 2015'!C14+1</f>
        <v>6</v>
      </c>
      <c r="D14" s="53" t="s">
        <v>91</v>
      </c>
      <c r="E14" s="54">
        <v>4</v>
      </c>
      <c r="F14" s="55">
        <f t="shared" si="0"/>
        <v>2</v>
      </c>
      <c r="G14" s="54">
        <v>0</v>
      </c>
      <c r="H14" s="54">
        <f t="shared" si="2"/>
        <v>6</v>
      </c>
      <c r="I14" s="56">
        <f>VLOOKUP($A14,'HC 2016'!$A$9:$H$24,8,0)</f>
        <v>1</v>
      </c>
      <c r="J14" s="61">
        <f t="shared" si="3"/>
        <v>6</v>
      </c>
      <c r="K14" s="82">
        <f>VLOOKUP("Subtotal prestaciones sociales",Factor!$B$6:$F$25,IF($D14="Laboral",3,5),0)</f>
        <v>0.17666666666666667</v>
      </c>
      <c r="L14" s="82">
        <f>IF($D14="Laboral",0,VLOOKUP("Subtotal seguridad social",Factor!$B$6:$F$25,5))</f>
        <v>0</v>
      </c>
      <c r="M14" s="82">
        <f t="shared" si="4"/>
        <v>0.17666666666666667</v>
      </c>
      <c r="N14" s="80">
        <f t="shared" si="5"/>
        <v>7.1</v>
      </c>
      <c r="O14" s="62">
        <f t="shared" si="1"/>
        <v>4735700</v>
      </c>
    </row>
    <row r="15" spans="1:16" s="46" customFormat="1" x14ac:dyDescent="0.25">
      <c r="A15" s="46">
        <v>6</v>
      </c>
      <c r="B15" s="52" t="s">
        <v>90</v>
      </c>
      <c r="C15" s="53">
        <f>'RF 2015'!C15+1</f>
        <v>3</v>
      </c>
      <c r="D15" s="53" t="s">
        <v>109</v>
      </c>
      <c r="E15" s="54">
        <v>4</v>
      </c>
      <c r="F15" s="55">
        <f t="shared" si="0"/>
        <v>1.5</v>
      </c>
      <c r="G15" s="54">
        <v>0</v>
      </c>
      <c r="H15" s="54">
        <f t="shared" si="2"/>
        <v>5.5</v>
      </c>
      <c r="I15" s="56">
        <f>VLOOKUP($A15,'HC 2016'!$A$9:$H$24,8,0)</f>
        <v>0.625</v>
      </c>
      <c r="J15" s="61">
        <f t="shared" si="3"/>
        <v>3.4375</v>
      </c>
      <c r="K15" s="82">
        <f>VLOOKUP("Subtotal prestaciones sociales",Factor!$B$6:$F$25,IF($D15="Laboral",3,5),0)</f>
        <v>0.17666666666666667</v>
      </c>
      <c r="L15" s="82">
        <f>IF($D15="Laboral",0,VLOOKUP("Subtotal seguridad social",Factor!$B$6:$F$25,5))</f>
        <v>0.21500000000000002</v>
      </c>
      <c r="M15" s="82">
        <f t="shared" si="4"/>
        <v>0.39166666666666672</v>
      </c>
      <c r="N15" s="80">
        <f t="shared" si="5"/>
        <v>4.8</v>
      </c>
      <c r="O15" s="62">
        <f t="shared" si="1"/>
        <v>3201600</v>
      </c>
    </row>
    <row r="16" spans="1:16" s="46" customFormat="1" x14ac:dyDescent="0.25">
      <c r="A16" s="46">
        <v>7</v>
      </c>
      <c r="B16" s="52" t="s">
        <v>90</v>
      </c>
      <c r="C16" s="53">
        <f>'RF 2015'!C16+1</f>
        <v>3</v>
      </c>
      <c r="D16" s="53" t="s">
        <v>109</v>
      </c>
      <c r="E16" s="54">
        <v>4</v>
      </c>
      <c r="F16" s="55">
        <f t="shared" si="0"/>
        <v>1.5</v>
      </c>
      <c r="G16" s="54">
        <v>0</v>
      </c>
      <c r="H16" s="54">
        <f t="shared" si="2"/>
        <v>5.5</v>
      </c>
      <c r="I16" s="56">
        <f>VLOOKUP($A16,'HC 2016'!$A$9:$H$24,8,0)</f>
        <v>0.625</v>
      </c>
      <c r="J16" s="61">
        <f t="shared" si="3"/>
        <v>3.4375</v>
      </c>
      <c r="K16" s="82">
        <f>VLOOKUP("Subtotal prestaciones sociales",Factor!$B$6:$F$25,IF($D16="Laboral",3,5),0)</f>
        <v>0.17666666666666667</v>
      </c>
      <c r="L16" s="82">
        <f>IF($D16="Laboral",0,VLOOKUP("Subtotal seguridad social",Factor!$B$6:$F$25,5))</f>
        <v>0.21500000000000002</v>
      </c>
      <c r="M16" s="82">
        <f t="shared" si="4"/>
        <v>0.39166666666666672</v>
      </c>
      <c r="N16" s="80">
        <f t="shared" si="5"/>
        <v>4.8</v>
      </c>
      <c r="O16" s="62">
        <f t="shared" si="1"/>
        <v>3201600</v>
      </c>
    </row>
    <row r="17" spans="1:16" s="46" customFormat="1" x14ac:dyDescent="0.25">
      <c r="A17" s="46">
        <v>8</v>
      </c>
      <c r="B17" s="52" t="s">
        <v>90</v>
      </c>
      <c r="C17" s="53">
        <f>'RF 2015'!C17+1</f>
        <v>8</v>
      </c>
      <c r="D17" s="53" t="s">
        <v>109</v>
      </c>
      <c r="E17" s="54">
        <v>4</v>
      </c>
      <c r="F17" s="55">
        <f t="shared" si="0"/>
        <v>2</v>
      </c>
      <c r="G17" s="54">
        <v>0</v>
      </c>
      <c r="H17" s="54">
        <f t="shared" si="2"/>
        <v>6</v>
      </c>
      <c r="I17" s="56">
        <f>VLOOKUP($A17,'HC 2016'!$A$9:$H$24,8,0)</f>
        <v>0.625</v>
      </c>
      <c r="J17" s="61">
        <f t="shared" si="3"/>
        <v>3.75</v>
      </c>
      <c r="K17" s="82">
        <f>VLOOKUP("Subtotal prestaciones sociales",Factor!$B$6:$F$25,IF($D17="Laboral",3,5),0)</f>
        <v>0.17666666666666667</v>
      </c>
      <c r="L17" s="82">
        <f>IF($D17="Laboral",0,VLOOKUP("Subtotal seguridad social",Factor!$B$6:$F$25,5))</f>
        <v>0.21500000000000002</v>
      </c>
      <c r="M17" s="82">
        <f t="shared" si="4"/>
        <v>0.39166666666666672</v>
      </c>
      <c r="N17" s="80">
        <f t="shared" si="5"/>
        <v>5.2</v>
      </c>
      <c r="O17" s="62">
        <f t="shared" si="1"/>
        <v>3468400</v>
      </c>
    </row>
    <row r="18" spans="1:16" s="46" customFormat="1" x14ac:dyDescent="0.25">
      <c r="A18" s="46">
        <v>9</v>
      </c>
      <c r="B18" s="52" t="s">
        <v>90</v>
      </c>
      <c r="C18" s="53">
        <f>'RF 2015'!C18+1</f>
        <v>3</v>
      </c>
      <c r="D18" s="53" t="s">
        <v>91</v>
      </c>
      <c r="E18" s="54">
        <v>4</v>
      </c>
      <c r="F18" s="55">
        <f t="shared" si="0"/>
        <v>1.5</v>
      </c>
      <c r="G18" s="54">
        <v>0</v>
      </c>
      <c r="H18" s="54">
        <f t="shared" si="2"/>
        <v>5.5</v>
      </c>
      <c r="I18" s="56">
        <f>VLOOKUP($A18,'HC 2016'!$A$9:$H$24,8,0)</f>
        <v>1</v>
      </c>
      <c r="J18" s="61">
        <f t="shared" si="3"/>
        <v>5.5</v>
      </c>
      <c r="K18" s="82">
        <f>VLOOKUP("Subtotal prestaciones sociales",Factor!$B$6:$F$25,IF($D18="Laboral",3,5),0)</f>
        <v>0.17666666666666667</v>
      </c>
      <c r="L18" s="82">
        <f>IF($D18="Laboral",0,VLOOKUP("Subtotal seguridad social",Factor!$B$6:$F$25,5))</f>
        <v>0</v>
      </c>
      <c r="M18" s="82">
        <f t="shared" si="4"/>
        <v>0.17666666666666667</v>
      </c>
      <c r="N18" s="80">
        <f t="shared" si="5"/>
        <v>6.5</v>
      </c>
      <c r="O18" s="62">
        <f t="shared" si="1"/>
        <v>4335500</v>
      </c>
    </row>
    <row r="19" spans="1:16" s="46" customFormat="1" x14ac:dyDescent="0.35">
      <c r="B19" s="122"/>
      <c r="C19" s="123"/>
      <c r="D19" s="123"/>
      <c r="E19" s="124"/>
      <c r="F19" s="125"/>
      <c r="G19" s="124"/>
      <c r="H19" s="124"/>
      <c r="I19" s="126"/>
      <c r="J19" s="127"/>
      <c r="K19" s="127"/>
      <c r="L19" s="127"/>
      <c r="M19" s="127"/>
      <c r="N19" s="127"/>
      <c r="O19" s="128"/>
    </row>
    <row r="20" spans="1:16" s="46" customFormat="1" ht="13" x14ac:dyDescent="0.3">
      <c r="B20" s="73" t="s">
        <v>103</v>
      </c>
      <c r="C20" s="65"/>
      <c r="D20" s="65"/>
      <c r="E20" s="75"/>
      <c r="F20" s="76"/>
      <c r="G20" s="77"/>
      <c r="H20" s="77"/>
      <c r="I20" s="78"/>
      <c r="J20" s="74">
        <f>SUM(J10:J18)</f>
        <v>46.8125</v>
      </c>
      <c r="K20" s="81"/>
      <c r="L20" s="81"/>
      <c r="M20" s="81"/>
      <c r="N20" s="81">
        <f>SUM(N10:N18)</f>
        <v>59</v>
      </c>
      <c r="O20" s="79">
        <f>SUM(O10:O18)</f>
        <v>39353000</v>
      </c>
    </row>
    <row r="21" spans="1:16" s="46" customFormat="1" x14ac:dyDescent="0.35">
      <c r="B21" s="52"/>
      <c r="C21" s="53"/>
      <c r="D21" s="53"/>
      <c r="E21" s="54"/>
      <c r="F21" s="55"/>
      <c r="G21" s="54"/>
      <c r="H21" s="54"/>
      <c r="I21" s="56"/>
      <c r="J21" s="61"/>
      <c r="K21" s="80"/>
      <c r="L21" s="80"/>
      <c r="M21" s="80"/>
      <c r="N21" s="80"/>
      <c r="O21" s="59"/>
    </row>
    <row r="22" spans="1:16" s="46" customFormat="1" x14ac:dyDescent="0.25">
      <c r="A22" s="46">
        <v>10</v>
      </c>
      <c r="B22" s="52" t="s">
        <v>111</v>
      </c>
      <c r="C22" s="58" t="s">
        <v>45</v>
      </c>
      <c r="D22" s="53" t="s">
        <v>91</v>
      </c>
      <c r="E22" s="54">
        <v>3</v>
      </c>
      <c r="F22" s="55">
        <v>0</v>
      </c>
      <c r="G22" s="54">
        <v>0</v>
      </c>
      <c r="H22" s="54">
        <f t="shared" ref="H22:H23" si="6">SUM(E22:G22)</f>
        <v>3</v>
      </c>
      <c r="I22" s="56">
        <f>VLOOKUP($A22,'HC 2016'!$A$9:$H$24,8,0)</f>
        <v>1</v>
      </c>
      <c r="J22" s="61">
        <f t="shared" ref="J22:J23" si="7">H22*I22</f>
        <v>3</v>
      </c>
      <c r="K22" s="82">
        <f>VLOOKUP("Subtotal prestaciones sociales",Factor!$B$6:$F$25,IF($D22="Laboral",3,5),0)*0</f>
        <v>0</v>
      </c>
      <c r="L22" s="82">
        <f>IF($D22="Laboral",0,VLOOKUP("Subtotal seguridad social",Factor!$B$6:$F$25,5))</f>
        <v>0</v>
      </c>
      <c r="M22" s="82">
        <f t="shared" ref="M22:M23" si="8">SUM(K22:L22)</f>
        <v>0</v>
      </c>
      <c r="N22" s="80">
        <f t="shared" ref="N22:N23" si="9">ROUND(J22*(1+M22),1)</f>
        <v>3</v>
      </c>
      <c r="O22" s="62">
        <f t="shared" ref="O22:O23" si="10">N22*$P$6</f>
        <v>2001000</v>
      </c>
    </row>
    <row r="23" spans="1:16" s="46" customFormat="1" x14ac:dyDescent="0.25">
      <c r="A23" s="46">
        <v>11</v>
      </c>
      <c r="B23" s="52" t="s">
        <v>92</v>
      </c>
      <c r="C23" s="58" t="s">
        <v>45</v>
      </c>
      <c r="D23" s="53" t="s">
        <v>91</v>
      </c>
      <c r="E23" s="54">
        <v>1.5</v>
      </c>
      <c r="F23" s="55">
        <v>0</v>
      </c>
      <c r="G23" s="54">
        <v>0</v>
      </c>
      <c r="H23" s="54">
        <f t="shared" si="6"/>
        <v>1.5</v>
      </c>
      <c r="I23" s="56">
        <f>VLOOKUP($A23,'HC 2016'!$A$9:$H$24,8,0)</f>
        <v>1</v>
      </c>
      <c r="J23" s="61">
        <f t="shared" si="7"/>
        <v>1.5</v>
      </c>
      <c r="K23" s="82">
        <f>VLOOKUP("Subtotal prestaciones sociales",Factor!$B$6:$F$25,IF($D23="Laboral",3,5),0)*0</f>
        <v>0</v>
      </c>
      <c r="L23" s="82">
        <f>IF($D23="Laboral",0,VLOOKUP("Subtotal seguridad social",Factor!$B$6:$F$25,5))</f>
        <v>0</v>
      </c>
      <c r="M23" s="82">
        <f t="shared" si="8"/>
        <v>0</v>
      </c>
      <c r="N23" s="80">
        <f t="shared" si="9"/>
        <v>1.5</v>
      </c>
      <c r="O23" s="62">
        <f t="shared" si="10"/>
        <v>1000500</v>
      </c>
    </row>
    <row r="24" spans="1:16" x14ac:dyDescent="0.25">
      <c r="B24" s="129"/>
      <c r="C24" s="130"/>
      <c r="D24" s="130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2"/>
    </row>
    <row r="25" spans="1:16" ht="13.5" thickBot="1" x14ac:dyDescent="0.35">
      <c r="B25" s="68" t="s">
        <v>65</v>
      </c>
      <c r="C25" s="69"/>
      <c r="D25" s="69"/>
      <c r="E25" s="71"/>
      <c r="F25" s="71"/>
      <c r="G25" s="71"/>
      <c r="H25" s="71"/>
      <c r="I25" s="72"/>
      <c r="J25" s="63">
        <f>SUM(J20:J23)</f>
        <v>51.3125</v>
      </c>
      <c r="K25" s="67"/>
      <c r="L25" s="67"/>
      <c r="M25" s="67"/>
      <c r="N25" s="67">
        <f>SUM(N20:N23)</f>
        <v>63.5</v>
      </c>
      <c r="O25" s="64">
        <f>SUM(O20:O23)</f>
        <v>42354500</v>
      </c>
      <c r="P25" s="228">
        <f>O25/N25-P6</f>
        <v>0</v>
      </c>
    </row>
    <row r="27" spans="1:16" x14ac:dyDescent="0.25">
      <c r="B27" s="47" t="s">
        <v>104</v>
      </c>
    </row>
    <row r="28" spans="1:16" x14ac:dyDescent="0.25">
      <c r="B28" s="47" t="s">
        <v>105</v>
      </c>
    </row>
  </sheetData>
  <mergeCells count="10">
    <mergeCell ref="E7:N7"/>
    <mergeCell ref="B3:D3"/>
    <mergeCell ref="B4:O4"/>
    <mergeCell ref="B6:B8"/>
    <mergeCell ref="C6:C8"/>
    <mergeCell ref="D6:D8"/>
    <mergeCell ref="E6:O6"/>
    <mergeCell ref="K8:M8"/>
    <mergeCell ref="N8:N9"/>
    <mergeCell ref="O7:O9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S33"/>
  <sheetViews>
    <sheetView zoomScaleNormal="100" zoomScaleSheetLayoutView="100" workbookViewId="0">
      <pane xSplit="4" ySplit="7" topLeftCell="E8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9.6328125" style="47" customWidth="1"/>
    <col min="4" max="4" width="6.08984375" style="47" bestFit="1" customWidth="1"/>
    <col min="5" max="15" width="10.6328125" style="48" customWidth="1"/>
    <col min="16" max="16" width="11.36328125" style="48" bestFit="1" customWidth="1"/>
    <col min="17" max="17" width="2.6328125" style="48" customWidth="1"/>
    <col min="18" max="18" width="11.90625" style="48" bestFit="1" customWidth="1"/>
    <col min="19" max="16384" width="11.453125" style="48"/>
  </cols>
  <sheetData>
    <row r="3" spans="2:19" ht="13.5" thickBot="1" x14ac:dyDescent="0.3">
      <c r="E3" s="144">
        <v>1</v>
      </c>
      <c r="F3" s="144">
        <v>2</v>
      </c>
      <c r="G3" s="144">
        <v>3</v>
      </c>
      <c r="H3" s="144">
        <v>4</v>
      </c>
      <c r="I3" s="144">
        <v>5</v>
      </c>
      <c r="J3" s="144">
        <v>6</v>
      </c>
      <c r="K3" s="144">
        <v>7</v>
      </c>
      <c r="L3" s="144">
        <v>8</v>
      </c>
      <c r="M3" s="144">
        <v>9</v>
      </c>
      <c r="N3" s="144">
        <v>10</v>
      </c>
      <c r="O3" s="144">
        <v>11</v>
      </c>
    </row>
    <row r="4" spans="2:19" ht="18.5" thickBot="1" x14ac:dyDescent="0.45">
      <c r="B4" s="979" t="str">
        <f>"Remuneración Variable Mensual Presupuestada Año "&amp;R6</f>
        <v>Remuneración Variable Mensual Presupuestada Año 2016</v>
      </c>
      <c r="C4" s="980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0"/>
      <c r="P4" s="981"/>
    </row>
    <row r="5" spans="2:19" ht="13" thickBot="1" x14ac:dyDescent="0.3"/>
    <row r="6" spans="2:19" ht="23" x14ac:dyDescent="0.3">
      <c r="B6" s="1028" t="s">
        <v>89</v>
      </c>
      <c r="C6" s="1029"/>
      <c r="D6" s="1030"/>
      <c r="E6" s="167" t="s">
        <v>93</v>
      </c>
      <c r="F6" s="167" t="s">
        <v>90</v>
      </c>
      <c r="G6" s="167" t="s">
        <v>90</v>
      </c>
      <c r="H6" s="167" t="s">
        <v>90</v>
      </c>
      <c r="I6" s="167" t="s">
        <v>90</v>
      </c>
      <c r="J6" s="167" t="s">
        <v>90</v>
      </c>
      <c r="K6" s="167" t="s">
        <v>90</v>
      </c>
      <c r="L6" s="167" t="s">
        <v>90</v>
      </c>
      <c r="M6" s="167" t="s">
        <v>90</v>
      </c>
      <c r="N6" s="167" t="s">
        <v>111</v>
      </c>
      <c r="O6" s="167" t="s">
        <v>92</v>
      </c>
      <c r="P6" s="166" t="s">
        <v>65</v>
      </c>
      <c r="R6" s="143">
        <v>2016</v>
      </c>
      <c r="S6" s="48" t="s">
        <v>71</v>
      </c>
    </row>
    <row r="7" spans="2:19" ht="13" x14ac:dyDescent="0.3">
      <c r="B7" s="1006" t="s">
        <v>110</v>
      </c>
      <c r="C7" s="1007"/>
      <c r="D7" s="1008"/>
      <c r="E7" s="168" t="s">
        <v>91</v>
      </c>
      <c r="F7" s="168" t="s">
        <v>91</v>
      </c>
      <c r="G7" s="168" t="s">
        <v>109</v>
      </c>
      <c r="H7" s="168" t="s">
        <v>109</v>
      </c>
      <c r="I7" s="168" t="s">
        <v>91</v>
      </c>
      <c r="J7" s="168" t="s">
        <v>109</v>
      </c>
      <c r="K7" s="168" t="s">
        <v>109</v>
      </c>
      <c r="L7" s="168" t="s">
        <v>109</v>
      </c>
      <c r="M7" s="168" t="s">
        <v>91</v>
      </c>
      <c r="N7" s="168" t="s">
        <v>91</v>
      </c>
      <c r="O7" s="168" t="s">
        <v>91</v>
      </c>
      <c r="P7" s="169"/>
      <c r="R7" s="143"/>
    </row>
    <row r="8" spans="2:19" ht="13" x14ac:dyDescent="0.3">
      <c r="B8" s="1006" t="s">
        <v>178</v>
      </c>
      <c r="C8" s="1007"/>
      <c r="D8" s="1008"/>
      <c r="E8" s="148">
        <f>VLOOKUP(E3,'HC 2016'!$A$9:$H$24,7,0)</f>
        <v>20</v>
      </c>
      <c r="F8" s="148">
        <f>VLOOKUP(F3,'HC 2016'!$A$9:$H$24,7,0)</f>
        <v>40</v>
      </c>
      <c r="G8" s="148">
        <f>VLOOKUP(G3,'HC 2016'!$A$9:$H$24,7,0)</f>
        <v>25</v>
      </c>
      <c r="H8" s="148">
        <f>VLOOKUP(H3,'HC 2016'!$A$9:$H$24,7,0)</f>
        <v>25</v>
      </c>
      <c r="I8" s="148">
        <f>VLOOKUP(I3,'HC 2016'!$A$9:$H$24,7,0)</f>
        <v>40</v>
      </c>
      <c r="J8" s="148">
        <f>VLOOKUP(J3,'HC 2016'!$A$9:$H$24,7,0)</f>
        <v>25</v>
      </c>
      <c r="K8" s="148">
        <f>VLOOKUP(K3,'HC 2016'!$A$9:$H$24,7,0)</f>
        <v>25</v>
      </c>
      <c r="L8" s="148">
        <f>VLOOKUP(L3,'HC 2016'!$A$9:$H$24,7,0)</f>
        <v>25</v>
      </c>
      <c r="M8" s="148">
        <f>VLOOKUP(M3,'HC 2016'!$A$9:$H$24,7,0)</f>
        <v>40</v>
      </c>
      <c r="N8" s="148">
        <v>0</v>
      </c>
      <c r="O8" s="148">
        <v>0</v>
      </c>
      <c r="P8" s="164"/>
      <c r="R8" s="60">
        <f>HLOOKUP($R$6,'Ing Proyect'!$B$6:$G$12,6,0)</f>
        <v>119393000</v>
      </c>
      <c r="S8" s="48" t="s">
        <v>175</v>
      </c>
    </row>
    <row r="9" spans="2:19" ht="13" x14ac:dyDescent="0.3">
      <c r="B9" s="1006" t="s">
        <v>177</v>
      </c>
      <c r="C9" s="1007"/>
      <c r="D9" s="1008"/>
      <c r="E9" s="150">
        <f t="shared" ref="E9:L9" si="0">E8/SUM($E$8:$O$8)</f>
        <v>7.5471698113207544E-2</v>
      </c>
      <c r="F9" s="150">
        <f t="shared" si="0"/>
        <v>0.15094339622641509</v>
      </c>
      <c r="G9" s="150">
        <f t="shared" si="0"/>
        <v>9.4339622641509441E-2</v>
      </c>
      <c r="H9" s="150">
        <f t="shared" si="0"/>
        <v>9.4339622641509441E-2</v>
      </c>
      <c r="I9" s="150">
        <f t="shared" si="0"/>
        <v>0.15094339622641509</v>
      </c>
      <c r="J9" s="150">
        <f t="shared" si="0"/>
        <v>9.4339622641509441E-2</v>
      </c>
      <c r="K9" s="150">
        <f t="shared" si="0"/>
        <v>9.4339622641509441E-2</v>
      </c>
      <c r="L9" s="150">
        <f t="shared" si="0"/>
        <v>9.4339622641509441E-2</v>
      </c>
      <c r="M9" s="150">
        <f>M8/SUM($E$8:$O$8)</f>
        <v>0.15094339622641509</v>
      </c>
      <c r="N9" s="150">
        <f t="shared" ref="N9:O9" si="1">N8/SUM($E$8:$O$8)</f>
        <v>0</v>
      </c>
      <c r="O9" s="150">
        <f t="shared" si="1"/>
        <v>0</v>
      </c>
      <c r="P9" s="165">
        <f>SUM(E9:O9)</f>
        <v>0.99999999999999989</v>
      </c>
      <c r="R9" s="60">
        <f>HLOOKUP($R$6,'Ing Proyect'!$B$6:$G$12,2,0)</f>
        <v>667000</v>
      </c>
      <c r="S9" s="48" t="s">
        <v>69</v>
      </c>
    </row>
    <row r="10" spans="2:19" x14ac:dyDescent="0.25">
      <c r="B10" s="1006" t="s">
        <v>176</v>
      </c>
      <c r="C10" s="1007"/>
      <c r="D10" s="1008"/>
      <c r="E10" s="151">
        <f t="shared" ref="E10:O10" si="2">ROUND(E9*$R$8,0)</f>
        <v>9010792</v>
      </c>
      <c r="F10" s="151">
        <f t="shared" si="2"/>
        <v>18021585</v>
      </c>
      <c r="G10" s="151">
        <f t="shared" si="2"/>
        <v>11263491</v>
      </c>
      <c r="H10" s="151">
        <f t="shared" si="2"/>
        <v>11263491</v>
      </c>
      <c r="I10" s="151">
        <f t="shared" si="2"/>
        <v>18021585</v>
      </c>
      <c r="J10" s="151">
        <f t="shared" si="2"/>
        <v>11263491</v>
      </c>
      <c r="K10" s="151">
        <f t="shared" si="2"/>
        <v>11263491</v>
      </c>
      <c r="L10" s="151">
        <f t="shared" si="2"/>
        <v>11263491</v>
      </c>
      <c r="M10" s="151">
        <f t="shared" si="2"/>
        <v>18021585</v>
      </c>
      <c r="N10" s="151">
        <f t="shared" si="2"/>
        <v>0</v>
      </c>
      <c r="O10" s="151">
        <f t="shared" si="2"/>
        <v>0</v>
      </c>
      <c r="P10" s="152">
        <f>SUM(E10:O10)</f>
        <v>119393002</v>
      </c>
    </row>
    <row r="11" spans="2:19" x14ac:dyDescent="0.25">
      <c r="B11" s="1018" t="s">
        <v>163</v>
      </c>
      <c r="C11" s="146" t="s">
        <v>164</v>
      </c>
      <c r="D11" s="146"/>
      <c r="E11" s="153">
        <v>0.1</v>
      </c>
      <c r="F11" s="153">
        <v>0.1</v>
      </c>
      <c r="G11" s="153">
        <v>0.1</v>
      </c>
      <c r="H11" s="153">
        <v>0.1</v>
      </c>
      <c r="I11" s="153">
        <v>0.1</v>
      </c>
      <c r="J11" s="153">
        <v>0.1</v>
      </c>
      <c r="K11" s="153">
        <v>0.1</v>
      </c>
      <c r="L11" s="153">
        <v>0.1</v>
      </c>
      <c r="M11" s="153">
        <v>0.1</v>
      </c>
      <c r="N11" s="153">
        <v>0</v>
      </c>
      <c r="O11" s="153">
        <v>0</v>
      </c>
      <c r="P11" s="1034"/>
    </row>
    <row r="12" spans="2:19" x14ac:dyDescent="0.25">
      <c r="B12" s="1020"/>
      <c r="C12" s="1027" t="s">
        <v>165</v>
      </c>
      <c r="D12" s="147" t="s">
        <v>69</v>
      </c>
      <c r="E12" s="154">
        <v>20</v>
      </c>
      <c r="F12" s="154">
        <v>20</v>
      </c>
      <c r="G12" s="154">
        <v>20</v>
      </c>
      <c r="H12" s="154">
        <v>20</v>
      </c>
      <c r="I12" s="154">
        <v>20</v>
      </c>
      <c r="J12" s="154">
        <v>20</v>
      </c>
      <c r="K12" s="154">
        <v>20</v>
      </c>
      <c r="L12" s="154">
        <v>20</v>
      </c>
      <c r="M12" s="154">
        <v>20</v>
      </c>
      <c r="N12" s="154">
        <v>20</v>
      </c>
      <c r="O12" s="154">
        <v>20</v>
      </c>
      <c r="P12" s="1035"/>
    </row>
    <row r="13" spans="2:19" x14ac:dyDescent="0.25">
      <c r="B13" s="1020"/>
      <c r="C13" s="1027"/>
      <c r="D13" s="147" t="s">
        <v>70</v>
      </c>
      <c r="E13" s="151">
        <f t="shared" ref="E13:O13" si="3">E12*$R$9</f>
        <v>13340000</v>
      </c>
      <c r="F13" s="151">
        <f t="shared" si="3"/>
        <v>13340000</v>
      </c>
      <c r="G13" s="151">
        <f t="shared" si="3"/>
        <v>13340000</v>
      </c>
      <c r="H13" s="151">
        <f t="shared" si="3"/>
        <v>13340000</v>
      </c>
      <c r="I13" s="151">
        <f t="shared" si="3"/>
        <v>13340000</v>
      </c>
      <c r="J13" s="151">
        <f t="shared" si="3"/>
        <v>13340000</v>
      </c>
      <c r="K13" s="151">
        <f t="shared" si="3"/>
        <v>13340000</v>
      </c>
      <c r="L13" s="151">
        <f t="shared" si="3"/>
        <v>13340000</v>
      </c>
      <c r="M13" s="151">
        <f t="shared" si="3"/>
        <v>13340000</v>
      </c>
      <c r="N13" s="151">
        <f t="shared" si="3"/>
        <v>13340000</v>
      </c>
      <c r="O13" s="151">
        <f t="shared" si="3"/>
        <v>13340000</v>
      </c>
      <c r="P13" s="1036"/>
    </row>
    <row r="14" spans="2:19" x14ac:dyDescent="0.25">
      <c r="B14" s="1019"/>
      <c r="C14" s="1012" t="s">
        <v>160</v>
      </c>
      <c r="D14" s="1014"/>
      <c r="E14" s="160">
        <f t="shared" ref="E14" si="4">ROUND(IF(E10&gt;E13,(E11*E13),(E11*E10)),0)</f>
        <v>901079</v>
      </c>
      <c r="F14" s="160">
        <f>ROUND(IF(F10&gt;F13,(F11*F13),(F11*F10)),0)</f>
        <v>1334000</v>
      </c>
      <c r="G14" s="160">
        <f t="shared" ref="G14:O14" si="5">ROUND(IF(G10&gt;G13,(G11*G13),(G11*G10)),0)</f>
        <v>1126349</v>
      </c>
      <c r="H14" s="160">
        <f t="shared" si="5"/>
        <v>1126349</v>
      </c>
      <c r="I14" s="160">
        <f t="shared" si="5"/>
        <v>1334000</v>
      </c>
      <c r="J14" s="160">
        <f t="shared" si="5"/>
        <v>1126349</v>
      </c>
      <c r="K14" s="160">
        <f t="shared" si="5"/>
        <v>1126349</v>
      </c>
      <c r="L14" s="160">
        <f t="shared" si="5"/>
        <v>1126349</v>
      </c>
      <c r="M14" s="160">
        <f t="shared" si="5"/>
        <v>1334000</v>
      </c>
      <c r="N14" s="160">
        <f t="shared" si="5"/>
        <v>0</v>
      </c>
      <c r="O14" s="160">
        <f t="shared" si="5"/>
        <v>0</v>
      </c>
      <c r="P14" s="152">
        <f>SUM(E14:O14)</f>
        <v>10534824</v>
      </c>
    </row>
    <row r="15" spans="2:19" x14ac:dyDescent="0.25">
      <c r="B15" s="1018" t="s">
        <v>166</v>
      </c>
      <c r="C15" s="1012" t="s">
        <v>164</v>
      </c>
      <c r="D15" s="1013"/>
      <c r="E15" s="153">
        <v>0.2</v>
      </c>
      <c r="F15" s="153">
        <v>0.2</v>
      </c>
      <c r="G15" s="153">
        <v>0.2</v>
      </c>
      <c r="H15" s="153">
        <v>0.2</v>
      </c>
      <c r="I15" s="153">
        <v>0.2</v>
      </c>
      <c r="J15" s="153">
        <v>0.2</v>
      </c>
      <c r="K15" s="153">
        <v>0.2</v>
      </c>
      <c r="L15" s="153">
        <v>0.2</v>
      </c>
      <c r="M15" s="153">
        <v>0.2</v>
      </c>
      <c r="N15" s="153">
        <v>0</v>
      </c>
      <c r="O15" s="153">
        <v>0</v>
      </c>
      <c r="P15" s="149"/>
    </row>
    <row r="16" spans="2:19" x14ac:dyDescent="0.25">
      <c r="B16" s="1019"/>
      <c r="C16" s="1012" t="s">
        <v>160</v>
      </c>
      <c r="D16" s="1014"/>
      <c r="E16" s="160">
        <f t="shared" ref="E16:O16" si="6">ROUND(IF(E10&gt;E13,E15*(E10-E13),0),0)</f>
        <v>0</v>
      </c>
      <c r="F16" s="160">
        <f t="shared" si="6"/>
        <v>936317</v>
      </c>
      <c r="G16" s="160">
        <f t="shared" si="6"/>
        <v>0</v>
      </c>
      <c r="H16" s="160">
        <f t="shared" si="6"/>
        <v>0</v>
      </c>
      <c r="I16" s="160">
        <f t="shared" si="6"/>
        <v>936317</v>
      </c>
      <c r="J16" s="160">
        <f t="shared" si="6"/>
        <v>0</v>
      </c>
      <c r="K16" s="160">
        <f t="shared" si="6"/>
        <v>0</v>
      </c>
      <c r="L16" s="160">
        <f t="shared" si="6"/>
        <v>0</v>
      </c>
      <c r="M16" s="160">
        <f t="shared" si="6"/>
        <v>936317</v>
      </c>
      <c r="N16" s="160">
        <f t="shared" si="6"/>
        <v>0</v>
      </c>
      <c r="O16" s="160">
        <f t="shared" si="6"/>
        <v>0</v>
      </c>
      <c r="P16" s="152">
        <f>SUM(E16:O16)</f>
        <v>2808951</v>
      </c>
    </row>
    <row r="17" spans="2:16" x14ac:dyDescent="0.25">
      <c r="B17" s="1009" t="s">
        <v>167</v>
      </c>
      <c r="C17" s="1010"/>
      <c r="D17" s="1011"/>
      <c r="E17" s="160">
        <f t="shared" ref="E17:O17" si="7">E14+E16</f>
        <v>901079</v>
      </c>
      <c r="F17" s="160">
        <f t="shared" si="7"/>
        <v>2270317</v>
      </c>
      <c r="G17" s="160">
        <f t="shared" si="7"/>
        <v>1126349</v>
      </c>
      <c r="H17" s="160">
        <f t="shared" si="7"/>
        <v>1126349</v>
      </c>
      <c r="I17" s="160">
        <f t="shared" si="7"/>
        <v>2270317</v>
      </c>
      <c r="J17" s="160">
        <f t="shared" si="7"/>
        <v>1126349</v>
      </c>
      <c r="K17" s="160">
        <f t="shared" si="7"/>
        <v>1126349</v>
      </c>
      <c r="L17" s="160">
        <f t="shared" si="7"/>
        <v>1126349</v>
      </c>
      <c r="M17" s="160">
        <f t="shared" si="7"/>
        <v>2270317</v>
      </c>
      <c r="N17" s="160">
        <f t="shared" si="7"/>
        <v>0</v>
      </c>
      <c r="O17" s="160">
        <f t="shared" si="7"/>
        <v>0</v>
      </c>
      <c r="P17" s="152">
        <f>SUM(E17:O17)</f>
        <v>13343775</v>
      </c>
    </row>
    <row r="18" spans="2:16" x14ac:dyDescent="0.25">
      <c r="B18" s="1018" t="s">
        <v>162</v>
      </c>
      <c r="C18" s="1037" t="s">
        <v>164</v>
      </c>
      <c r="D18" s="1038"/>
      <c r="E18" s="157">
        <v>0.1</v>
      </c>
      <c r="F18" s="157">
        <v>0</v>
      </c>
      <c r="G18" s="157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63"/>
    </row>
    <row r="19" spans="2:16" x14ac:dyDescent="0.25">
      <c r="B19" s="1019"/>
      <c r="C19" s="1037" t="s">
        <v>160</v>
      </c>
      <c r="D19" s="1008"/>
      <c r="E19" s="160">
        <f t="shared" ref="E19:O19" si="8">E21*E18</f>
        <v>2134400</v>
      </c>
      <c r="F19" s="160">
        <f t="shared" si="8"/>
        <v>0</v>
      </c>
      <c r="G19" s="160">
        <f t="shared" si="8"/>
        <v>0</v>
      </c>
      <c r="H19" s="160">
        <f t="shared" si="8"/>
        <v>0</v>
      </c>
      <c r="I19" s="160">
        <f t="shared" si="8"/>
        <v>0</v>
      </c>
      <c r="J19" s="160">
        <f t="shared" si="8"/>
        <v>0</v>
      </c>
      <c r="K19" s="160">
        <f t="shared" si="8"/>
        <v>0</v>
      </c>
      <c r="L19" s="160">
        <f t="shared" si="8"/>
        <v>0</v>
      </c>
      <c r="M19" s="160">
        <f t="shared" si="8"/>
        <v>0</v>
      </c>
      <c r="N19" s="160">
        <f t="shared" si="8"/>
        <v>0</v>
      </c>
      <c r="O19" s="160">
        <f t="shared" si="8"/>
        <v>0</v>
      </c>
      <c r="P19" s="152">
        <f>SUM(E19:O19)</f>
        <v>2134400</v>
      </c>
    </row>
    <row r="20" spans="2:16" x14ac:dyDescent="0.25">
      <c r="B20" s="1021" t="s">
        <v>197</v>
      </c>
      <c r="C20" s="1012" t="s">
        <v>164</v>
      </c>
      <c r="D20" s="1013"/>
      <c r="E20" s="153">
        <v>0.1</v>
      </c>
      <c r="F20" s="153">
        <v>0.1</v>
      </c>
      <c r="G20" s="153">
        <v>0.1</v>
      </c>
      <c r="H20" s="153">
        <v>0.1</v>
      </c>
      <c r="I20" s="153">
        <v>0.1</v>
      </c>
      <c r="J20" s="153">
        <v>0.1</v>
      </c>
      <c r="K20" s="153">
        <v>0.1</v>
      </c>
      <c r="L20" s="153">
        <v>0.1</v>
      </c>
      <c r="M20" s="153">
        <v>0.1</v>
      </c>
      <c r="N20" s="153">
        <v>0.1</v>
      </c>
      <c r="O20" s="153">
        <v>0.1</v>
      </c>
      <c r="P20" s="1034"/>
    </row>
    <row r="21" spans="2:16" x14ac:dyDescent="0.25">
      <c r="B21" s="1022"/>
      <c r="C21" s="1012" t="s">
        <v>169</v>
      </c>
      <c r="D21" s="1014"/>
      <c r="E21" s="151">
        <f t="shared" ref="E21:O21" si="9">8*4*$R$9</f>
        <v>21344000</v>
      </c>
      <c r="F21" s="151">
        <f t="shared" si="9"/>
        <v>21344000</v>
      </c>
      <c r="G21" s="151">
        <f t="shared" si="9"/>
        <v>21344000</v>
      </c>
      <c r="H21" s="151">
        <f t="shared" si="9"/>
        <v>21344000</v>
      </c>
      <c r="I21" s="151">
        <f t="shared" si="9"/>
        <v>21344000</v>
      </c>
      <c r="J21" s="151">
        <f t="shared" si="9"/>
        <v>21344000</v>
      </c>
      <c r="K21" s="151">
        <f t="shared" si="9"/>
        <v>21344000</v>
      </c>
      <c r="L21" s="151">
        <f t="shared" si="9"/>
        <v>21344000</v>
      </c>
      <c r="M21" s="151">
        <f t="shared" si="9"/>
        <v>21344000</v>
      </c>
      <c r="N21" s="151">
        <f t="shared" si="9"/>
        <v>21344000</v>
      </c>
      <c r="O21" s="151">
        <f t="shared" si="9"/>
        <v>21344000</v>
      </c>
      <c r="P21" s="1035"/>
    </row>
    <row r="22" spans="2:16" x14ac:dyDescent="0.25">
      <c r="B22" s="1022"/>
      <c r="C22" s="1012" t="s">
        <v>170</v>
      </c>
      <c r="D22" s="1014"/>
      <c r="E22" s="151">
        <f t="shared" ref="E22:O22" si="10">$P$10-E21</f>
        <v>98049002</v>
      </c>
      <c r="F22" s="151">
        <f t="shared" si="10"/>
        <v>98049002</v>
      </c>
      <c r="G22" s="151">
        <f t="shared" si="10"/>
        <v>98049002</v>
      </c>
      <c r="H22" s="151">
        <f t="shared" si="10"/>
        <v>98049002</v>
      </c>
      <c r="I22" s="151">
        <f t="shared" si="10"/>
        <v>98049002</v>
      </c>
      <c r="J22" s="151">
        <f t="shared" si="10"/>
        <v>98049002</v>
      </c>
      <c r="K22" s="151">
        <f t="shared" si="10"/>
        <v>98049002</v>
      </c>
      <c r="L22" s="151">
        <f t="shared" si="10"/>
        <v>98049002</v>
      </c>
      <c r="M22" s="151">
        <f t="shared" si="10"/>
        <v>98049002</v>
      </c>
      <c r="N22" s="151">
        <f t="shared" si="10"/>
        <v>98049002</v>
      </c>
      <c r="O22" s="151">
        <f t="shared" si="10"/>
        <v>98049002</v>
      </c>
      <c r="P22" s="1035"/>
    </row>
    <row r="23" spans="2:16" x14ac:dyDescent="0.25">
      <c r="B23" s="1022"/>
      <c r="C23" s="1012" t="s">
        <v>171</v>
      </c>
      <c r="D23" s="1014"/>
      <c r="E23" s="151">
        <f t="shared" ref="E23:O23" si="11">E22*E9</f>
        <v>7399924.6792452829</v>
      </c>
      <c r="F23" s="151">
        <f t="shared" si="11"/>
        <v>14799849.358490566</v>
      </c>
      <c r="G23" s="151">
        <f t="shared" si="11"/>
        <v>9249905.8490566052</v>
      </c>
      <c r="H23" s="151">
        <f t="shared" si="11"/>
        <v>9249905.8490566052</v>
      </c>
      <c r="I23" s="151">
        <f t="shared" si="11"/>
        <v>14799849.358490566</v>
      </c>
      <c r="J23" s="151">
        <f t="shared" si="11"/>
        <v>9249905.8490566052</v>
      </c>
      <c r="K23" s="151">
        <f t="shared" si="11"/>
        <v>9249905.8490566052</v>
      </c>
      <c r="L23" s="151">
        <f t="shared" si="11"/>
        <v>9249905.8490566052</v>
      </c>
      <c r="M23" s="151">
        <f t="shared" si="11"/>
        <v>14799849.358490566</v>
      </c>
      <c r="N23" s="151">
        <f t="shared" si="11"/>
        <v>0</v>
      </c>
      <c r="O23" s="151">
        <f t="shared" si="11"/>
        <v>0</v>
      </c>
      <c r="P23" s="1036"/>
    </row>
    <row r="24" spans="2:16" x14ac:dyDescent="0.25">
      <c r="B24" s="1023"/>
      <c r="C24" s="1012" t="s">
        <v>160</v>
      </c>
      <c r="D24" s="1014"/>
      <c r="E24" s="160">
        <f t="shared" ref="E24:O24" si="12">E20*E23</f>
        <v>739992.46792452829</v>
      </c>
      <c r="F24" s="160">
        <f t="shared" si="12"/>
        <v>1479984.9358490566</v>
      </c>
      <c r="G24" s="160">
        <f t="shared" si="12"/>
        <v>924990.58490566059</v>
      </c>
      <c r="H24" s="160">
        <f t="shared" si="12"/>
        <v>924990.58490566059</v>
      </c>
      <c r="I24" s="160">
        <f t="shared" si="12"/>
        <v>1479984.9358490566</v>
      </c>
      <c r="J24" s="160">
        <f t="shared" si="12"/>
        <v>924990.58490566059</v>
      </c>
      <c r="K24" s="160">
        <f t="shared" si="12"/>
        <v>924990.58490566059</v>
      </c>
      <c r="L24" s="160">
        <f t="shared" si="12"/>
        <v>924990.58490566059</v>
      </c>
      <c r="M24" s="160">
        <f t="shared" si="12"/>
        <v>1479984.9358490566</v>
      </c>
      <c r="N24" s="160">
        <f t="shared" si="12"/>
        <v>0</v>
      </c>
      <c r="O24" s="160">
        <f t="shared" si="12"/>
        <v>0</v>
      </c>
      <c r="P24" s="152">
        <f>SUM(E24:O24)</f>
        <v>9804900.2000000011</v>
      </c>
    </row>
    <row r="25" spans="2:16" x14ac:dyDescent="0.25">
      <c r="B25" s="1009" t="s">
        <v>198</v>
      </c>
      <c r="C25" s="1010"/>
      <c r="D25" s="1011"/>
      <c r="E25" s="160">
        <f>E19+E24</f>
        <v>2874392.4679245283</v>
      </c>
      <c r="F25" s="160">
        <f t="shared" ref="F25:O25" si="13">F19+F24</f>
        <v>1479984.9358490566</v>
      </c>
      <c r="G25" s="160">
        <f t="shared" si="13"/>
        <v>924990.58490566059</v>
      </c>
      <c r="H25" s="160">
        <f t="shared" si="13"/>
        <v>924990.58490566059</v>
      </c>
      <c r="I25" s="160">
        <f t="shared" si="13"/>
        <v>1479984.9358490566</v>
      </c>
      <c r="J25" s="160">
        <f t="shared" si="13"/>
        <v>924990.58490566059</v>
      </c>
      <c r="K25" s="160">
        <f t="shared" si="13"/>
        <v>924990.58490566059</v>
      </c>
      <c r="L25" s="160">
        <f t="shared" si="13"/>
        <v>924990.58490566059</v>
      </c>
      <c r="M25" s="160">
        <f t="shared" si="13"/>
        <v>1479984.9358490566</v>
      </c>
      <c r="N25" s="160">
        <f t="shared" si="13"/>
        <v>0</v>
      </c>
      <c r="O25" s="160">
        <f t="shared" si="13"/>
        <v>0</v>
      </c>
      <c r="P25" s="152">
        <f>SUM(E25:O25)</f>
        <v>11939300.199999999</v>
      </c>
    </row>
    <row r="26" spans="2:16" x14ac:dyDescent="0.25">
      <c r="B26" s="1024" t="s">
        <v>172</v>
      </c>
      <c r="C26" s="1012" t="s">
        <v>164</v>
      </c>
      <c r="D26" s="1014"/>
      <c r="E26" s="155">
        <v>0.05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1.4999999999999999E-2</v>
      </c>
      <c r="O26" s="155">
        <v>7.4999999999999997E-3</v>
      </c>
      <c r="P26" s="1034"/>
    </row>
    <row r="27" spans="2:16" x14ac:dyDescent="0.25">
      <c r="B27" s="1025"/>
      <c r="C27" s="1012" t="s">
        <v>173</v>
      </c>
      <c r="D27" s="1014"/>
      <c r="E27" s="156">
        <f t="shared" ref="E27:O27" si="14">$P$10</f>
        <v>119393002</v>
      </c>
      <c r="F27" s="156">
        <f t="shared" si="14"/>
        <v>119393002</v>
      </c>
      <c r="G27" s="156">
        <f t="shared" si="14"/>
        <v>119393002</v>
      </c>
      <c r="H27" s="156">
        <f t="shared" si="14"/>
        <v>119393002</v>
      </c>
      <c r="I27" s="156">
        <f t="shared" si="14"/>
        <v>119393002</v>
      </c>
      <c r="J27" s="156">
        <f t="shared" si="14"/>
        <v>119393002</v>
      </c>
      <c r="K27" s="156">
        <f t="shared" si="14"/>
        <v>119393002</v>
      </c>
      <c r="L27" s="156">
        <f t="shared" si="14"/>
        <v>119393002</v>
      </c>
      <c r="M27" s="156">
        <f t="shared" si="14"/>
        <v>119393002</v>
      </c>
      <c r="N27" s="156">
        <f t="shared" si="14"/>
        <v>119393002</v>
      </c>
      <c r="O27" s="156">
        <f t="shared" si="14"/>
        <v>119393002</v>
      </c>
      <c r="P27" s="1036"/>
    </row>
    <row r="28" spans="2:16" x14ac:dyDescent="0.25">
      <c r="B28" s="1026"/>
      <c r="C28" s="1012" t="s">
        <v>160</v>
      </c>
      <c r="D28" s="1014"/>
      <c r="E28" s="161">
        <f t="shared" ref="E28:O28" si="15">E26*E27</f>
        <v>5969650.1000000006</v>
      </c>
      <c r="F28" s="161">
        <f t="shared" si="15"/>
        <v>0</v>
      </c>
      <c r="G28" s="161">
        <f t="shared" si="15"/>
        <v>0</v>
      </c>
      <c r="H28" s="161">
        <f t="shared" si="15"/>
        <v>0</v>
      </c>
      <c r="I28" s="161">
        <f t="shared" si="15"/>
        <v>0</v>
      </c>
      <c r="J28" s="161">
        <f t="shared" si="15"/>
        <v>0</v>
      </c>
      <c r="K28" s="161">
        <f t="shared" si="15"/>
        <v>0</v>
      </c>
      <c r="L28" s="161">
        <f t="shared" si="15"/>
        <v>0</v>
      </c>
      <c r="M28" s="161">
        <f t="shared" si="15"/>
        <v>0</v>
      </c>
      <c r="N28" s="161">
        <f t="shared" si="15"/>
        <v>1790895.03</v>
      </c>
      <c r="O28" s="161">
        <f t="shared" si="15"/>
        <v>895447.51500000001</v>
      </c>
      <c r="P28" s="152">
        <f>SUM(E28:O28)</f>
        <v>8655992.6450000014</v>
      </c>
    </row>
    <row r="29" spans="2:16" x14ac:dyDescent="0.25">
      <c r="B29" s="1039" t="s">
        <v>161</v>
      </c>
      <c r="C29" s="1040"/>
      <c r="D29" s="1041"/>
      <c r="E29" s="160">
        <f>E17+E25+E28</f>
        <v>9745121.5679245293</v>
      </c>
      <c r="F29" s="160">
        <f t="shared" ref="F29:O29" si="16">F17+F25+F28</f>
        <v>3750301.9358490566</v>
      </c>
      <c r="G29" s="160">
        <f t="shared" si="16"/>
        <v>2051339.5849056607</v>
      </c>
      <c r="H29" s="160">
        <f t="shared" si="16"/>
        <v>2051339.5849056607</v>
      </c>
      <c r="I29" s="160">
        <f t="shared" si="16"/>
        <v>3750301.9358490566</v>
      </c>
      <c r="J29" s="160">
        <f t="shared" si="16"/>
        <v>2051339.5849056607</v>
      </c>
      <c r="K29" s="160">
        <f t="shared" si="16"/>
        <v>2051339.5849056607</v>
      </c>
      <c r="L29" s="160">
        <f t="shared" si="16"/>
        <v>2051339.5849056607</v>
      </c>
      <c r="M29" s="160">
        <f t="shared" si="16"/>
        <v>3750301.9358490566</v>
      </c>
      <c r="N29" s="160">
        <f t="shared" si="16"/>
        <v>1790895.03</v>
      </c>
      <c r="O29" s="160">
        <f t="shared" si="16"/>
        <v>895447.51500000001</v>
      </c>
      <c r="P29" s="152">
        <f>SUM(E29:O29)</f>
        <v>33939067.845000006</v>
      </c>
    </row>
    <row r="30" spans="2:16" x14ac:dyDescent="0.25">
      <c r="B30" s="1015" t="s">
        <v>205</v>
      </c>
      <c r="C30" s="1012" t="s">
        <v>237</v>
      </c>
      <c r="D30" s="1014"/>
      <c r="E30" s="158">
        <f>VLOOKUP("Subtotal prestaciones sociales",Factor!$B$6:$F$25,IF(E$7="Laboral",3,5),0)</f>
        <v>0.17666666666666667</v>
      </c>
      <c r="F30" s="158">
        <f>VLOOKUP("Subtotal prestaciones sociales",Factor!$B$6:$F$25,IF(F$7="Laboral",3,5),0)</f>
        <v>0.17666666666666667</v>
      </c>
      <c r="G30" s="158">
        <f>VLOOKUP("Subtotal prestaciones sociales",Factor!$B$6:$F$25,IF(G$7="Laboral",3,5),0)</f>
        <v>0.17666666666666667</v>
      </c>
      <c r="H30" s="158">
        <f>VLOOKUP("Subtotal prestaciones sociales",Factor!$B$6:$F$25,IF(H$7="Laboral",3,5),0)</f>
        <v>0.17666666666666667</v>
      </c>
      <c r="I30" s="158">
        <f>VLOOKUP("Subtotal prestaciones sociales",Factor!$B$6:$F$25,IF(I$7="Laboral",3,5),0)</f>
        <v>0.17666666666666667</v>
      </c>
      <c r="J30" s="158">
        <f>VLOOKUP("Subtotal prestaciones sociales",Factor!$B$6:$F$25,IF(J$7="Laboral",3,5),0)</f>
        <v>0.17666666666666667</v>
      </c>
      <c r="K30" s="158">
        <f>VLOOKUP("Subtotal prestaciones sociales",Factor!$B$6:$F$25,IF(K$7="Laboral",3,5),0)</f>
        <v>0.17666666666666667</v>
      </c>
      <c r="L30" s="158">
        <f>VLOOKUP("Subtotal prestaciones sociales",Factor!$B$6:$F$25,IF(L$7="Laboral",3,5),0)</f>
        <v>0.17666666666666667</v>
      </c>
      <c r="M30" s="158">
        <f>VLOOKUP("Subtotal prestaciones sociales",Factor!$B$6:$F$25,IF(M$7="Laboral",3,5),0)</f>
        <v>0.17666666666666667</v>
      </c>
      <c r="N30" s="158">
        <f>VLOOKUP("Subtotal prestaciones sociales",Factor!$B$6:$F$25,IF(N$7="Laboral",3,5),0)</f>
        <v>0.17666666666666667</v>
      </c>
      <c r="O30" s="158">
        <f>VLOOKUP("Subtotal prestaciones sociales",Factor!$B$6:$F$25,IF(O$7="Laboral",3,5),0)</f>
        <v>0.17666666666666667</v>
      </c>
      <c r="P30" s="152"/>
    </row>
    <row r="31" spans="2:16" x14ac:dyDescent="0.25">
      <c r="B31" s="1016"/>
      <c r="C31" s="1012" t="s">
        <v>238</v>
      </c>
      <c r="D31" s="1014"/>
      <c r="E31" s="158">
        <f>IF(E$7="Laboral",0,VLOOKUP("Subtotal seguridad social",Factor!$B$6:$F$25,5))</f>
        <v>0</v>
      </c>
      <c r="F31" s="158">
        <f>IF(F$7="Laboral",0,VLOOKUP("Subtotal seguridad social",Factor!$B$6:$F$25,5))</f>
        <v>0</v>
      </c>
      <c r="G31" s="158">
        <f>IF(G$7="Laboral",0,VLOOKUP("Subtotal seguridad social",Factor!$B$6:$F$25,5))</f>
        <v>0.21500000000000002</v>
      </c>
      <c r="H31" s="158">
        <f>IF(H$7="Laboral",0,VLOOKUP("Subtotal seguridad social",Factor!$B$6:$F$25,5))</f>
        <v>0.21500000000000002</v>
      </c>
      <c r="I31" s="158">
        <f>IF(I$7="Laboral",0,VLOOKUP("Subtotal seguridad social",Factor!$B$6:$F$25,5))</f>
        <v>0</v>
      </c>
      <c r="J31" s="158">
        <f>IF(J$7="Laboral",0,VLOOKUP("Subtotal seguridad social",Factor!$B$6:$F$25,5))</f>
        <v>0.21500000000000002</v>
      </c>
      <c r="K31" s="158">
        <f>IF(K$7="Laboral",0,VLOOKUP("Subtotal seguridad social",Factor!$B$6:$F$25,5))</f>
        <v>0.21500000000000002</v>
      </c>
      <c r="L31" s="158">
        <f>IF(L$7="Laboral",0,VLOOKUP("Subtotal seguridad social",Factor!$B$6:$F$25,5))</f>
        <v>0.21500000000000002</v>
      </c>
      <c r="M31" s="158">
        <f>IF(M$7="Laboral",0,VLOOKUP("Subtotal seguridad social",Factor!$B$6:$F$25,5))</f>
        <v>0</v>
      </c>
      <c r="N31" s="158">
        <f>IF(N$7="Laboral",0,VLOOKUP("Subtotal seguridad social",Factor!$B$6:$F$25,5))</f>
        <v>0</v>
      </c>
      <c r="O31" s="158">
        <f>IF(O$7="Laboral",0,VLOOKUP("Subtotal seguridad social",Factor!$B$6:$F$25,5))</f>
        <v>0</v>
      </c>
      <c r="P31" s="152"/>
    </row>
    <row r="32" spans="2:16" x14ac:dyDescent="0.25">
      <c r="B32" s="1017"/>
      <c r="C32" s="1012" t="s">
        <v>239</v>
      </c>
      <c r="D32" s="1014"/>
      <c r="E32" s="158">
        <f>SUM(E30:E31)</f>
        <v>0.17666666666666667</v>
      </c>
      <c r="F32" s="158">
        <f t="shared" ref="F32:O32" si="17">SUM(F30:F31)</f>
        <v>0.17666666666666667</v>
      </c>
      <c r="G32" s="158">
        <f t="shared" si="17"/>
        <v>0.39166666666666672</v>
      </c>
      <c r="H32" s="158">
        <f t="shared" si="17"/>
        <v>0.39166666666666672</v>
      </c>
      <c r="I32" s="158">
        <f t="shared" si="17"/>
        <v>0.17666666666666667</v>
      </c>
      <c r="J32" s="158">
        <f t="shared" si="17"/>
        <v>0.39166666666666672</v>
      </c>
      <c r="K32" s="158">
        <f t="shared" si="17"/>
        <v>0.39166666666666672</v>
      </c>
      <c r="L32" s="158">
        <f t="shared" si="17"/>
        <v>0.39166666666666672</v>
      </c>
      <c r="M32" s="158">
        <f t="shared" si="17"/>
        <v>0.17666666666666667</v>
      </c>
      <c r="N32" s="158">
        <f t="shared" si="17"/>
        <v>0.17666666666666667</v>
      </c>
      <c r="O32" s="158">
        <f t="shared" si="17"/>
        <v>0.17666666666666667</v>
      </c>
      <c r="P32" s="149"/>
    </row>
    <row r="33" spans="2:16" ht="13" thickBot="1" x14ac:dyDescent="0.3">
      <c r="B33" s="1031" t="s">
        <v>174</v>
      </c>
      <c r="C33" s="1032"/>
      <c r="D33" s="1033"/>
      <c r="E33" s="162">
        <f>ROUND(E29*(1+E32),1)</f>
        <v>11466759.699999999</v>
      </c>
      <c r="F33" s="162">
        <f t="shared" ref="F33:O33" si="18">ROUND(F29*(1+F32),1)</f>
        <v>4412855.3</v>
      </c>
      <c r="G33" s="162">
        <f t="shared" si="18"/>
        <v>2854780.9</v>
      </c>
      <c r="H33" s="162">
        <f t="shared" si="18"/>
        <v>2854780.9</v>
      </c>
      <c r="I33" s="162">
        <f t="shared" si="18"/>
        <v>4412855.3</v>
      </c>
      <c r="J33" s="162">
        <f t="shared" si="18"/>
        <v>2854780.9</v>
      </c>
      <c r="K33" s="162">
        <f t="shared" si="18"/>
        <v>2854780.9</v>
      </c>
      <c r="L33" s="162">
        <f t="shared" si="18"/>
        <v>2854780.9</v>
      </c>
      <c r="M33" s="162">
        <f t="shared" si="18"/>
        <v>4412855.3</v>
      </c>
      <c r="N33" s="162">
        <f t="shared" si="18"/>
        <v>2107286.5</v>
      </c>
      <c r="O33" s="162">
        <f t="shared" si="18"/>
        <v>1053643.2</v>
      </c>
      <c r="P33" s="159">
        <f>SUM(E33:O33)</f>
        <v>42140159.799999997</v>
      </c>
    </row>
  </sheetData>
  <mergeCells count="36">
    <mergeCell ref="B29:D29"/>
    <mergeCell ref="B33:D33"/>
    <mergeCell ref="B26:B28"/>
    <mergeCell ref="C26:D26"/>
    <mergeCell ref="B30:B32"/>
    <mergeCell ref="C30:D30"/>
    <mergeCell ref="C31:D31"/>
    <mergeCell ref="C32:D32"/>
    <mergeCell ref="P26:P27"/>
    <mergeCell ref="C27:D27"/>
    <mergeCell ref="C28:D28"/>
    <mergeCell ref="B18:B19"/>
    <mergeCell ref="C18:D18"/>
    <mergeCell ref="C19:D19"/>
    <mergeCell ref="B25:D25"/>
    <mergeCell ref="B17:D17"/>
    <mergeCell ref="B20:B24"/>
    <mergeCell ref="C20:D20"/>
    <mergeCell ref="P20:P23"/>
    <mergeCell ref="C21:D21"/>
    <mergeCell ref="C22:D22"/>
    <mergeCell ref="C23:D23"/>
    <mergeCell ref="C24:D24"/>
    <mergeCell ref="B15:B16"/>
    <mergeCell ref="C15:D15"/>
    <mergeCell ref="C16:D16"/>
    <mergeCell ref="B4:P4"/>
    <mergeCell ref="B6:D6"/>
    <mergeCell ref="B7:D7"/>
    <mergeCell ref="B8:D8"/>
    <mergeCell ref="B9:D9"/>
    <mergeCell ref="B10:D10"/>
    <mergeCell ref="B11:B14"/>
    <mergeCell ref="P11:P13"/>
    <mergeCell ref="C12:C13"/>
    <mergeCell ref="C14:D14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M34"/>
  <sheetViews>
    <sheetView zoomScaleNormal="100" zoomScaleSheetLayoutView="100" workbookViewId="0">
      <pane xSplit="4" ySplit="7" topLeftCell="E19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9.6328125" style="47" customWidth="1"/>
    <col min="4" max="4" width="6.08984375" style="47" bestFit="1" customWidth="1"/>
    <col min="5" max="9" width="10.6328125" style="48" customWidth="1"/>
    <col min="10" max="10" width="11.36328125" style="48" bestFit="1" customWidth="1"/>
    <col min="11" max="11" width="2.6328125" style="48" customWidth="1"/>
    <col min="12" max="12" width="11.90625" style="48" bestFit="1" customWidth="1"/>
    <col min="13" max="16384" width="11.453125" style="48"/>
  </cols>
  <sheetData>
    <row r="3" spans="1:13" ht="13.5" thickBot="1" x14ac:dyDescent="0.3">
      <c r="E3" s="144">
        <v>1</v>
      </c>
      <c r="F3" s="144">
        <v>2</v>
      </c>
      <c r="G3" s="144">
        <v>3</v>
      </c>
      <c r="H3" s="144">
        <v>10</v>
      </c>
      <c r="I3" s="144">
        <v>11</v>
      </c>
    </row>
    <row r="4" spans="1:13" ht="18.5" thickBot="1" x14ac:dyDescent="0.45">
      <c r="B4" s="979" t="str">
        <f>"Remuneración Variable Mensual Presupuestada Año "&amp;L6</f>
        <v>Remuneración Variable Mensual Presupuestada Año 2016</v>
      </c>
      <c r="C4" s="980"/>
      <c r="D4" s="980"/>
      <c r="E4" s="980"/>
      <c r="F4" s="980"/>
      <c r="G4" s="980"/>
      <c r="H4" s="980"/>
      <c r="I4" s="980"/>
      <c r="J4" s="981"/>
    </row>
    <row r="5" spans="1:13" ht="13" thickBot="1" x14ac:dyDescent="0.3"/>
    <row r="6" spans="1:13" ht="23" x14ac:dyDescent="0.3">
      <c r="B6" s="1028" t="s">
        <v>89</v>
      </c>
      <c r="C6" s="1029"/>
      <c r="D6" s="1030"/>
      <c r="E6" s="145" t="s">
        <v>93</v>
      </c>
      <c r="F6" s="145" t="s">
        <v>90</v>
      </c>
      <c r="G6" s="145" t="s">
        <v>90</v>
      </c>
      <c r="H6" s="193" t="s">
        <v>146</v>
      </c>
      <c r="I6" s="193" t="s">
        <v>92</v>
      </c>
      <c r="J6" s="166" t="s">
        <v>65</v>
      </c>
      <c r="L6" s="601">
        <f>'HC 2016'!I4</f>
        <v>2016</v>
      </c>
      <c r="M6" s="48" t="s">
        <v>71</v>
      </c>
    </row>
    <row r="7" spans="1:13" ht="13" x14ac:dyDescent="0.3">
      <c r="A7" s="48">
        <v>0</v>
      </c>
      <c r="B7" s="1085" t="s">
        <v>832</v>
      </c>
      <c r="C7" s="1083"/>
      <c r="D7" s="1084"/>
      <c r="E7" s="610">
        <v>1</v>
      </c>
      <c r="F7" s="610">
        <v>3</v>
      </c>
      <c r="G7" s="610">
        <v>5</v>
      </c>
      <c r="H7" s="610">
        <v>1</v>
      </c>
      <c r="I7" s="610">
        <v>1</v>
      </c>
      <c r="J7" s="609">
        <f>SUM(E7:I7)</f>
        <v>11</v>
      </c>
      <c r="L7" s="601"/>
    </row>
    <row r="8" spans="1:13" ht="13" x14ac:dyDescent="0.3">
      <c r="A8" s="48">
        <v>6</v>
      </c>
      <c r="B8" s="1085" t="s">
        <v>178</v>
      </c>
      <c r="C8" s="1083"/>
      <c r="D8" s="1084"/>
      <c r="E8" s="148">
        <f>HLOOKUP(E$3,'RV 2016'!$B$3:$P$33,$A8,0)</f>
        <v>20</v>
      </c>
      <c r="F8" s="148">
        <f>HLOOKUP(F$3,'RV 2016'!$B$3:$P$33,$A8,0)</f>
        <v>40</v>
      </c>
      <c r="G8" s="148">
        <f>HLOOKUP(G$3,'RV 2016'!$B$3:$P$33,$A8,0)</f>
        <v>25</v>
      </c>
      <c r="H8" s="148">
        <f>HLOOKUP(H$3,'RV 2016'!$B$3:$P$33,$A8,0)</f>
        <v>0</v>
      </c>
      <c r="I8" s="148">
        <f>HLOOKUP(I$3,'RV 2016'!$B$3:$P$33,$A8,0)</f>
        <v>0</v>
      </c>
      <c r="J8" s="605">
        <f>SUMPRODUCT($E$7:$I$7,$E8:$I8)</f>
        <v>265</v>
      </c>
      <c r="L8" s="60">
        <f>HLOOKUP($L$6,'Ing Proyect'!$B$6:$G$12,6,0)</f>
        <v>119393000</v>
      </c>
      <c r="M8" s="48" t="s">
        <v>175</v>
      </c>
    </row>
    <row r="9" spans="1:13" ht="13" x14ac:dyDescent="0.3">
      <c r="A9" s="48">
        <v>7</v>
      </c>
      <c r="B9" s="1085" t="s">
        <v>177</v>
      </c>
      <c r="C9" s="1083"/>
      <c r="D9" s="1084"/>
      <c r="E9" s="150">
        <f>HLOOKUP(E$3,'RV 2016'!$B$3:$P$33,$A9,0)</f>
        <v>7.5471698113207544E-2</v>
      </c>
      <c r="F9" s="150">
        <f>HLOOKUP(F$3,'RV 2016'!$B$3:$P$33,$A9,0)</f>
        <v>0.15094339622641509</v>
      </c>
      <c r="G9" s="150">
        <f>HLOOKUP(G$3,'RV 2016'!$B$3:$P$33,$A9,0)</f>
        <v>9.4339622641509441E-2</v>
      </c>
      <c r="H9" s="150">
        <f>HLOOKUP(H$3,'RV 2016'!$B$3:$P$33,$A9,0)</f>
        <v>0</v>
      </c>
      <c r="I9" s="150">
        <f>HLOOKUP(I$3,'RV 2016'!$B$3:$P$33,$A9,0)</f>
        <v>0</v>
      </c>
      <c r="J9" s="165">
        <f>SUMPRODUCT($E$7:$I$7,$E9:$I9)</f>
        <v>1</v>
      </c>
      <c r="L9" s="60">
        <f>HLOOKUP($L$6,'Ing Proyect'!$B$6:$G$12,2,0)</f>
        <v>667000</v>
      </c>
      <c r="M9" s="48" t="s">
        <v>69</v>
      </c>
    </row>
    <row r="10" spans="1:13" x14ac:dyDescent="0.25">
      <c r="A10" s="48">
        <v>8</v>
      </c>
      <c r="B10" s="1082" t="s">
        <v>176</v>
      </c>
      <c r="C10" s="1083"/>
      <c r="D10" s="1084"/>
      <c r="E10" s="151">
        <f>HLOOKUP(E$3,'RV 2016'!$B$3:$P$33,$A10,0)</f>
        <v>9010792</v>
      </c>
      <c r="F10" s="151">
        <f>HLOOKUP(F$3,'RV 2016'!$B$3:$P$33,$A10,0)</f>
        <v>18021585</v>
      </c>
      <c r="G10" s="151">
        <f>HLOOKUP(G$3,'RV 2016'!$B$3:$P$33,$A10,0)</f>
        <v>11263491</v>
      </c>
      <c r="H10" s="151">
        <f>HLOOKUP(H$3,'RV 2016'!$B$3:$P$33,$A10,0)</f>
        <v>0</v>
      </c>
      <c r="I10" s="151">
        <f>HLOOKUP(I$3,'RV 2016'!$B$3:$P$33,$A10,0)</f>
        <v>0</v>
      </c>
      <c r="J10" s="152">
        <f>SUMPRODUCT($E$7:$I$7,$E10:$I10)</f>
        <v>119393002</v>
      </c>
    </row>
    <row r="11" spans="1:13" x14ac:dyDescent="0.25">
      <c r="A11" s="48">
        <v>9</v>
      </c>
      <c r="B11" s="1086" t="s">
        <v>163</v>
      </c>
      <c r="C11" s="611" t="s">
        <v>164</v>
      </c>
      <c r="D11" s="611"/>
      <c r="E11" s="153">
        <f>HLOOKUP(E$3,'RV 2016'!$B$3:$P$33,$A11,0)</f>
        <v>0.1</v>
      </c>
      <c r="F11" s="153">
        <f>HLOOKUP(F$3,'RV 2016'!$B$3:$P$33,$A11,0)</f>
        <v>0.1</v>
      </c>
      <c r="G11" s="153">
        <f>HLOOKUP(G$3,'RV 2016'!$B$3:$P$33,$A11,0)</f>
        <v>0.1</v>
      </c>
      <c r="H11" s="153">
        <f>HLOOKUP(H$3,'RV 2016'!$B$3:$P$33,$A11,0)</f>
        <v>0</v>
      </c>
      <c r="I11" s="153">
        <f>HLOOKUP(I$3,'RV 2016'!$B$3:$P$33,$A11,0)</f>
        <v>0</v>
      </c>
      <c r="J11" s="1034"/>
    </row>
    <row r="12" spans="1:13" x14ac:dyDescent="0.25">
      <c r="A12" s="48">
        <v>10</v>
      </c>
      <c r="B12" s="1087"/>
      <c r="C12" s="1089" t="s">
        <v>165</v>
      </c>
      <c r="D12" s="612" t="s">
        <v>69</v>
      </c>
      <c r="E12" s="154">
        <f>HLOOKUP(E$3,'RV 2016'!$B$3:$P$33,$A12,0)</f>
        <v>20</v>
      </c>
      <c r="F12" s="154">
        <f>HLOOKUP(F$3,'RV 2016'!$B$3:$P$33,$A12,0)</f>
        <v>20</v>
      </c>
      <c r="G12" s="154">
        <f>HLOOKUP(G$3,'RV 2016'!$B$3:$P$33,$A12,0)</f>
        <v>20</v>
      </c>
      <c r="H12" s="154">
        <f>HLOOKUP(H$3,'RV 2016'!$B$3:$P$33,$A12,0)</f>
        <v>20</v>
      </c>
      <c r="I12" s="154">
        <f>HLOOKUP(I$3,'RV 2016'!$B$3:$P$33,$A12,0)</f>
        <v>20</v>
      </c>
      <c r="J12" s="1035"/>
    </row>
    <row r="13" spans="1:13" x14ac:dyDescent="0.25">
      <c r="A13" s="48">
        <v>11</v>
      </c>
      <c r="B13" s="1087"/>
      <c r="C13" s="1089"/>
      <c r="D13" s="612" t="s">
        <v>70</v>
      </c>
      <c r="E13" s="151">
        <f>HLOOKUP(E$3,'RV 2016'!$B$3:$P$33,$A13,0)</f>
        <v>13340000</v>
      </c>
      <c r="F13" s="151">
        <f>HLOOKUP(F$3,'RV 2016'!$B$3:$P$33,$A13,0)</f>
        <v>13340000</v>
      </c>
      <c r="G13" s="151">
        <f>HLOOKUP(G$3,'RV 2016'!$B$3:$P$33,$A13,0)</f>
        <v>13340000</v>
      </c>
      <c r="H13" s="151">
        <f>HLOOKUP(H$3,'RV 2016'!$B$3:$P$33,$A13,0)</f>
        <v>13340000</v>
      </c>
      <c r="I13" s="151">
        <f>HLOOKUP(I$3,'RV 2016'!$B$3:$P$33,$A13,0)</f>
        <v>13340000</v>
      </c>
      <c r="J13" s="1036"/>
    </row>
    <row r="14" spans="1:13" x14ac:dyDescent="0.25">
      <c r="A14" s="48">
        <v>12</v>
      </c>
      <c r="B14" s="1088"/>
      <c r="C14" s="1090" t="s">
        <v>160</v>
      </c>
      <c r="D14" s="1091"/>
      <c r="E14" s="613">
        <f>HLOOKUP(E$3,'RV 2016'!$B$3:$P$33,$A14,0)</f>
        <v>901079</v>
      </c>
      <c r="F14" s="613">
        <f>HLOOKUP(F$3,'RV 2016'!$B$3:$P$33,$A14,0)</f>
        <v>1334000</v>
      </c>
      <c r="G14" s="613">
        <f>HLOOKUP(G$3,'RV 2016'!$B$3:$P$33,$A14,0)</f>
        <v>1126349</v>
      </c>
      <c r="H14" s="613">
        <f>HLOOKUP(H$3,'RV 2016'!$B$3:$P$33,$A14,0)</f>
        <v>0</v>
      </c>
      <c r="I14" s="613">
        <f>HLOOKUP(I$3,'RV 2016'!$B$3:$P$33,$A14,0)</f>
        <v>0</v>
      </c>
      <c r="J14" s="608">
        <f>SUMPRODUCT($E$7:$I$7,$E14:$I14)</f>
        <v>10534824</v>
      </c>
    </row>
    <row r="15" spans="1:13" x14ac:dyDescent="0.25">
      <c r="A15" s="48">
        <v>13</v>
      </c>
      <c r="B15" s="1086" t="s">
        <v>166</v>
      </c>
      <c r="C15" s="1090" t="s">
        <v>164</v>
      </c>
      <c r="D15" s="1092"/>
      <c r="E15" s="153">
        <f>HLOOKUP(E$3,'RV 2016'!$B$3:$P$33,$A15,0)</f>
        <v>0.2</v>
      </c>
      <c r="F15" s="153">
        <f>HLOOKUP(F$3,'RV 2016'!$B$3:$P$33,$A15,0)</f>
        <v>0.2</v>
      </c>
      <c r="G15" s="153">
        <f>HLOOKUP(G$3,'RV 2016'!$B$3:$P$33,$A15,0)</f>
        <v>0.2</v>
      </c>
      <c r="H15" s="153">
        <f>HLOOKUP(H$3,'RV 2016'!$B$3:$P$33,$A15,0)</f>
        <v>0</v>
      </c>
      <c r="I15" s="153">
        <f>HLOOKUP(I$3,'RV 2016'!$B$3:$P$33,$A15,0)</f>
        <v>0</v>
      </c>
      <c r="J15" s="149"/>
    </row>
    <row r="16" spans="1:13" x14ac:dyDescent="0.25">
      <c r="A16" s="48">
        <v>14</v>
      </c>
      <c r="B16" s="1088"/>
      <c r="C16" s="1090" t="s">
        <v>160</v>
      </c>
      <c r="D16" s="1091"/>
      <c r="E16" s="613">
        <f>HLOOKUP(E$3,'RV 2016'!$B$3:$P$33,$A16,0)</f>
        <v>0</v>
      </c>
      <c r="F16" s="613">
        <f>HLOOKUP(F$3,'RV 2016'!$B$3:$P$33,$A16,0)</f>
        <v>936317</v>
      </c>
      <c r="G16" s="613">
        <f>HLOOKUP(G$3,'RV 2016'!$B$3:$P$33,$A16,0)</f>
        <v>0</v>
      </c>
      <c r="H16" s="613">
        <f>HLOOKUP(H$3,'RV 2016'!$B$3:$P$33,$A16,0)</f>
        <v>0</v>
      </c>
      <c r="I16" s="613">
        <f>HLOOKUP(I$3,'RV 2016'!$B$3:$P$33,$A16,0)</f>
        <v>0</v>
      </c>
      <c r="J16" s="608">
        <f>SUMPRODUCT($E$7:$I$7,$E16:$I16)</f>
        <v>2808951</v>
      </c>
    </row>
    <row r="17" spans="1:10" x14ac:dyDescent="0.25">
      <c r="A17" s="48">
        <v>15</v>
      </c>
      <c r="B17" s="1093" t="s">
        <v>167</v>
      </c>
      <c r="C17" s="1094"/>
      <c r="D17" s="1095"/>
      <c r="E17" s="160">
        <f>HLOOKUP(E$3,'RV 2016'!$B$3:$P$33,$A17,0)</f>
        <v>901079</v>
      </c>
      <c r="F17" s="160">
        <f>HLOOKUP(F$3,'RV 2016'!$B$3:$P$33,$A17,0)</f>
        <v>2270317</v>
      </c>
      <c r="G17" s="160">
        <f>HLOOKUP(G$3,'RV 2016'!$B$3:$P$33,$A17,0)</f>
        <v>1126349</v>
      </c>
      <c r="H17" s="160">
        <f>HLOOKUP(H$3,'RV 2016'!$B$3:$P$33,$A17,0)</f>
        <v>0</v>
      </c>
      <c r="I17" s="160">
        <f>HLOOKUP(I$3,'RV 2016'!$B$3:$P$33,$A17,0)</f>
        <v>0</v>
      </c>
      <c r="J17" s="152">
        <f>SUMPRODUCT($E$7:$I$7,$E17:$I17)</f>
        <v>13343775</v>
      </c>
    </row>
    <row r="18" spans="1:10" x14ac:dyDescent="0.25">
      <c r="A18" s="48">
        <v>16</v>
      </c>
      <c r="B18" s="1086" t="s">
        <v>162</v>
      </c>
      <c r="C18" s="1096" t="s">
        <v>164</v>
      </c>
      <c r="D18" s="1097"/>
      <c r="E18" s="157">
        <f>HLOOKUP(E$3,'RV 2016'!$B$3:$P$33,$A18,0)</f>
        <v>0.1</v>
      </c>
      <c r="F18" s="157">
        <f>HLOOKUP(F$3,'RV 2016'!$B$3:$P$33,$A18,0)</f>
        <v>0</v>
      </c>
      <c r="G18" s="157">
        <f>HLOOKUP(G$3,'RV 2016'!$B$3:$P$33,$A18,0)</f>
        <v>0</v>
      </c>
      <c r="H18" s="157">
        <f>HLOOKUP(H$3,'RV 2016'!$B$3:$P$33,$A18,0)</f>
        <v>0</v>
      </c>
      <c r="I18" s="157">
        <f>HLOOKUP(I$3,'RV 2016'!$B$3:$P$33,$A18,0)</f>
        <v>0</v>
      </c>
      <c r="J18" s="163"/>
    </row>
    <row r="19" spans="1:10" x14ac:dyDescent="0.25">
      <c r="A19" s="48">
        <v>17</v>
      </c>
      <c r="B19" s="1088"/>
      <c r="C19" s="1096" t="s">
        <v>160</v>
      </c>
      <c r="D19" s="1084"/>
      <c r="E19" s="613">
        <f>HLOOKUP(E$3,'RV 2016'!$B$3:$P$33,$A19,0)</f>
        <v>2134400</v>
      </c>
      <c r="F19" s="613">
        <f>HLOOKUP(F$3,'RV 2016'!$B$3:$P$33,$A19,0)</f>
        <v>0</v>
      </c>
      <c r="G19" s="613">
        <f>HLOOKUP(G$3,'RV 2016'!$B$3:$P$33,$A19,0)</f>
        <v>0</v>
      </c>
      <c r="H19" s="613">
        <f>HLOOKUP(H$3,'RV 2016'!$B$3:$P$33,$A19,0)</f>
        <v>0</v>
      </c>
      <c r="I19" s="613">
        <f>HLOOKUP(I$3,'RV 2016'!$B$3:$P$33,$A19,0)</f>
        <v>0</v>
      </c>
      <c r="J19" s="608">
        <f>SUMPRODUCT($E$7:$I$7,$E19:$I19)</f>
        <v>2134400</v>
      </c>
    </row>
    <row r="20" spans="1:10" x14ac:dyDescent="0.25">
      <c r="A20" s="48">
        <v>18</v>
      </c>
      <c r="B20" s="1098" t="s">
        <v>197</v>
      </c>
      <c r="C20" s="1090" t="s">
        <v>164</v>
      </c>
      <c r="D20" s="1092"/>
      <c r="E20" s="153">
        <f>HLOOKUP(E$3,'RV 2016'!$B$3:$P$33,$A20,0)</f>
        <v>0.1</v>
      </c>
      <c r="F20" s="153">
        <f>HLOOKUP(F$3,'RV 2016'!$B$3:$P$33,$A20,0)</f>
        <v>0.1</v>
      </c>
      <c r="G20" s="153">
        <f>HLOOKUP(G$3,'RV 2016'!$B$3:$P$33,$A20,0)</f>
        <v>0.1</v>
      </c>
      <c r="H20" s="153">
        <f>HLOOKUP(H$3,'RV 2016'!$B$3:$P$33,$A20,0)</f>
        <v>0.1</v>
      </c>
      <c r="I20" s="153">
        <f>HLOOKUP(I$3,'RV 2016'!$B$3:$P$33,$A20,0)</f>
        <v>0.1</v>
      </c>
      <c r="J20" s="1034"/>
    </row>
    <row r="21" spans="1:10" x14ac:dyDescent="0.25">
      <c r="A21" s="48">
        <v>19</v>
      </c>
      <c r="B21" s="1099"/>
      <c r="C21" s="1090" t="s">
        <v>169</v>
      </c>
      <c r="D21" s="1091"/>
      <c r="E21" s="151">
        <f>HLOOKUP(E$3,'RV 2016'!$B$3:$P$33,$A21,0)</f>
        <v>21344000</v>
      </c>
      <c r="F21" s="151">
        <f>HLOOKUP(F$3,'RV 2016'!$B$3:$P$33,$A21,0)</f>
        <v>21344000</v>
      </c>
      <c r="G21" s="151">
        <f>HLOOKUP(G$3,'RV 2016'!$B$3:$P$33,$A21,0)</f>
        <v>21344000</v>
      </c>
      <c r="H21" s="151">
        <f>HLOOKUP(H$3,'RV 2016'!$B$3:$P$33,$A21,0)</f>
        <v>21344000</v>
      </c>
      <c r="I21" s="151">
        <f>HLOOKUP(I$3,'RV 2016'!$B$3:$P$33,$A21,0)</f>
        <v>21344000</v>
      </c>
      <c r="J21" s="1035"/>
    </row>
    <row r="22" spans="1:10" x14ac:dyDescent="0.25">
      <c r="A22" s="48">
        <v>20</v>
      </c>
      <c r="B22" s="1099"/>
      <c r="C22" s="1090" t="s">
        <v>170</v>
      </c>
      <c r="D22" s="1091"/>
      <c r="E22" s="151">
        <f>HLOOKUP(E$3,'RV 2016'!$B$3:$P$33,$A22,0)</f>
        <v>98049002</v>
      </c>
      <c r="F22" s="151">
        <f>HLOOKUP(F$3,'RV 2016'!$B$3:$P$33,$A22,0)</f>
        <v>98049002</v>
      </c>
      <c r="G22" s="151">
        <f>HLOOKUP(G$3,'RV 2016'!$B$3:$P$33,$A22,0)</f>
        <v>98049002</v>
      </c>
      <c r="H22" s="151">
        <f>HLOOKUP(H$3,'RV 2016'!$B$3:$P$33,$A22,0)</f>
        <v>98049002</v>
      </c>
      <c r="I22" s="151">
        <f>HLOOKUP(I$3,'RV 2016'!$B$3:$P$33,$A22,0)</f>
        <v>98049002</v>
      </c>
      <c r="J22" s="1035"/>
    </row>
    <row r="23" spans="1:10" x14ac:dyDescent="0.25">
      <c r="A23" s="48">
        <v>21</v>
      </c>
      <c r="B23" s="1099"/>
      <c r="C23" s="1090" t="s">
        <v>171</v>
      </c>
      <c r="D23" s="1091"/>
      <c r="E23" s="151">
        <f>HLOOKUP(E$3,'RV 2016'!$B$3:$P$33,$A23,0)</f>
        <v>7399924.6792452829</v>
      </c>
      <c r="F23" s="151">
        <f>HLOOKUP(F$3,'RV 2016'!$B$3:$P$33,$A23,0)</f>
        <v>14799849.358490566</v>
      </c>
      <c r="G23" s="151">
        <f>HLOOKUP(G$3,'RV 2016'!$B$3:$P$33,$A23,0)</f>
        <v>9249905.8490566052</v>
      </c>
      <c r="H23" s="151">
        <f>HLOOKUP(H$3,'RV 2016'!$B$3:$P$33,$A23,0)</f>
        <v>0</v>
      </c>
      <c r="I23" s="151">
        <f>HLOOKUP(I$3,'RV 2016'!$B$3:$P$33,$A23,0)</f>
        <v>0</v>
      </c>
      <c r="J23" s="1036"/>
    </row>
    <row r="24" spans="1:10" x14ac:dyDescent="0.25">
      <c r="A24" s="48">
        <v>22</v>
      </c>
      <c r="B24" s="1100"/>
      <c r="C24" s="1090" t="s">
        <v>160</v>
      </c>
      <c r="D24" s="1091"/>
      <c r="E24" s="613">
        <f>HLOOKUP(E$3,'RV 2016'!$B$3:$P$33,$A24,0)</f>
        <v>739992.46792452829</v>
      </c>
      <c r="F24" s="613">
        <f>HLOOKUP(F$3,'RV 2016'!$B$3:$P$33,$A24,0)</f>
        <v>1479984.9358490566</v>
      </c>
      <c r="G24" s="613">
        <f>HLOOKUP(G$3,'RV 2016'!$B$3:$P$33,$A24,0)</f>
        <v>924990.58490566059</v>
      </c>
      <c r="H24" s="613">
        <f>HLOOKUP(H$3,'RV 2016'!$B$3:$P$33,$A24,0)</f>
        <v>0</v>
      </c>
      <c r="I24" s="613">
        <f>HLOOKUP(I$3,'RV 2016'!$B$3:$P$33,$A24,0)</f>
        <v>0</v>
      </c>
      <c r="J24" s="608">
        <f t="shared" ref="J24:J25" si="0">SUMPRODUCT($E$7:$I$7,$E24:$I24)</f>
        <v>9804900.2000000011</v>
      </c>
    </row>
    <row r="25" spans="1:10" x14ac:dyDescent="0.25">
      <c r="A25" s="48">
        <v>23</v>
      </c>
      <c r="B25" s="1093" t="s">
        <v>198</v>
      </c>
      <c r="C25" s="1094"/>
      <c r="D25" s="1095"/>
      <c r="E25" s="160">
        <f>HLOOKUP(E$3,'RV 2016'!$B$3:$P$33,$A25,0)</f>
        <v>2874392.4679245283</v>
      </c>
      <c r="F25" s="160">
        <f>HLOOKUP(F$3,'RV 2016'!$B$3:$P$33,$A25,0)</f>
        <v>1479984.9358490566</v>
      </c>
      <c r="G25" s="160">
        <f>HLOOKUP(G$3,'RV 2016'!$B$3:$P$33,$A25,0)</f>
        <v>924990.58490566059</v>
      </c>
      <c r="H25" s="160">
        <f>HLOOKUP(H$3,'RV 2016'!$B$3:$P$33,$A25,0)</f>
        <v>0</v>
      </c>
      <c r="I25" s="160">
        <f>HLOOKUP(I$3,'RV 2016'!$B$3:$P$33,$A25,0)</f>
        <v>0</v>
      </c>
      <c r="J25" s="152">
        <f t="shared" si="0"/>
        <v>11939300.200000001</v>
      </c>
    </row>
    <row r="26" spans="1:10" x14ac:dyDescent="0.25">
      <c r="A26" s="48">
        <v>24</v>
      </c>
      <c r="B26" s="1086" t="s">
        <v>172</v>
      </c>
      <c r="C26" s="1090" t="s">
        <v>164</v>
      </c>
      <c r="D26" s="1091"/>
      <c r="E26" s="155">
        <f>HLOOKUP(E$3,'RV 2016'!$B$3:$P$33,$A26,0)</f>
        <v>0.05</v>
      </c>
      <c r="F26" s="155">
        <f>HLOOKUP(F$3,'RV 2016'!$B$3:$P$33,$A26,0)</f>
        <v>0</v>
      </c>
      <c r="G26" s="155">
        <f>HLOOKUP(G$3,'RV 2016'!$B$3:$P$33,$A26,0)</f>
        <v>0</v>
      </c>
      <c r="H26" s="155">
        <f>HLOOKUP(H$3,'RV 2016'!$B$3:$P$33,$A26,0)</f>
        <v>1.4999999999999999E-2</v>
      </c>
      <c r="I26" s="186">
        <f>HLOOKUP(I$3,'RV 2016'!$B$3:$P$33,$A26,0)</f>
        <v>7.4999999999999997E-3</v>
      </c>
      <c r="J26" s="1034"/>
    </row>
    <row r="27" spans="1:10" x14ac:dyDescent="0.25">
      <c r="A27" s="48">
        <v>25</v>
      </c>
      <c r="B27" s="1087"/>
      <c r="C27" s="1090" t="s">
        <v>173</v>
      </c>
      <c r="D27" s="1091"/>
      <c r="E27" s="156">
        <f>HLOOKUP(E$3,'RV 2016'!$B$3:$P$33,$A27,0)</f>
        <v>119393002</v>
      </c>
      <c r="F27" s="156">
        <f>HLOOKUP(F$3,'RV 2016'!$B$3:$P$33,$A27,0)</f>
        <v>119393002</v>
      </c>
      <c r="G27" s="156">
        <f>HLOOKUP(G$3,'RV 2016'!$B$3:$P$33,$A27,0)</f>
        <v>119393002</v>
      </c>
      <c r="H27" s="156">
        <f>HLOOKUP(H$3,'RV 2016'!$B$3:$P$33,$A27,0)</f>
        <v>119393002</v>
      </c>
      <c r="I27" s="156">
        <f>HLOOKUP(I$3,'RV 2016'!$B$3:$P$33,$A27,0)</f>
        <v>119393002</v>
      </c>
      <c r="J27" s="1036"/>
    </row>
    <row r="28" spans="1:10" ht="12.5" customHeight="1" x14ac:dyDescent="0.25">
      <c r="A28" s="48">
        <v>26</v>
      </c>
      <c r="B28" s="1088"/>
      <c r="C28" s="1090" t="s">
        <v>160</v>
      </c>
      <c r="D28" s="1091"/>
      <c r="E28" s="614">
        <f>HLOOKUP(E$3,'RV 2016'!$B$3:$P$33,$A28,0)</f>
        <v>5969650.1000000006</v>
      </c>
      <c r="F28" s="614">
        <f>HLOOKUP(F$3,'RV 2016'!$B$3:$P$33,$A28,0)</f>
        <v>0</v>
      </c>
      <c r="G28" s="614">
        <f>HLOOKUP(G$3,'RV 2016'!$B$3:$P$33,$A28,0)</f>
        <v>0</v>
      </c>
      <c r="H28" s="614">
        <f>HLOOKUP(H$3,'RV 2016'!$B$3:$P$33,$A28,0)</f>
        <v>1790895.03</v>
      </c>
      <c r="I28" s="614">
        <f>HLOOKUP(I$3,'RV 2016'!$B$3:$P$33,$A28,0)</f>
        <v>895447.51500000001</v>
      </c>
      <c r="J28" s="608">
        <f t="shared" ref="J28:J29" si="1">SUMPRODUCT($E$7:$I$7,$E28:$I28)</f>
        <v>8655992.6450000014</v>
      </c>
    </row>
    <row r="29" spans="1:10" x14ac:dyDescent="0.25">
      <c r="A29" s="48">
        <v>27</v>
      </c>
      <c r="B29" s="1082" t="s">
        <v>161</v>
      </c>
      <c r="C29" s="1101"/>
      <c r="D29" s="1102"/>
      <c r="E29" s="160">
        <f>HLOOKUP(E$3,'RV 2016'!$B$3:$P$33,$A29,0)</f>
        <v>9745121.5679245293</v>
      </c>
      <c r="F29" s="160">
        <f>HLOOKUP(F$3,'RV 2016'!$B$3:$P$33,$A29,0)</f>
        <v>3750301.9358490566</v>
      </c>
      <c r="G29" s="160">
        <f>HLOOKUP(G$3,'RV 2016'!$B$3:$P$33,$A29,0)</f>
        <v>2051339.5849056607</v>
      </c>
      <c r="H29" s="160">
        <f>HLOOKUP(H$3,'RV 2016'!$B$3:$P$33,$A29,0)</f>
        <v>1790895.03</v>
      </c>
      <c r="I29" s="160">
        <f>HLOOKUP(I$3,'RV 2016'!$B$3:$P$33,$A29,0)</f>
        <v>895447.51500000001</v>
      </c>
      <c r="J29" s="152">
        <f t="shared" si="1"/>
        <v>33939067.845000006</v>
      </c>
    </row>
    <row r="30" spans="1:10" ht="12.5" customHeight="1" x14ac:dyDescent="0.25">
      <c r="A30" s="48">
        <v>28</v>
      </c>
      <c r="B30" s="1103" t="s">
        <v>205</v>
      </c>
      <c r="C30" s="1090" t="s">
        <v>237</v>
      </c>
      <c r="D30" s="1091"/>
      <c r="E30" s="158">
        <f>HLOOKUP(E$3,'RV 2016'!$B$3:$P$33,$A30,0)</f>
        <v>0.17666666666666667</v>
      </c>
      <c r="F30" s="158">
        <f>HLOOKUP(F$3,'RV 2016'!$B$3:$P$33,$A30,0)</f>
        <v>0.17666666666666667</v>
      </c>
      <c r="G30" s="158">
        <f>HLOOKUP(G$3,'RV 2016'!$B$3:$P$33,$A30,0)</f>
        <v>0.17666666666666667</v>
      </c>
      <c r="H30" s="158">
        <f>HLOOKUP(H$3,'RV 2016'!$B$3:$P$33,$A30,0)</f>
        <v>0.17666666666666667</v>
      </c>
      <c r="I30" s="158">
        <f>HLOOKUP(I$3,'RV 2016'!$B$3:$P$33,$A30,0)</f>
        <v>0.17666666666666667</v>
      </c>
      <c r="J30" s="152"/>
    </row>
    <row r="31" spans="1:10" ht="12.5" customHeight="1" x14ac:dyDescent="0.25">
      <c r="A31" s="48">
        <v>29</v>
      </c>
      <c r="B31" s="1104"/>
      <c r="C31" s="1090" t="s">
        <v>238</v>
      </c>
      <c r="D31" s="1091"/>
      <c r="E31" s="158">
        <f>HLOOKUP(E$3,'RV 2016'!$B$3:$P$33,$A31,0)</f>
        <v>0</v>
      </c>
      <c r="F31" s="158">
        <f>HLOOKUP(F$3,'RV 2016'!$B$3:$P$33,$A31,0)</f>
        <v>0</v>
      </c>
      <c r="G31" s="158">
        <f>HLOOKUP(G$3,'RV 2016'!$B$3:$P$33,$A31,0)</f>
        <v>0.21500000000000002</v>
      </c>
      <c r="H31" s="158">
        <f>HLOOKUP(H$3,'RV 2016'!$B$3:$P$33,$A31,0)</f>
        <v>0</v>
      </c>
      <c r="I31" s="158">
        <f>HLOOKUP(I$3,'RV 2016'!$B$3:$P$33,$A31,0)</f>
        <v>0</v>
      </c>
      <c r="J31" s="152"/>
    </row>
    <row r="32" spans="1:10" ht="12.5" customHeight="1" x14ac:dyDescent="0.25">
      <c r="A32" s="48">
        <v>30</v>
      </c>
      <c r="B32" s="1105"/>
      <c r="C32" s="1090" t="s">
        <v>239</v>
      </c>
      <c r="D32" s="1091"/>
      <c r="E32" s="158">
        <f>HLOOKUP(E$3,'RV 2016'!$B$3:$P$33,$A32,0)</f>
        <v>0.17666666666666667</v>
      </c>
      <c r="F32" s="158">
        <f>HLOOKUP(F$3,'RV 2016'!$B$3:$P$33,$A32,0)</f>
        <v>0.17666666666666667</v>
      </c>
      <c r="G32" s="158">
        <f>HLOOKUP(G$3,'RV 2016'!$B$3:$P$33,$A32,0)</f>
        <v>0.39166666666666672</v>
      </c>
      <c r="H32" s="158">
        <f>HLOOKUP(H$3,'RV 2016'!$B$3:$P$33,$A32,0)</f>
        <v>0.17666666666666667</v>
      </c>
      <c r="I32" s="158">
        <f>HLOOKUP(I$3,'RV 2016'!$B$3:$P$33,$A32,0)</f>
        <v>0.17666666666666667</v>
      </c>
      <c r="J32" s="149"/>
    </row>
    <row r="33" spans="1:10" ht="13" thickBot="1" x14ac:dyDescent="0.3">
      <c r="A33" s="48">
        <v>31</v>
      </c>
      <c r="B33" s="1106" t="s">
        <v>174</v>
      </c>
      <c r="C33" s="1107"/>
      <c r="D33" s="1108"/>
      <c r="E33" s="162">
        <f>HLOOKUP(E$3,'RV 2016'!$B$3:$P$33,$A33,0)</f>
        <v>11466759.699999999</v>
      </c>
      <c r="F33" s="162">
        <f>HLOOKUP(F$3,'RV 2016'!$B$3:$P$33,$A33,0)</f>
        <v>4412855.3</v>
      </c>
      <c r="G33" s="162">
        <f>HLOOKUP(G$3,'RV 2016'!$B$3:$P$33,$A33,0)</f>
        <v>2854780.9</v>
      </c>
      <c r="H33" s="162">
        <f>HLOOKUP(H$3,'RV 2016'!$B$3:$P$33,$A33,0)</f>
        <v>2107286.5</v>
      </c>
      <c r="I33" s="162">
        <f>HLOOKUP(I$3,'RV 2016'!$B$3:$P$33,$A33,0)</f>
        <v>1053643.2</v>
      </c>
      <c r="J33" s="159">
        <f>SUMPRODUCT($E$7:$I$7,$E33:$I33)</f>
        <v>42140159.799999997</v>
      </c>
    </row>
    <row r="34" spans="1:10" x14ac:dyDescent="0.25">
      <c r="J34" s="606">
        <f>J33-'RV 2016'!P33</f>
        <v>0</v>
      </c>
    </row>
  </sheetData>
  <mergeCells count="36">
    <mergeCell ref="B30:B32"/>
    <mergeCell ref="C30:D30"/>
    <mergeCell ref="C31:D31"/>
    <mergeCell ref="C32:D32"/>
    <mergeCell ref="B33:D33"/>
    <mergeCell ref="B29:D29"/>
    <mergeCell ref="J20:J23"/>
    <mergeCell ref="C21:D21"/>
    <mergeCell ref="C22:D22"/>
    <mergeCell ref="C23:D23"/>
    <mergeCell ref="C24:D24"/>
    <mergeCell ref="B25:D25"/>
    <mergeCell ref="B26:B28"/>
    <mergeCell ref="C26:D26"/>
    <mergeCell ref="J26:J27"/>
    <mergeCell ref="C27:D27"/>
    <mergeCell ref="C28:D28"/>
    <mergeCell ref="B17:D17"/>
    <mergeCell ref="B18:B19"/>
    <mergeCell ref="C18:D18"/>
    <mergeCell ref="C19:D19"/>
    <mergeCell ref="B20:B24"/>
    <mergeCell ref="C20:D20"/>
    <mergeCell ref="B11:B14"/>
    <mergeCell ref="J11:J13"/>
    <mergeCell ref="C12:C13"/>
    <mergeCell ref="C14:D14"/>
    <mergeCell ref="B15:B16"/>
    <mergeCell ref="C15:D15"/>
    <mergeCell ref="C16:D16"/>
    <mergeCell ref="B10:D10"/>
    <mergeCell ref="B4:J4"/>
    <mergeCell ref="B6:D6"/>
    <mergeCell ref="B7:D7"/>
    <mergeCell ref="B8:D8"/>
    <mergeCell ref="B9:D9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3:I27"/>
  <sheetViews>
    <sheetView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20.6328125" style="47" customWidth="1"/>
    <col min="3" max="3" width="10.90625" style="47" customWidth="1"/>
    <col min="4" max="4" width="20.36328125" style="47" bestFit="1" customWidth="1"/>
    <col min="5" max="5" width="8.1796875" style="47" customWidth="1"/>
    <col min="6" max="6" width="8.08984375" style="47" customWidth="1"/>
    <col min="7" max="7" width="7.6328125" style="47" customWidth="1"/>
    <col min="8" max="8" width="8.08984375" style="48" bestFit="1" customWidth="1"/>
    <col min="9" max="250" width="11.453125" style="48"/>
    <col min="251" max="251" width="10" style="48" customWidth="1"/>
    <col min="252" max="252" width="50.54296875" style="48" customWidth="1"/>
    <col min="253" max="506" width="11.453125" style="48"/>
    <col min="507" max="507" width="10" style="48" customWidth="1"/>
    <col min="508" max="508" width="50.54296875" style="48" customWidth="1"/>
    <col min="509" max="762" width="11.453125" style="48"/>
    <col min="763" max="763" width="10" style="48" customWidth="1"/>
    <col min="764" max="764" width="50.54296875" style="48" customWidth="1"/>
    <col min="765" max="1018" width="11.453125" style="48"/>
    <col min="1019" max="1019" width="10" style="48" customWidth="1"/>
    <col min="1020" max="1020" width="50.54296875" style="48" customWidth="1"/>
    <col min="1021" max="1274" width="11.453125" style="48"/>
    <col min="1275" max="1275" width="10" style="48" customWidth="1"/>
    <col min="1276" max="1276" width="50.54296875" style="48" customWidth="1"/>
    <col min="1277" max="1530" width="11.453125" style="48"/>
    <col min="1531" max="1531" width="10" style="48" customWidth="1"/>
    <col min="1532" max="1532" width="50.54296875" style="48" customWidth="1"/>
    <col min="1533" max="1786" width="11.453125" style="48"/>
    <col min="1787" max="1787" width="10" style="48" customWidth="1"/>
    <col min="1788" max="1788" width="50.54296875" style="48" customWidth="1"/>
    <col min="1789" max="2042" width="11.453125" style="48"/>
    <col min="2043" max="2043" width="10" style="48" customWidth="1"/>
    <col min="2044" max="2044" width="50.54296875" style="48" customWidth="1"/>
    <col min="2045" max="2298" width="11.453125" style="48"/>
    <col min="2299" max="2299" width="10" style="48" customWidth="1"/>
    <col min="2300" max="2300" width="50.54296875" style="48" customWidth="1"/>
    <col min="2301" max="2554" width="11.453125" style="48"/>
    <col min="2555" max="2555" width="10" style="48" customWidth="1"/>
    <col min="2556" max="2556" width="50.54296875" style="48" customWidth="1"/>
    <col min="2557" max="2810" width="11.453125" style="48"/>
    <col min="2811" max="2811" width="10" style="48" customWidth="1"/>
    <col min="2812" max="2812" width="50.54296875" style="48" customWidth="1"/>
    <col min="2813" max="3066" width="11.453125" style="48"/>
    <col min="3067" max="3067" width="10" style="48" customWidth="1"/>
    <col min="3068" max="3068" width="50.54296875" style="48" customWidth="1"/>
    <col min="3069" max="3322" width="11.453125" style="48"/>
    <col min="3323" max="3323" width="10" style="48" customWidth="1"/>
    <col min="3324" max="3324" width="50.54296875" style="48" customWidth="1"/>
    <col min="3325" max="3578" width="11.453125" style="48"/>
    <col min="3579" max="3579" width="10" style="48" customWidth="1"/>
    <col min="3580" max="3580" width="50.54296875" style="48" customWidth="1"/>
    <col min="3581" max="3834" width="11.453125" style="48"/>
    <col min="3835" max="3835" width="10" style="48" customWidth="1"/>
    <col min="3836" max="3836" width="50.54296875" style="48" customWidth="1"/>
    <col min="3837" max="4090" width="11.453125" style="48"/>
    <col min="4091" max="4091" width="10" style="48" customWidth="1"/>
    <col min="4092" max="4092" width="50.54296875" style="48" customWidth="1"/>
    <col min="4093" max="4346" width="11.453125" style="48"/>
    <col min="4347" max="4347" width="10" style="48" customWidth="1"/>
    <col min="4348" max="4348" width="50.54296875" style="48" customWidth="1"/>
    <col min="4349" max="4602" width="11.453125" style="48"/>
    <col min="4603" max="4603" width="10" style="48" customWidth="1"/>
    <col min="4604" max="4604" width="50.54296875" style="48" customWidth="1"/>
    <col min="4605" max="4858" width="11.453125" style="48"/>
    <col min="4859" max="4859" width="10" style="48" customWidth="1"/>
    <col min="4860" max="4860" width="50.54296875" style="48" customWidth="1"/>
    <col min="4861" max="5114" width="11.453125" style="48"/>
    <col min="5115" max="5115" width="10" style="48" customWidth="1"/>
    <col min="5116" max="5116" width="50.54296875" style="48" customWidth="1"/>
    <col min="5117" max="5370" width="11.453125" style="48"/>
    <col min="5371" max="5371" width="10" style="48" customWidth="1"/>
    <col min="5372" max="5372" width="50.54296875" style="48" customWidth="1"/>
    <col min="5373" max="5626" width="11.453125" style="48"/>
    <col min="5627" max="5627" width="10" style="48" customWidth="1"/>
    <col min="5628" max="5628" width="50.54296875" style="48" customWidth="1"/>
    <col min="5629" max="5882" width="11.453125" style="48"/>
    <col min="5883" max="5883" width="10" style="48" customWidth="1"/>
    <col min="5884" max="5884" width="50.54296875" style="48" customWidth="1"/>
    <col min="5885" max="6138" width="11.453125" style="48"/>
    <col min="6139" max="6139" width="10" style="48" customWidth="1"/>
    <col min="6140" max="6140" width="50.54296875" style="48" customWidth="1"/>
    <col min="6141" max="6394" width="11.453125" style="48"/>
    <col min="6395" max="6395" width="10" style="48" customWidth="1"/>
    <col min="6396" max="6396" width="50.54296875" style="48" customWidth="1"/>
    <col min="6397" max="6650" width="11.453125" style="48"/>
    <col min="6651" max="6651" width="10" style="48" customWidth="1"/>
    <col min="6652" max="6652" width="50.54296875" style="48" customWidth="1"/>
    <col min="6653" max="6906" width="11.453125" style="48"/>
    <col min="6907" max="6907" width="10" style="48" customWidth="1"/>
    <col min="6908" max="6908" width="50.54296875" style="48" customWidth="1"/>
    <col min="6909" max="7162" width="11.453125" style="48"/>
    <col min="7163" max="7163" width="10" style="48" customWidth="1"/>
    <col min="7164" max="7164" width="50.54296875" style="48" customWidth="1"/>
    <col min="7165" max="7418" width="11.453125" style="48"/>
    <col min="7419" max="7419" width="10" style="48" customWidth="1"/>
    <col min="7420" max="7420" width="50.54296875" style="48" customWidth="1"/>
    <col min="7421" max="7674" width="11.453125" style="48"/>
    <col min="7675" max="7675" width="10" style="48" customWidth="1"/>
    <col min="7676" max="7676" width="50.54296875" style="48" customWidth="1"/>
    <col min="7677" max="7930" width="11.453125" style="48"/>
    <col min="7931" max="7931" width="10" style="48" customWidth="1"/>
    <col min="7932" max="7932" width="50.54296875" style="48" customWidth="1"/>
    <col min="7933" max="8186" width="11.453125" style="48"/>
    <col min="8187" max="8187" width="10" style="48" customWidth="1"/>
    <col min="8188" max="8188" width="50.54296875" style="48" customWidth="1"/>
    <col min="8189" max="8442" width="11.453125" style="48"/>
    <col min="8443" max="8443" width="10" style="48" customWidth="1"/>
    <col min="8444" max="8444" width="50.54296875" style="48" customWidth="1"/>
    <col min="8445" max="8698" width="11.453125" style="48"/>
    <col min="8699" max="8699" width="10" style="48" customWidth="1"/>
    <col min="8700" max="8700" width="50.54296875" style="48" customWidth="1"/>
    <col min="8701" max="8954" width="11.453125" style="48"/>
    <col min="8955" max="8955" width="10" style="48" customWidth="1"/>
    <col min="8956" max="8956" width="50.54296875" style="48" customWidth="1"/>
    <col min="8957" max="9210" width="11.453125" style="48"/>
    <col min="9211" max="9211" width="10" style="48" customWidth="1"/>
    <col min="9212" max="9212" width="50.54296875" style="48" customWidth="1"/>
    <col min="9213" max="9466" width="11.453125" style="48"/>
    <col min="9467" max="9467" width="10" style="48" customWidth="1"/>
    <col min="9468" max="9468" width="50.54296875" style="48" customWidth="1"/>
    <col min="9469" max="9722" width="11.453125" style="48"/>
    <col min="9723" max="9723" width="10" style="48" customWidth="1"/>
    <col min="9724" max="9724" width="50.54296875" style="48" customWidth="1"/>
    <col min="9725" max="9978" width="11.453125" style="48"/>
    <col min="9979" max="9979" width="10" style="48" customWidth="1"/>
    <col min="9980" max="9980" width="50.54296875" style="48" customWidth="1"/>
    <col min="9981" max="10234" width="11.453125" style="48"/>
    <col min="10235" max="10235" width="10" style="48" customWidth="1"/>
    <col min="10236" max="10236" width="50.54296875" style="48" customWidth="1"/>
    <col min="10237" max="10490" width="11.453125" style="48"/>
    <col min="10491" max="10491" width="10" style="48" customWidth="1"/>
    <col min="10492" max="10492" width="50.54296875" style="48" customWidth="1"/>
    <col min="10493" max="10746" width="11.453125" style="48"/>
    <col min="10747" max="10747" width="10" style="48" customWidth="1"/>
    <col min="10748" max="10748" width="50.54296875" style="48" customWidth="1"/>
    <col min="10749" max="11002" width="11.453125" style="48"/>
    <col min="11003" max="11003" width="10" style="48" customWidth="1"/>
    <col min="11004" max="11004" width="50.54296875" style="48" customWidth="1"/>
    <col min="11005" max="11258" width="11.453125" style="48"/>
    <col min="11259" max="11259" width="10" style="48" customWidth="1"/>
    <col min="11260" max="11260" width="50.54296875" style="48" customWidth="1"/>
    <col min="11261" max="11514" width="11.453125" style="48"/>
    <col min="11515" max="11515" width="10" style="48" customWidth="1"/>
    <col min="11516" max="11516" width="50.54296875" style="48" customWidth="1"/>
    <col min="11517" max="11770" width="11.453125" style="48"/>
    <col min="11771" max="11771" width="10" style="48" customWidth="1"/>
    <col min="11772" max="11772" width="50.54296875" style="48" customWidth="1"/>
    <col min="11773" max="12026" width="11.453125" style="48"/>
    <col min="12027" max="12027" width="10" style="48" customWidth="1"/>
    <col min="12028" max="12028" width="50.54296875" style="48" customWidth="1"/>
    <col min="12029" max="12282" width="11.453125" style="48"/>
    <col min="12283" max="12283" width="10" style="48" customWidth="1"/>
    <col min="12284" max="12284" width="50.54296875" style="48" customWidth="1"/>
    <col min="12285" max="12538" width="11.453125" style="48"/>
    <col min="12539" max="12539" width="10" style="48" customWidth="1"/>
    <col min="12540" max="12540" width="50.54296875" style="48" customWidth="1"/>
    <col min="12541" max="12794" width="11.453125" style="48"/>
    <col min="12795" max="12795" width="10" style="48" customWidth="1"/>
    <col min="12796" max="12796" width="50.54296875" style="48" customWidth="1"/>
    <col min="12797" max="13050" width="11.453125" style="48"/>
    <col min="13051" max="13051" width="10" style="48" customWidth="1"/>
    <col min="13052" max="13052" width="50.54296875" style="48" customWidth="1"/>
    <col min="13053" max="13306" width="11.453125" style="48"/>
    <col min="13307" max="13307" width="10" style="48" customWidth="1"/>
    <col min="13308" max="13308" width="50.54296875" style="48" customWidth="1"/>
    <col min="13309" max="13562" width="11.453125" style="48"/>
    <col min="13563" max="13563" width="10" style="48" customWidth="1"/>
    <col min="13564" max="13564" width="50.54296875" style="48" customWidth="1"/>
    <col min="13565" max="13818" width="11.453125" style="48"/>
    <col min="13819" max="13819" width="10" style="48" customWidth="1"/>
    <col min="13820" max="13820" width="50.54296875" style="48" customWidth="1"/>
    <col min="13821" max="14074" width="11.453125" style="48"/>
    <col min="14075" max="14075" width="10" style="48" customWidth="1"/>
    <col min="14076" max="14076" width="50.54296875" style="48" customWidth="1"/>
    <col min="14077" max="14330" width="11.453125" style="48"/>
    <col min="14331" max="14331" width="10" style="48" customWidth="1"/>
    <col min="14332" max="14332" width="50.54296875" style="48" customWidth="1"/>
    <col min="14333" max="14586" width="11.453125" style="48"/>
    <col min="14587" max="14587" width="10" style="48" customWidth="1"/>
    <col min="14588" max="14588" width="50.54296875" style="48" customWidth="1"/>
    <col min="14589" max="14842" width="11.453125" style="48"/>
    <col min="14843" max="14843" width="10" style="48" customWidth="1"/>
    <col min="14844" max="14844" width="50.54296875" style="48" customWidth="1"/>
    <col min="14845" max="15098" width="11.453125" style="48"/>
    <col min="15099" max="15099" width="10" style="48" customWidth="1"/>
    <col min="15100" max="15100" width="50.54296875" style="48" customWidth="1"/>
    <col min="15101" max="15354" width="11.453125" style="48"/>
    <col min="15355" max="15355" width="10" style="48" customWidth="1"/>
    <col min="15356" max="15356" width="50.54296875" style="48" customWidth="1"/>
    <col min="15357" max="15610" width="11.453125" style="48"/>
    <col min="15611" max="15611" width="10" style="48" customWidth="1"/>
    <col min="15612" max="15612" width="50.54296875" style="48" customWidth="1"/>
    <col min="15613" max="15866" width="11.453125" style="48"/>
    <col min="15867" max="15867" width="10" style="48" customWidth="1"/>
    <col min="15868" max="15868" width="50.54296875" style="48" customWidth="1"/>
    <col min="15869" max="16122" width="11.453125" style="48"/>
    <col min="16123" max="16123" width="10" style="48" customWidth="1"/>
    <col min="16124" max="16124" width="50.54296875" style="48" customWidth="1"/>
    <col min="16125" max="16384" width="11.453125" style="48"/>
  </cols>
  <sheetData>
    <row r="3" spans="1:9" s="50" customFormat="1" ht="13.5" thickBot="1" x14ac:dyDescent="0.35">
      <c r="B3" s="1001"/>
      <c r="C3" s="1001"/>
      <c r="D3" s="1001"/>
    </row>
    <row r="4" spans="1:9" s="50" customFormat="1" ht="18.5" thickBot="1" x14ac:dyDescent="0.45">
      <c r="B4" s="979" t="str">
        <f>"Horas de Trabajo Mensuales por Consultor Año "&amp;I4</f>
        <v>Horas de Trabajo Mensuales por Consultor Año 2017</v>
      </c>
      <c r="C4" s="980"/>
      <c r="D4" s="980"/>
      <c r="E4" s="980"/>
      <c r="F4" s="980"/>
      <c r="G4" s="980"/>
      <c r="H4" s="981"/>
      <c r="I4" s="50">
        <v>2017</v>
      </c>
    </row>
    <row r="5" spans="1:9" s="50" customFormat="1" ht="13.25" customHeight="1" thickBot="1" x14ac:dyDescent="0.35"/>
    <row r="6" spans="1:9" s="45" customFormat="1" ht="12" customHeight="1" x14ac:dyDescent="0.3">
      <c r="B6" s="1057" t="s">
        <v>89</v>
      </c>
      <c r="C6" s="1059" t="s">
        <v>94</v>
      </c>
      <c r="D6" s="1062" t="s">
        <v>110</v>
      </c>
      <c r="E6" s="1064" t="s">
        <v>112</v>
      </c>
      <c r="F6" s="999"/>
      <c r="G6" s="999"/>
      <c r="H6" s="1065"/>
    </row>
    <row r="7" spans="1:9" s="45" customFormat="1" ht="3" customHeight="1" x14ac:dyDescent="0.3">
      <c r="B7" s="1058"/>
      <c r="C7" s="1060"/>
      <c r="D7" s="1063"/>
      <c r="E7" s="1066"/>
      <c r="F7" s="1067"/>
      <c r="G7" s="1067"/>
      <c r="H7" s="1068"/>
    </row>
    <row r="8" spans="1:9" s="45" customFormat="1" ht="13" x14ac:dyDescent="0.3">
      <c r="B8" s="136"/>
      <c r="C8" s="1061"/>
      <c r="D8" s="134"/>
      <c r="E8" s="121" t="s">
        <v>106</v>
      </c>
      <c r="F8" s="121" t="s">
        <v>107</v>
      </c>
      <c r="G8" s="121" t="s">
        <v>108</v>
      </c>
      <c r="H8" s="133" t="s">
        <v>147</v>
      </c>
    </row>
    <row r="9" spans="1:9" s="46" customFormat="1" x14ac:dyDescent="0.35">
      <c r="A9" s="46">
        <v>1</v>
      </c>
      <c r="B9" s="52" t="s">
        <v>93</v>
      </c>
      <c r="C9" s="53">
        <v>10</v>
      </c>
      <c r="D9" s="53" t="s">
        <v>91</v>
      </c>
      <c r="E9" s="53">
        <v>0</v>
      </c>
      <c r="F9" s="53">
        <v>20</v>
      </c>
      <c r="G9" s="53">
        <f>ROUND(IF($G$26*(F9/($F$9+$F$10+$F$13+$F$17))&gt;F9,F9,$G$26*(F9/($F$9+$F$10+$F$13+$F$17))),0)</f>
        <v>20</v>
      </c>
      <c r="H9" s="138">
        <f>IF(D9="Laboral",100%,G9/F9)</f>
        <v>1</v>
      </c>
    </row>
    <row r="10" spans="1:9" s="46" customFormat="1" x14ac:dyDescent="0.35">
      <c r="A10" s="46">
        <v>2</v>
      </c>
      <c r="B10" s="52" t="s">
        <v>90</v>
      </c>
      <c r="C10" s="53">
        <v>2</v>
      </c>
      <c r="D10" s="53" t="s">
        <v>91</v>
      </c>
      <c r="E10" s="53">
        <v>20</v>
      </c>
      <c r="F10" s="53">
        <v>40</v>
      </c>
      <c r="G10" s="53">
        <f t="shared" ref="G10" si="0">ROUND(IF($G$26*(F10/($F$9+$F$10+$F$13+$F$17))&gt;F10,F10,$G$26*(F10/($F$9+$F$10+$F$13+$F$17))),0)</f>
        <v>40</v>
      </c>
      <c r="H10" s="138">
        <f t="shared" ref="H10:H17" si="1">IF(D10="Laboral",100%,G10/F10)</f>
        <v>1</v>
      </c>
    </row>
    <row r="11" spans="1:9" s="46" customFormat="1" x14ac:dyDescent="0.35">
      <c r="A11" s="46">
        <v>3</v>
      </c>
      <c r="B11" s="52" t="s">
        <v>90</v>
      </c>
      <c r="C11" s="53">
        <v>2</v>
      </c>
      <c r="D11" s="53" t="s">
        <v>145</v>
      </c>
      <c r="E11" s="53">
        <v>10</v>
      </c>
      <c r="F11" s="53">
        <v>40</v>
      </c>
      <c r="G11" s="57">
        <f>ROUND(IF(($G$26-($G$9+$G$10+$G$13+$G$17))*(F11/($F$11+$F$12+$F$14+$F$15+$F$16))&gt;F11,F11,($G$26-($G$9+$G$10+$G$13+$G$17))*(F11/($F$11+$F$12+$F$14+$F$15+$F$16))),0)</f>
        <v>30</v>
      </c>
      <c r="H11" s="138">
        <f t="shared" si="1"/>
        <v>0.75</v>
      </c>
    </row>
    <row r="12" spans="1:9" s="46" customFormat="1" x14ac:dyDescent="0.35">
      <c r="A12" s="46">
        <v>4</v>
      </c>
      <c r="B12" s="52" t="s">
        <v>90</v>
      </c>
      <c r="C12" s="53">
        <v>3</v>
      </c>
      <c r="D12" s="53" t="s">
        <v>145</v>
      </c>
      <c r="E12" s="53">
        <v>10</v>
      </c>
      <c r="F12" s="53">
        <v>40</v>
      </c>
      <c r="G12" s="57">
        <f t="shared" ref="G12" si="2">ROUND(IF(($G$26-($G$9+$G$10+$G$13+$G$17))*(F12/($F$11+$F$12+$F$14+$F$15+$F$16))&gt;F12,F12,($G$26-($G$9+$G$10+$G$13+$G$17))*(F12/($F$11+$F$12+$F$14+$F$15+$F$16))),0)</f>
        <v>30</v>
      </c>
      <c r="H12" s="138">
        <f t="shared" si="1"/>
        <v>0.75</v>
      </c>
    </row>
    <row r="13" spans="1:9" s="46" customFormat="1" x14ac:dyDescent="0.35">
      <c r="A13" s="46">
        <v>5</v>
      </c>
      <c r="B13" s="52" t="s">
        <v>90</v>
      </c>
      <c r="C13" s="53">
        <v>5</v>
      </c>
      <c r="D13" s="53" t="s">
        <v>91</v>
      </c>
      <c r="E13" s="53">
        <v>20</v>
      </c>
      <c r="F13" s="53">
        <v>40</v>
      </c>
      <c r="G13" s="53">
        <f>ROUND(IF($G$26*(F13/($F$9+$F$10+$F$13+$F$17))&gt;F13,F13,$G$26*(F13/($F$9+$F$10+$F$13+$F$17))),0)</f>
        <v>40</v>
      </c>
      <c r="H13" s="138">
        <f t="shared" si="1"/>
        <v>1</v>
      </c>
    </row>
    <row r="14" spans="1:9" s="46" customFormat="1" x14ac:dyDescent="0.35">
      <c r="A14" s="46">
        <v>6</v>
      </c>
      <c r="B14" s="52" t="s">
        <v>90</v>
      </c>
      <c r="C14" s="53">
        <v>2</v>
      </c>
      <c r="D14" s="53" t="s">
        <v>145</v>
      </c>
      <c r="E14" s="53">
        <v>10</v>
      </c>
      <c r="F14" s="53">
        <v>40</v>
      </c>
      <c r="G14" s="57">
        <f t="shared" ref="G14:G16" si="3">ROUND(IF(($G$26-($G$9+$G$10+$G$13+$G$17))*(F14/($F$11+$F$12+$F$14+$F$15+$F$16))&gt;F14,F14,($G$26-($G$9+$G$10+$G$13+$G$17))*(F14/($F$11+$F$12+$F$14+$F$15+$F$16))),0)</f>
        <v>30</v>
      </c>
      <c r="H14" s="138">
        <f t="shared" si="1"/>
        <v>0.75</v>
      </c>
    </row>
    <row r="15" spans="1:9" s="46" customFormat="1" x14ac:dyDescent="0.35">
      <c r="A15" s="46">
        <v>7</v>
      </c>
      <c r="B15" s="52" t="s">
        <v>90</v>
      </c>
      <c r="C15" s="53">
        <v>2</v>
      </c>
      <c r="D15" s="53" t="s">
        <v>145</v>
      </c>
      <c r="E15" s="53">
        <v>10</v>
      </c>
      <c r="F15" s="53">
        <v>40</v>
      </c>
      <c r="G15" s="57">
        <f t="shared" si="3"/>
        <v>30</v>
      </c>
      <c r="H15" s="138">
        <f t="shared" si="1"/>
        <v>0.75</v>
      </c>
    </row>
    <row r="16" spans="1:9" s="46" customFormat="1" x14ac:dyDescent="0.35">
      <c r="A16" s="46">
        <v>8</v>
      </c>
      <c r="B16" s="52" t="s">
        <v>90</v>
      </c>
      <c r="C16" s="53">
        <v>7</v>
      </c>
      <c r="D16" s="53" t="s">
        <v>145</v>
      </c>
      <c r="E16" s="53">
        <v>10</v>
      </c>
      <c r="F16" s="53">
        <v>40</v>
      </c>
      <c r="G16" s="57">
        <f t="shared" si="3"/>
        <v>30</v>
      </c>
      <c r="H16" s="138">
        <f t="shared" si="1"/>
        <v>0.75</v>
      </c>
    </row>
    <row r="17" spans="1:8" s="46" customFormat="1" x14ac:dyDescent="0.35">
      <c r="A17" s="46">
        <v>9</v>
      </c>
      <c r="B17" s="52" t="s">
        <v>90</v>
      </c>
      <c r="C17" s="53">
        <v>2</v>
      </c>
      <c r="D17" s="53" t="s">
        <v>91</v>
      </c>
      <c r="E17" s="53">
        <v>20</v>
      </c>
      <c r="F17" s="53">
        <v>40</v>
      </c>
      <c r="G17" s="53">
        <f>ROUND(IF($G$26*(F17/($F$9+$F$10+$F$13+$F$17))&gt;F17,F17,$G$26*(F17/($F$9+$F$10+$F$13+$F$17))),0)</f>
        <v>40</v>
      </c>
      <c r="H17" s="138">
        <f t="shared" si="1"/>
        <v>1</v>
      </c>
    </row>
    <row r="18" spans="1:8" s="46" customFormat="1" x14ac:dyDescent="0.35">
      <c r="B18" s="122"/>
      <c r="C18" s="123"/>
      <c r="D18" s="123"/>
      <c r="E18" s="123"/>
      <c r="F18" s="123"/>
      <c r="G18" s="123"/>
      <c r="H18" s="141"/>
    </row>
    <row r="19" spans="1:8" s="46" customFormat="1" ht="13" x14ac:dyDescent="0.35">
      <c r="B19" s="73" t="s">
        <v>103</v>
      </c>
      <c r="C19" s="65"/>
      <c r="D19" s="65"/>
      <c r="E19" s="65"/>
      <c r="F19" s="66"/>
      <c r="G19" s="74">
        <f>SUM(G9:G17)</f>
        <v>290</v>
      </c>
      <c r="H19" s="139"/>
    </row>
    <row r="20" spans="1:8" s="46" customFormat="1" x14ac:dyDescent="0.35">
      <c r="B20" s="52"/>
      <c r="C20" s="53"/>
      <c r="D20" s="53"/>
      <c r="E20" s="53"/>
      <c r="F20" s="53"/>
      <c r="G20" s="53"/>
      <c r="H20" s="139"/>
    </row>
    <row r="21" spans="1:8" s="46" customFormat="1" x14ac:dyDescent="0.35">
      <c r="A21" s="46">
        <v>10</v>
      </c>
      <c r="B21" s="52" t="s">
        <v>146</v>
      </c>
      <c r="C21" s="58" t="s">
        <v>45</v>
      </c>
      <c r="D21" s="53" t="s">
        <v>91</v>
      </c>
      <c r="E21" s="53">
        <v>20</v>
      </c>
      <c r="F21" s="53">
        <v>40</v>
      </c>
      <c r="G21" s="53">
        <f>F21</f>
        <v>40</v>
      </c>
      <c r="H21" s="138">
        <f t="shared" ref="H21:H22" si="4">IF(D21="Laboral",100%,G21/F21)</f>
        <v>1</v>
      </c>
    </row>
    <row r="22" spans="1:8" s="46" customFormat="1" x14ac:dyDescent="0.35">
      <c r="A22" s="46">
        <v>11</v>
      </c>
      <c r="B22" s="52" t="s">
        <v>92</v>
      </c>
      <c r="C22" s="58" t="s">
        <v>45</v>
      </c>
      <c r="D22" s="53" t="s">
        <v>91</v>
      </c>
      <c r="E22" s="53">
        <v>20</v>
      </c>
      <c r="F22" s="53">
        <v>40</v>
      </c>
      <c r="G22" s="53">
        <f>F22</f>
        <v>40</v>
      </c>
      <c r="H22" s="138">
        <f t="shared" si="4"/>
        <v>1</v>
      </c>
    </row>
    <row r="23" spans="1:8" x14ac:dyDescent="0.25">
      <c r="B23" s="129"/>
      <c r="C23" s="130"/>
      <c r="D23" s="130"/>
      <c r="E23" s="130"/>
      <c r="F23" s="130"/>
      <c r="G23" s="130"/>
      <c r="H23" s="140"/>
    </row>
    <row r="24" spans="1:8" ht="13.5" thickBot="1" x14ac:dyDescent="0.35">
      <c r="B24" s="68" t="s">
        <v>65</v>
      </c>
      <c r="C24" s="69"/>
      <c r="D24" s="69"/>
      <c r="E24" s="69"/>
      <c r="F24" s="70"/>
      <c r="G24" s="63">
        <f>SUM(G19:G22)</f>
        <v>370</v>
      </c>
      <c r="H24" s="137"/>
    </row>
    <row r="25" spans="1:8" x14ac:dyDescent="0.25">
      <c r="G25" s="51"/>
    </row>
    <row r="26" spans="1:8" x14ac:dyDescent="0.25">
      <c r="B26" s="47" t="s">
        <v>104</v>
      </c>
      <c r="G26" s="51">
        <f>HLOOKUP($I$4,'HP Proyect'!$B$4:$F$6,2,0)</f>
        <v>289</v>
      </c>
    </row>
    <row r="27" spans="1:8" x14ac:dyDescent="0.25">
      <c r="B27" s="47" t="s">
        <v>105</v>
      </c>
      <c r="G27" s="51">
        <f>G19-G26</f>
        <v>1</v>
      </c>
    </row>
  </sheetData>
  <mergeCells count="6">
    <mergeCell ref="B3:D3"/>
    <mergeCell ref="B4:H4"/>
    <mergeCell ref="B6:B7"/>
    <mergeCell ref="C6:C8"/>
    <mergeCell ref="D6:D7"/>
    <mergeCell ref="E6:H7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3:P28"/>
  <sheetViews>
    <sheetView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6.54296875" style="47" bestFit="1" customWidth="1"/>
    <col min="4" max="4" width="8.81640625" style="47" bestFit="1" customWidth="1"/>
    <col min="5" max="5" width="5.36328125" style="48" bestFit="1" customWidth="1"/>
    <col min="6" max="6" width="6.08984375" style="48" bestFit="1" customWidth="1"/>
    <col min="7" max="7" width="8.81640625" style="48" bestFit="1" customWidth="1"/>
    <col min="8" max="8" width="5.36328125" style="48" bestFit="1" customWidth="1"/>
    <col min="9" max="9" width="10.81640625" style="48" bestFit="1" customWidth="1"/>
    <col min="10" max="10" width="6.6328125" style="48" bestFit="1" customWidth="1"/>
    <col min="11" max="14" width="6.6328125" style="48" customWidth="1"/>
    <col min="15" max="15" width="12" style="48" customWidth="1"/>
    <col min="16" max="263" width="11.453125" style="48"/>
    <col min="264" max="264" width="10" style="48" customWidth="1"/>
    <col min="265" max="265" width="50.54296875" style="48" customWidth="1"/>
    <col min="266" max="519" width="11.453125" style="48"/>
    <col min="520" max="520" width="10" style="48" customWidth="1"/>
    <col min="521" max="521" width="50.54296875" style="48" customWidth="1"/>
    <col min="522" max="775" width="11.453125" style="48"/>
    <col min="776" max="776" width="10" style="48" customWidth="1"/>
    <col min="777" max="777" width="50.54296875" style="48" customWidth="1"/>
    <col min="778" max="1031" width="11.453125" style="48"/>
    <col min="1032" max="1032" width="10" style="48" customWidth="1"/>
    <col min="1033" max="1033" width="50.54296875" style="48" customWidth="1"/>
    <col min="1034" max="1287" width="11.453125" style="48"/>
    <col min="1288" max="1288" width="10" style="48" customWidth="1"/>
    <col min="1289" max="1289" width="50.54296875" style="48" customWidth="1"/>
    <col min="1290" max="1543" width="11.453125" style="48"/>
    <col min="1544" max="1544" width="10" style="48" customWidth="1"/>
    <col min="1545" max="1545" width="50.54296875" style="48" customWidth="1"/>
    <col min="1546" max="1799" width="11.453125" style="48"/>
    <col min="1800" max="1800" width="10" style="48" customWidth="1"/>
    <col min="1801" max="1801" width="50.54296875" style="48" customWidth="1"/>
    <col min="1802" max="2055" width="11.453125" style="48"/>
    <col min="2056" max="2056" width="10" style="48" customWidth="1"/>
    <col min="2057" max="2057" width="50.54296875" style="48" customWidth="1"/>
    <col min="2058" max="2311" width="11.453125" style="48"/>
    <col min="2312" max="2312" width="10" style="48" customWidth="1"/>
    <col min="2313" max="2313" width="50.54296875" style="48" customWidth="1"/>
    <col min="2314" max="2567" width="11.453125" style="48"/>
    <col min="2568" max="2568" width="10" style="48" customWidth="1"/>
    <col min="2569" max="2569" width="50.54296875" style="48" customWidth="1"/>
    <col min="2570" max="2823" width="11.453125" style="48"/>
    <col min="2824" max="2824" width="10" style="48" customWidth="1"/>
    <col min="2825" max="2825" width="50.54296875" style="48" customWidth="1"/>
    <col min="2826" max="3079" width="11.453125" style="48"/>
    <col min="3080" max="3080" width="10" style="48" customWidth="1"/>
    <col min="3081" max="3081" width="50.54296875" style="48" customWidth="1"/>
    <col min="3082" max="3335" width="11.453125" style="48"/>
    <col min="3336" max="3336" width="10" style="48" customWidth="1"/>
    <col min="3337" max="3337" width="50.54296875" style="48" customWidth="1"/>
    <col min="3338" max="3591" width="11.453125" style="48"/>
    <col min="3592" max="3592" width="10" style="48" customWidth="1"/>
    <col min="3593" max="3593" width="50.54296875" style="48" customWidth="1"/>
    <col min="3594" max="3847" width="11.453125" style="48"/>
    <col min="3848" max="3848" width="10" style="48" customWidth="1"/>
    <col min="3849" max="3849" width="50.54296875" style="48" customWidth="1"/>
    <col min="3850" max="4103" width="11.453125" style="48"/>
    <col min="4104" max="4104" width="10" style="48" customWidth="1"/>
    <col min="4105" max="4105" width="50.54296875" style="48" customWidth="1"/>
    <col min="4106" max="4359" width="11.453125" style="48"/>
    <col min="4360" max="4360" width="10" style="48" customWidth="1"/>
    <col min="4361" max="4361" width="50.54296875" style="48" customWidth="1"/>
    <col min="4362" max="4615" width="11.453125" style="48"/>
    <col min="4616" max="4616" width="10" style="48" customWidth="1"/>
    <col min="4617" max="4617" width="50.54296875" style="48" customWidth="1"/>
    <col min="4618" max="4871" width="11.453125" style="48"/>
    <col min="4872" max="4872" width="10" style="48" customWidth="1"/>
    <col min="4873" max="4873" width="50.54296875" style="48" customWidth="1"/>
    <col min="4874" max="5127" width="11.453125" style="48"/>
    <col min="5128" max="5128" width="10" style="48" customWidth="1"/>
    <col min="5129" max="5129" width="50.54296875" style="48" customWidth="1"/>
    <col min="5130" max="5383" width="11.453125" style="48"/>
    <col min="5384" max="5384" width="10" style="48" customWidth="1"/>
    <col min="5385" max="5385" width="50.54296875" style="48" customWidth="1"/>
    <col min="5386" max="5639" width="11.453125" style="48"/>
    <col min="5640" max="5640" width="10" style="48" customWidth="1"/>
    <col min="5641" max="5641" width="50.54296875" style="48" customWidth="1"/>
    <col min="5642" max="5895" width="11.453125" style="48"/>
    <col min="5896" max="5896" width="10" style="48" customWidth="1"/>
    <col min="5897" max="5897" width="50.54296875" style="48" customWidth="1"/>
    <col min="5898" max="6151" width="11.453125" style="48"/>
    <col min="6152" max="6152" width="10" style="48" customWidth="1"/>
    <col min="6153" max="6153" width="50.54296875" style="48" customWidth="1"/>
    <col min="6154" max="6407" width="11.453125" style="48"/>
    <col min="6408" max="6408" width="10" style="48" customWidth="1"/>
    <col min="6409" max="6409" width="50.54296875" style="48" customWidth="1"/>
    <col min="6410" max="6663" width="11.453125" style="48"/>
    <col min="6664" max="6664" width="10" style="48" customWidth="1"/>
    <col min="6665" max="6665" width="50.54296875" style="48" customWidth="1"/>
    <col min="6666" max="6919" width="11.453125" style="48"/>
    <col min="6920" max="6920" width="10" style="48" customWidth="1"/>
    <col min="6921" max="6921" width="50.54296875" style="48" customWidth="1"/>
    <col min="6922" max="7175" width="11.453125" style="48"/>
    <col min="7176" max="7176" width="10" style="48" customWidth="1"/>
    <col min="7177" max="7177" width="50.54296875" style="48" customWidth="1"/>
    <col min="7178" max="7431" width="11.453125" style="48"/>
    <col min="7432" max="7432" width="10" style="48" customWidth="1"/>
    <col min="7433" max="7433" width="50.54296875" style="48" customWidth="1"/>
    <col min="7434" max="7687" width="11.453125" style="48"/>
    <col min="7688" max="7688" width="10" style="48" customWidth="1"/>
    <col min="7689" max="7689" width="50.54296875" style="48" customWidth="1"/>
    <col min="7690" max="7943" width="11.453125" style="48"/>
    <col min="7944" max="7944" width="10" style="48" customWidth="1"/>
    <col min="7945" max="7945" width="50.54296875" style="48" customWidth="1"/>
    <col min="7946" max="8199" width="11.453125" style="48"/>
    <col min="8200" max="8200" width="10" style="48" customWidth="1"/>
    <col min="8201" max="8201" width="50.54296875" style="48" customWidth="1"/>
    <col min="8202" max="8455" width="11.453125" style="48"/>
    <col min="8456" max="8456" width="10" style="48" customWidth="1"/>
    <col min="8457" max="8457" width="50.54296875" style="48" customWidth="1"/>
    <col min="8458" max="8711" width="11.453125" style="48"/>
    <col min="8712" max="8712" width="10" style="48" customWidth="1"/>
    <col min="8713" max="8713" width="50.54296875" style="48" customWidth="1"/>
    <col min="8714" max="8967" width="11.453125" style="48"/>
    <col min="8968" max="8968" width="10" style="48" customWidth="1"/>
    <col min="8969" max="8969" width="50.54296875" style="48" customWidth="1"/>
    <col min="8970" max="9223" width="11.453125" style="48"/>
    <col min="9224" max="9224" width="10" style="48" customWidth="1"/>
    <col min="9225" max="9225" width="50.54296875" style="48" customWidth="1"/>
    <col min="9226" max="9479" width="11.453125" style="48"/>
    <col min="9480" max="9480" width="10" style="48" customWidth="1"/>
    <col min="9481" max="9481" width="50.54296875" style="48" customWidth="1"/>
    <col min="9482" max="9735" width="11.453125" style="48"/>
    <col min="9736" max="9736" width="10" style="48" customWidth="1"/>
    <col min="9737" max="9737" width="50.54296875" style="48" customWidth="1"/>
    <col min="9738" max="9991" width="11.453125" style="48"/>
    <col min="9992" max="9992" width="10" style="48" customWidth="1"/>
    <col min="9993" max="9993" width="50.54296875" style="48" customWidth="1"/>
    <col min="9994" max="10247" width="11.453125" style="48"/>
    <col min="10248" max="10248" width="10" style="48" customWidth="1"/>
    <col min="10249" max="10249" width="50.54296875" style="48" customWidth="1"/>
    <col min="10250" max="10503" width="11.453125" style="48"/>
    <col min="10504" max="10504" width="10" style="48" customWidth="1"/>
    <col min="10505" max="10505" width="50.54296875" style="48" customWidth="1"/>
    <col min="10506" max="10759" width="11.453125" style="48"/>
    <col min="10760" max="10760" width="10" style="48" customWidth="1"/>
    <col min="10761" max="10761" width="50.54296875" style="48" customWidth="1"/>
    <col min="10762" max="11015" width="11.453125" style="48"/>
    <col min="11016" max="11016" width="10" style="48" customWidth="1"/>
    <col min="11017" max="11017" width="50.54296875" style="48" customWidth="1"/>
    <col min="11018" max="11271" width="11.453125" style="48"/>
    <col min="11272" max="11272" width="10" style="48" customWidth="1"/>
    <col min="11273" max="11273" width="50.54296875" style="48" customWidth="1"/>
    <col min="11274" max="11527" width="11.453125" style="48"/>
    <col min="11528" max="11528" width="10" style="48" customWidth="1"/>
    <col min="11529" max="11529" width="50.54296875" style="48" customWidth="1"/>
    <col min="11530" max="11783" width="11.453125" style="48"/>
    <col min="11784" max="11784" width="10" style="48" customWidth="1"/>
    <col min="11785" max="11785" width="50.54296875" style="48" customWidth="1"/>
    <col min="11786" max="12039" width="11.453125" style="48"/>
    <col min="12040" max="12040" width="10" style="48" customWidth="1"/>
    <col min="12041" max="12041" width="50.54296875" style="48" customWidth="1"/>
    <col min="12042" max="12295" width="11.453125" style="48"/>
    <col min="12296" max="12296" width="10" style="48" customWidth="1"/>
    <col min="12297" max="12297" width="50.54296875" style="48" customWidth="1"/>
    <col min="12298" max="12551" width="11.453125" style="48"/>
    <col min="12552" max="12552" width="10" style="48" customWidth="1"/>
    <col min="12553" max="12553" width="50.54296875" style="48" customWidth="1"/>
    <col min="12554" max="12807" width="11.453125" style="48"/>
    <col min="12808" max="12808" width="10" style="48" customWidth="1"/>
    <col min="12809" max="12809" width="50.54296875" style="48" customWidth="1"/>
    <col min="12810" max="13063" width="11.453125" style="48"/>
    <col min="13064" max="13064" width="10" style="48" customWidth="1"/>
    <col min="13065" max="13065" width="50.54296875" style="48" customWidth="1"/>
    <col min="13066" max="13319" width="11.453125" style="48"/>
    <col min="13320" max="13320" width="10" style="48" customWidth="1"/>
    <col min="13321" max="13321" width="50.54296875" style="48" customWidth="1"/>
    <col min="13322" max="13575" width="11.453125" style="48"/>
    <col min="13576" max="13576" width="10" style="48" customWidth="1"/>
    <col min="13577" max="13577" width="50.54296875" style="48" customWidth="1"/>
    <col min="13578" max="13831" width="11.453125" style="48"/>
    <col min="13832" max="13832" width="10" style="48" customWidth="1"/>
    <col min="13833" max="13833" width="50.54296875" style="48" customWidth="1"/>
    <col min="13834" max="14087" width="11.453125" style="48"/>
    <col min="14088" max="14088" width="10" style="48" customWidth="1"/>
    <col min="14089" max="14089" width="50.54296875" style="48" customWidth="1"/>
    <col min="14090" max="14343" width="11.453125" style="48"/>
    <col min="14344" max="14344" width="10" style="48" customWidth="1"/>
    <col min="14345" max="14345" width="50.54296875" style="48" customWidth="1"/>
    <col min="14346" max="14599" width="11.453125" style="48"/>
    <col min="14600" max="14600" width="10" style="48" customWidth="1"/>
    <col min="14601" max="14601" width="50.54296875" style="48" customWidth="1"/>
    <col min="14602" max="14855" width="11.453125" style="48"/>
    <col min="14856" max="14856" width="10" style="48" customWidth="1"/>
    <col min="14857" max="14857" width="50.54296875" style="48" customWidth="1"/>
    <col min="14858" max="15111" width="11.453125" style="48"/>
    <col min="15112" max="15112" width="10" style="48" customWidth="1"/>
    <col min="15113" max="15113" width="50.54296875" style="48" customWidth="1"/>
    <col min="15114" max="15367" width="11.453125" style="48"/>
    <col min="15368" max="15368" width="10" style="48" customWidth="1"/>
    <col min="15369" max="15369" width="50.54296875" style="48" customWidth="1"/>
    <col min="15370" max="15623" width="11.453125" style="48"/>
    <col min="15624" max="15624" width="10" style="48" customWidth="1"/>
    <col min="15625" max="15625" width="50.54296875" style="48" customWidth="1"/>
    <col min="15626" max="15879" width="11.453125" style="48"/>
    <col min="15880" max="15880" width="10" style="48" customWidth="1"/>
    <col min="15881" max="15881" width="50.54296875" style="48" customWidth="1"/>
    <col min="15882" max="16135" width="11.453125" style="48"/>
    <col min="16136" max="16136" width="10" style="48" customWidth="1"/>
    <col min="16137" max="16137" width="50.54296875" style="48" customWidth="1"/>
    <col min="16138" max="16384" width="11.453125" style="48"/>
  </cols>
  <sheetData>
    <row r="3" spans="1:16" s="50" customFormat="1" ht="13.5" thickBot="1" x14ac:dyDescent="0.35">
      <c r="B3" s="1001"/>
      <c r="C3" s="1001"/>
      <c r="D3" s="1001"/>
      <c r="L3" s="195"/>
      <c r="M3" s="195"/>
    </row>
    <row r="4" spans="1:16" s="50" customFormat="1" ht="18.5" thickBot="1" x14ac:dyDescent="0.45">
      <c r="B4" s="979" t="str">
        <f>"Remuneración Fija Mensual Presupuestada Año "&amp;P4</f>
        <v>Remuneración Fija Mensual Presupuestada Año 2017</v>
      </c>
      <c r="C4" s="980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1"/>
      <c r="P4" s="50">
        <f>'HC 2017'!I4</f>
        <v>2017</v>
      </c>
    </row>
    <row r="5" spans="1:16" s="50" customFormat="1" ht="13.5" thickBot="1" x14ac:dyDescent="0.35">
      <c r="L5" s="195"/>
      <c r="M5" s="195"/>
    </row>
    <row r="6" spans="1:16" s="45" customFormat="1" ht="12" customHeight="1" x14ac:dyDescent="0.3">
      <c r="B6" s="1057" t="s">
        <v>89</v>
      </c>
      <c r="C6" s="1059" t="s">
        <v>833</v>
      </c>
      <c r="D6" s="1062" t="s">
        <v>110</v>
      </c>
      <c r="E6" s="1072" t="s">
        <v>95</v>
      </c>
      <c r="F6" s="1072"/>
      <c r="G6" s="1072"/>
      <c r="H6" s="1072"/>
      <c r="I6" s="1072"/>
      <c r="J6" s="1072"/>
      <c r="K6" s="1073"/>
      <c r="L6" s="1073"/>
      <c r="M6" s="1073"/>
      <c r="N6" s="1073"/>
      <c r="O6" s="1074"/>
      <c r="P6" s="60">
        <f>HLOOKUP($P$4,'Ing Proyect'!$B$6:$G$12,2,0)</f>
        <v>694000</v>
      </c>
    </row>
    <row r="7" spans="1:16" s="45" customFormat="1" ht="13.75" customHeight="1" x14ac:dyDescent="0.3">
      <c r="B7" s="1058"/>
      <c r="C7" s="1060"/>
      <c r="D7" s="1063"/>
      <c r="E7" s="1069" t="s">
        <v>144</v>
      </c>
      <c r="F7" s="1070"/>
      <c r="G7" s="1070"/>
      <c r="H7" s="1070"/>
      <c r="I7" s="1070"/>
      <c r="J7" s="1070"/>
      <c r="K7" s="1070"/>
      <c r="L7" s="1070"/>
      <c r="M7" s="1070"/>
      <c r="N7" s="1071"/>
      <c r="O7" s="1079" t="s">
        <v>148</v>
      </c>
      <c r="P7" s="135"/>
    </row>
    <row r="8" spans="1:16" s="45" customFormat="1" ht="13" customHeight="1" x14ac:dyDescent="0.3">
      <c r="B8" s="1058"/>
      <c r="C8" s="1060"/>
      <c r="D8" s="1063"/>
      <c r="E8" s="221" t="s">
        <v>96</v>
      </c>
      <c r="F8" s="221" t="s">
        <v>113</v>
      </c>
      <c r="G8" s="221" t="s">
        <v>97</v>
      </c>
      <c r="H8" s="221" t="s">
        <v>65</v>
      </c>
      <c r="I8" s="222" t="s">
        <v>102</v>
      </c>
      <c r="J8" s="222" t="s">
        <v>101</v>
      </c>
      <c r="K8" s="1075" t="s">
        <v>205</v>
      </c>
      <c r="L8" s="1076"/>
      <c r="M8" s="1076"/>
      <c r="N8" s="1077" t="s">
        <v>206</v>
      </c>
      <c r="O8" s="1080"/>
      <c r="P8" s="135"/>
    </row>
    <row r="9" spans="1:16" s="45" customFormat="1" ht="13" x14ac:dyDescent="0.3">
      <c r="B9" s="196"/>
      <c r="C9" s="194"/>
      <c r="D9" s="197"/>
      <c r="E9" s="223"/>
      <c r="F9" s="223"/>
      <c r="G9" s="223"/>
      <c r="H9" s="223"/>
      <c r="I9" s="224"/>
      <c r="J9" s="224"/>
      <c r="K9" s="191" t="s">
        <v>203</v>
      </c>
      <c r="L9" s="191" t="s">
        <v>204</v>
      </c>
      <c r="M9" s="191" t="s">
        <v>65</v>
      </c>
      <c r="N9" s="1078"/>
      <c r="O9" s="1081"/>
      <c r="P9" s="220"/>
    </row>
    <row r="10" spans="1:16" s="46" customFormat="1" x14ac:dyDescent="0.25">
      <c r="A10" s="46">
        <v>1</v>
      </c>
      <c r="B10" s="52" t="s">
        <v>93</v>
      </c>
      <c r="C10" s="53">
        <f>'RF 2016'!C10+1</f>
        <v>12</v>
      </c>
      <c r="D10" s="53" t="s">
        <v>91</v>
      </c>
      <c r="E10" s="54">
        <v>4</v>
      </c>
      <c r="F10" s="55">
        <f t="shared" ref="F10:F18" si="0">IF(C10=2,1,IF(C10=3,1.5,2))</f>
        <v>2</v>
      </c>
      <c r="G10" s="54">
        <v>6</v>
      </c>
      <c r="H10" s="54">
        <f>SUM(E10:G10)</f>
        <v>12</v>
      </c>
      <c r="I10" s="56">
        <f>VLOOKUP($A10,'HC 2017'!$A$9:$H$24,8,0)</f>
        <v>1</v>
      </c>
      <c r="J10" s="61">
        <f>H10*I10</f>
        <v>12</v>
      </c>
      <c r="K10" s="82">
        <f>VLOOKUP("Subtotal prestaciones sociales",Factor!$B$6:$F$25,IF($D10="Laboral",3,5),0)</f>
        <v>0.17666666666666667</v>
      </c>
      <c r="L10" s="82">
        <f>IF($D10="Laboral",0,VLOOKUP("Subtotal seguridad social",Factor!$B$6:$F$25,5))</f>
        <v>0</v>
      </c>
      <c r="M10" s="82">
        <f>SUM(K10:L10)</f>
        <v>0.17666666666666667</v>
      </c>
      <c r="N10" s="80">
        <f>ROUND(J10*(1+M10),1)</f>
        <v>14.1</v>
      </c>
      <c r="O10" s="62">
        <f t="shared" ref="O10:O18" si="1">N10*$P$6</f>
        <v>9785400</v>
      </c>
    </row>
    <row r="11" spans="1:16" s="46" customFormat="1" x14ac:dyDescent="0.25">
      <c r="A11" s="46">
        <v>2</v>
      </c>
      <c r="B11" s="52" t="s">
        <v>90</v>
      </c>
      <c r="C11" s="53">
        <f>'RF 2016'!C11+1</f>
        <v>4</v>
      </c>
      <c r="D11" s="53" t="s">
        <v>91</v>
      </c>
      <c r="E11" s="54">
        <v>4</v>
      </c>
      <c r="F11" s="55">
        <f t="shared" si="0"/>
        <v>2</v>
      </c>
      <c r="G11" s="54">
        <v>0</v>
      </c>
      <c r="H11" s="54">
        <f t="shared" ref="H11:H18" si="2">SUM(E11:G11)</f>
        <v>6</v>
      </c>
      <c r="I11" s="56">
        <f>VLOOKUP($A11,'HC 2017'!$A$9:$H$24,8,0)</f>
        <v>1</v>
      </c>
      <c r="J11" s="61">
        <f t="shared" ref="J11:J18" si="3">H11*I11</f>
        <v>6</v>
      </c>
      <c r="K11" s="82">
        <f>VLOOKUP("Subtotal prestaciones sociales",Factor!$B$6:$F$25,IF($D11="Laboral",3,5),0)</f>
        <v>0.17666666666666667</v>
      </c>
      <c r="L11" s="82">
        <f>IF($D11="Laboral",0,VLOOKUP("Subtotal seguridad social",Factor!$B$6:$F$25,5))</f>
        <v>0</v>
      </c>
      <c r="M11" s="82">
        <f t="shared" ref="M11:M18" si="4">SUM(K11:L11)</f>
        <v>0.17666666666666667</v>
      </c>
      <c r="N11" s="80">
        <f t="shared" ref="N11:N18" si="5">ROUND(J11*(1+M11),1)</f>
        <v>7.1</v>
      </c>
      <c r="O11" s="62">
        <f t="shared" si="1"/>
        <v>4927400</v>
      </c>
    </row>
    <row r="12" spans="1:16" s="46" customFormat="1" x14ac:dyDescent="0.25">
      <c r="A12" s="46">
        <v>3</v>
      </c>
      <c r="B12" s="52" t="s">
        <v>90</v>
      </c>
      <c r="C12" s="53">
        <f>'RF 2016'!C12+1</f>
        <v>4</v>
      </c>
      <c r="D12" s="53" t="s">
        <v>109</v>
      </c>
      <c r="E12" s="54">
        <v>4</v>
      </c>
      <c r="F12" s="55">
        <f t="shared" si="0"/>
        <v>2</v>
      </c>
      <c r="G12" s="54">
        <v>0</v>
      </c>
      <c r="H12" s="54">
        <f t="shared" si="2"/>
        <v>6</v>
      </c>
      <c r="I12" s="56">
        <f>VLOOKUP($A12,'HC 2017'!$A$9:$H$24,8,0)</f>
        <v>0.75</v>
      </c>
      <c r="J12" s="61">
        <f t="shared" si="3"/>
        <v>4.5</v>
      </c>
      <c r="K12" s="82">
        <f>VLOOKUP("Subtotal prestaciones sociales",Factor!$B$6:$F$25,IF($D12="Laboral",3,5),0)</f>
        <v>0.17666666666666667</v>
      </c>
      <c r="L12" s="82">
        <f>IF($D12="Laboral",0,VLOOKUP("Subtotal seguridad social",Factor!$B$6:$F$25,5))</f>
        <v>0.21500000000000002</v>
      </c>
      <c r="M12" s="82">
        <f t="shared" si="4"/>
        <v>0.39166666666666672</v>
      </c>
      <c r="N12" s="80">
        <f t="shared" si="5"/>
        <v>6.3</v>
      </c>
      <c r="O12" s="62">
        <f t="shared" si="1"/>
        <v>4372200</v>
      </c>
    </row>
    <row r="13" spans="1:16" s="46" customFormat="1" x14ac:dyDescent="0.25">
      <c r="A13" s="46">
        <v>4</v>
      </c>
      <c r="B13" s="52" t="s">
        <v>90</v>
      </c>
      <c r="C13" s="53">
        <f>'RF 2016'!C13+1</f>
        <v>5</v>
      </c>
      <c r="D13" s="53" t="s">
        <v>109</v>
      </c>
      <c r="E13" s="54">
        <v>4</v>
      </c>
      <c r="F13" s="55">
        <f t="shared" si="0"/>
        <v>2</v>
      </c>
      <c r="G13" s="54">
        <v>0</v>
      </c>
      <c r="H13" s="54">
        <f t="shared" si="2"/>
        <v>6</v>
      </c>
      <c r="I13" s="56">
        <f>VLOOKUP($A13,'HC 2017'!$A$9:$H$24,8,0)</f>
        <v>0.75</v>
      </c>
      <c r="J13" s="61">
        <f t="shared" si="3"/>
        <v>4.5</v>
      </c>
      <c r="K13" s="82">
        <f>VLOOKUP("Subtotal prestaciones sociales",Factor!$B$6:$F$25,IF($D13="Laboral",3,5),0)</f>
        <v>0.17666666666666667</v>
      </c>
      <c r="L13" s="82">
        <f>IF($D13="Laboral",0,VLOOKUP("Subtotal seguridad social",Factor!$B$6:$F$25,5))</f>
        <v>0.21500000000000002</v>
      </c>
      <c r="M13" s="82">
        <f t="shared" si="4"/>
        <v>0.39166666666666672</v>
      </c>
      <c r="N13" s="80">
        <f t="shared" si="5"/>
        <v>6.3</v>
      </c>
      <c r="O13" s="62">
        <f t="shared" si="1"/>
        <v>4372200</v>
      </c>
    </row>
    <row r="14" spans="1:16" s="46" customFormat="1" x14ac:dyDescent="0.25">
      <c r="A14" s="46">
        <v>5</v>
      </c>
      <c r="B14" s="52" t="s">
        <v>90</v>
      </c>
      <c r="C14" s="53">
        <f>'RF 2016'!C14+1</f>
        <v>7</v>
      </c>
      <c r="D14" s="53" t="s">
        <v>91</v>
      </c>
      <c r="E14" s="54">
        <v>4</v>
      </c>
      <c r="F14" s="55">
        <f t="shared" si="0"/>
        <v>2</v>
      </c>
      <c r="G14" s="54">
        <v>0</v>
      </c>
      <c r="H14" s="54">
        <f t="shared" si="2"/>
        <v>6</v>
      </c>
      <c r="I14" s="56">
        <f>VLOOKUP($A14,'HC 2017'!$A$9:$H$24,8,0)</f>
        <v>1</v>
      </c>
      <c r="J14" s="61">
        <f t="shared" si="3"/>
        <v>6</v>
      </c>
      <c r="K14" s="82">
        <f>VLOOKUP("Subtotal prestaciones sociales",Factor!$B$6:$F$25,IF($D14="Laboral",3,5),0)</f>
        <v>0.17666666666666667</v>
      </c>
      <c r="L14" s="82">
        <f>IF($D14="Laboral",0,VLOOKUP("Subtotal seguridad social",Factor!$B$6:$F$25,5))</f>
        <v>0</v>
      </c>
      <c r="M14" s="82">
        <f t="shared" si="4"/>
        <v>0.17666666666666667</v>
      </c>
      <c r="N14" s="80">
        <f t="shared" si="5"/>
        <v>7.1</v>
      </c>
      <c r="O14" s="62">
        <f t="shared" si="1"/>
        <v>4927400</v>
      </c>
    </row>
    <row r="15" spans="1:16" s="46" customFormat="1" x14ac:dyDescent="0.25">
      <c r="A15" s="46">
        <v>6</v>
      </c>
      <c r="B15" s="52" t="s">
        <v>90</v>
      </c>
      <c r="C15" s="53">
        <f>'RF 2016'!C15+1</f>
        <v>4</v>
      </c>
      <c r="D15" s="53" t="s">
        <v>109</v>
      </c>
      <c r="E15" s="54">
        <v>4</v>
      </c>
      <c r="F15" s="55">
        <f t="shared" si="0"/>
        <v>2</v>
      </c>
      <c r="G15" s="54">
        <v>0</v>
      </c>
      <c r="H15" s="54">
        <f t="shared" si="2"/>
        <v>6</v>
      </c>
      <c r="I15" s="56">
        <f>VLOOKUP($A15,'HC 2017'!$A$9:$H$24,8,0)</f>
        <v>0.75</v>
      </c>
      <c r="J15" s="61">
        <f t="shared" si="3"/>
        <v>4.5</v>
      </c>
      <c r="K15" s="82">
        <f>VLOOKUP("Subtotal prestaciones sociales",Factor!$B$6:$F$25,IF($D15="Laboral",3,5),0)</f>
        <v>0.17666666666666667</v>
      </c>
      <c r="L15" s="82">
        <f>IF($D15="Laboral",0,VLOOKUP("Subtotal seguridad social",Factor!$B$6:$F$25,5))</f>
        <v>0.21500000000000002</v>
      </c>
      <c r="M15" s="82">
        <f t="shared" si="4"/>
        <v>0.39166666666666672</v>
      </c>
      <c r="N15" s="80">
        <f t="shared" si="5"/>
        <v>6.3</v>
      </c>
      <c r="O15" s="62">
        <f t="shared" si="1"/>
        <v>4372200</v>
      </c>
    </row>
    <row r="16" spans="1:16" s="46" customFormat="1" x14ac:dyDescent="0.25">
      <c r="A16" s="46">
        <v>7</v>
      </c>
      <c r="B16" s="52" t="s">
        <v>90</v>
      </c>
      <c r="C16" s="53">
        <f>'RF 2016'!C16+1</f>
        <v>4</v>
      </c>
      <c r="D16" s="53" t="s">
        <v>109</v>
      </c>
      <c r="E16" s="54">
        <v>4</v>
      </c>
      <c r="F16" s="55">
        <f t="shared" si="0"/>
        <v>2</v>
      </c>
      <c r="G16" s="54">
        <v>0</v>
      </c>
      <c r="H16" s="54">
        <f t="shared" si="2"/>
        <v>6</v>
      </c>
      <c r="I16" s="56">
        <f>VLOOKUP($A16,'HC 2017'!$A$9:$H$24,8,0)</f>
        <v>0.75</v>
      </c>
      <c r="J16" s="61">
        <f t="shared" si="3"/>
        <v>4.5</v>
      </c>
      <c r="K16" s="82">
        <f>VLOOKUP("Subtotal prestaciones sociales",Factor!$B$6:$F$25,IF($D16="Laboral",3,5),0)</f>
        <v>0.17666666666666667</v>
      </c>
      <c r="L16" s="82">
        <f>IF($D16="Laboral",0,VLOOKUP("Subtotal seguridad social",Factor!$B$6:$F$25,5))</f>
        <v>0.21500000000000002</v>
      </c>
      <c r="M16" s="82">
        <f t="shared" si="4"/>
        <v>0.39166666666666672</v>
      </c>
      <c r="N16" s="80">
        <f t="shared" si="5"/>
        <v>6.3</v>
      </c>
      <c r="O16" s="62">
        <f t="shared" si="1"/>
        <v>4372200</v>
      </c>
    </row>
    <row r="17" spans="1:16" s="46" customFormat="1" x14ac:dyDescent="0.25">
      <c r="A17" s="46">
        <v>8</v>
      </c>
      <c r="B17" s="52" t="s">
        <v>90</v>
      </c>
      <c r="C17" s="53">
        <f>'RF 2016'!C17+1</f>
        <v>9</v>
      </c>
      <c r="D17" s="53" t="s">
        <v>109</v>
      </c>
      <c r="E17" s="54">
        <v>4</v>
      </c>
      <c r="F17" s="55">
        <f t="shared" si="0"/>
        <v>2</v>
      </c>
      <c r="G17" s="54">
        <v>0</v>
      </c>
      <c r="H17" s="54">
        <f t="shared" si="2"/>
        <v>6</v>
      </c>
      <c r="I17" s="56">
        <f>VLOOKUP($A17,'HC 2017'!$A$9:$H$24,8,0)</f>
        <v>0.75</v>
      </c>
      <c r="J17" s="61">
        <f t="shared" si="3"/>
        <v>4.5</v>
      </c>
      <c r="K17" s="82">
        <f>VLOOKUP("Subtotal prestaciones sociales",Factor!$B$6:$F$25,IF($D17="Laboral",3,5),0)</f>
        <v>0.17666666666666667</v>
      </c>
      <c r="L17" s="82">
        <f>IF($D17="Laboral",0,VLOOKUP("Subtotal seguridad social",Factor!$B$6:$F$25,5))</f>
        <v>0.21500000000000002</v>
      </c>
      <c r="M17" s="82">
        <f t="shared" si="4"/>
        <v>0.39166666666666672</v>
      </c>
      <c r="N17" s="80">
        <f t="shared" si="5"/>
        <v>6.3</v>
      </c>
      <c r="O17" s="62">
        <f t="shared" si="1"/>
        <v>4372200</v>
      </c>
    </row>
    <row r="18" spans="1:16" s="46" customFormat="1" x14ac:dyDescent="0.25">
      <c r="A18" s="46">
        <v>9</v>
      </c>
      <c r="B18" s="52" t="s">
        <v>90</v>
      </c>
      <c r="C18" s="53">
        <f>'RF 2016'!C18+1</f>
        <v>4</v>
      </c>
      <c r="D18" s="53" t="s">
        <v>91</v>
      </c>
      <c r="E18" s="54">
        <v>4</v>
      </c>
      <c r="F18" s="55">
        <f t="shared" si="0"/>
        <v>2</v>
      </c>
      <c r="G18" s="54">
        <v>0</v>
      </c>
      <c r="H18" s="54">
        <f t="shared" si="2"/>
        <v>6</v>
      </c>
      <c r="I18" s="56">
        <f>VLOOKUP($A18,'HC 2017'!$A$9:$H$24,8,0)</f>
        <v>1</v>
      </c>
      <c r="J18" s="61">
        <f t="shared" si="3"/>
        <v>6</v>
      </c>
      <c r="K18" s="82">
        <f>VLOOKUP("Subtotal prestaciones sociales",Factor!$B$6:$F$25,IF($D18="Laboral",3,5),0)</f>
        <v>0.17666666666666667</v>
      </c>
      <c r="L18" s="82">
        <f>IF($D18="Laboral",0,VLOOKUP("Subtotal seguridad social",Factor!$B$6:$F$25,5))</f>
        <v>0</v>
      </c>
      <c r="M18" s="82">
        <f t="shared" si="4"/>
        <v>0.17666666666666667</v>
      </c>
      <c r="N18" s="80">
        <f t="shared" si="5"/>
        <v>7.1</v>
      </c>
      <c r="O18" s="62">
        <f t="shared" si="1"/>
        <v>4927400</v>
      </c>
    </row>
    <row r="19" spans="1:16" s="46" customFormat="1" x14ac:dyDescent="0.35">
      <c r="B19" s="122"/>
      <c r="C19" s="123"/>
      <c r="D19" s="123"/>
      <c r="E19" s="124"/>
      <c r="F19" s="125"/>
      <c r="G19" s="124"/>
      <c r="H19" s="124"/>
      <c r="I19" s="126"/>
      <c r="J19" s="127"/>
      <c r="K19" s="127"/>
      <c r="L19" s="127"/>
      <c r="M19" s="127"/>
      <c r="N19" s="127"/>
      <c r="O19" s="128"/>
    </row>
    <row r="20" spans="1:16" s="46" customFormat="1" ht="13" x14ac:dyDescent="0.3">
      <c r="B20" s="73" t="s">
        <v>103</v>
      </c>
      <c r="C20" s="65"/>
      <c r="D20" s="65"/>
      <c r="E20" s="75"/>
      <c r="F20" s="76"/>
      <c r="G20" s="77"/>
      <c r="H20" s="77"/>
      <c r="I20" s="78"/>
      <c r="J20" s="74">
        <f>SUM(J10:J18)</f>
        <v>52.5</v>
      </c>
      <c r="K20" s="81"/>
      <c r="L20" s="81"/>
      <c r="M20" s="81"/>
      <c r="N20" s="81">
        <f>SUM(N10:N18)</f>
        <v>66.899999999999991</v>
      </c>
      <c r="O20" s="79">
        <f>SUM(O10:O18)</f>
        <v>46428600</v>
      </c>
    </row>
    <row r="21" spans="1:16" s="46" customFormat="1" x14ac:dyDescent="0.35">
      <c r="B21" s="52"/>
      <c r="C21" s="53"/>
      <c r="D21" s="53"/>
      <c r="E21" s="54"/>
      <c r="F21" s="55"/>
      <c r="G21" s="54"/>
      <c r="H21" s="54"/>
      <c r="I21" s="56"/>
      <c r="J21" s="61"/>
      <c r="K21" s="80"/>
      <c r="L21" s="80"/>
      <c r="M21" s="80"/>
      <c r="N21" s="80"/>
      <c r="O21" s="59"/>
    </row>
    <row r="22" spans="1:16" s="46" customFormat="1" x14ac:dyDescent="0.25">
      <c r="A22" s="46">
        <v>10</v>
      </c>
      <c r="B22" s="52" t="s">
        <v>111</v>
      </c>
      <c r="C22" s="58" t="s">
        <v>45</v>
      </c>
      <c r="D22" s="53" t="s">
        <v>91</v>
      </c>
      <c r="E22" s="54">
        <v>3</v>
      </c>
      <c r="F22" s="55">
        <v>0</v>
      </c>
      <c r="G22" s="54">
        <v>0</v>
      </c>
      <c r="H22" s="54">
        <f t="shared" ref="H22:H23" si="6">SUM(E22:G22)</f>
        <v>3</v>
      </c>
      <c r="I22" s="56">
        <f>VLOOKUP($A22,'HC 2017'!$A$9:$H$24,8,0)</f>
        <v>1</v>
      </c>
      <c r="J22" s="61">
        <f t="shared" ref="J22:J23" si="7">H22*I22</f>
        <v>3</v>
      </c>
      <c r="K22" s="82">
        <f>VLOOKUP("Subtotal prestaciones sociales",Factor!$B$6:$F$25,IF($D22="Laboral",3,5),0)*0</f>
        <v>0</v>
      </c>
      <c r="L22" s="82">
        <f>IF($D22="Laboral",0,VLOOKUP("Subtotal seguridad social",Factor!$B$6:$F$25,5))</f>
        <v>0</v>
      </c>
      <c r="M22" s="82">
        <f t="shared" ref="M22:M23" si="8">SUM(K22:L22)</f>
        <v>0</v>
      </c>
      <c r="N22" s="80">
        <f t="shared" ref="N22:N23" si="9">ROUND(J22*(1+M22),1)</f>
        <v>3</v>
      </c>
      <c r="O22" s="62">
        <f t="shared" ref="O22:O23" si="10">N22*$P$6</f>
        <v>2082000</v>
      </c>
    </row>
    <row r="23" spans="1:16" s="46" customFormat="1" x14ac:dyDescent="0.25">
      <c r="A23" s="46">
        <v>11</v>
      </c>
      <c r="B23" s="52" t="s">
        <v>92</v>
      </c>
      <c r="C23" s="58" t="s">
        <v>45</v>
      </c>
      <c r="D23" s="53" t="s">
        <v>91</v>
      </c>
      <c r="E23" s="54">
        <v>1.5</v>
      </c>
      <c r="F23" s="55">
        <v>0</v>
      </c>
      <c r="G23" s="54">
        <v>0</v>
      </c>
      <c r="H23" s="54">
        <f t="shared" si="6"/>
        <v>1.5</v>
      </c>
      <c r="I23" s="56">
        <f>VLOOKUP($A23,'HC 2017'!$A$9:$H$24,8,0)</f>
        <v>1</v>
      </c>
      <c r="J23" s="61">
        <f t="shared" si="7"/>
        <v>1.5</v>
      </c>
      <c r="K23" s="82">
        <f>VLOOKUP("Subtotal prestaciones sociales",Factor!$B$6:$F$25,IF($D23="Laboral",3,5),0)*0</f>
        <v>0</v>
      </c>
      <c r="L23" s="82">
        <f>IF($D23="Laboral",0,VLOOKUP("Subtotal seguridad social",Factor!$B$6:$F$25,5))</f>
        <v>0</v>
      </c>
      <c r="M23" s="82">
        <f t="shared" si="8"/>
        <v>0</v>
      </c>
      <c r="N23" s="80">
        <f t="shared" si="9"/>
        <v>1.5</v>
      </c>
      <c r="O23" s="62">
        <f t="shared" si="10"/>
        <v>1041000</v>
      </c>
    </row>
    <row r="24" spans="1:16" x14ac:dyDescent="0.25">
      <c r="B24" s="129"/>
      <c r="C24" s="130"/>
      <c r="D24" s="130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2"/>
    </row>
    <row r="25" spans="1:16" ht="13.5" thickBot="1" x14ac:dyDescent="0.35">
      <c r="B25" s="68" t="s">
        <v>65</v>
      </c>
      <c r="C25" s="69"/>
      <c r="D25" s="69"/>
      <c r="E25" s="71"/>
      <c r="F25" s="71"/>
      <c r="G25" s="71"/>
      <c r="H25" s="71"/>
      <c r="I25" s="72"/>
      <c r="J25" s="63">
        <f>SUM(J20:J23)</f>
        <v>57</v>
      </c>
      <c r="K25" s="67"/>
      <c r="L25" s="67"/>
      <c r="M25" s="67"/>
      <c r="N25" s="67">
        <f>SUM(N20:N23)</f>
        <v>71.399999999999991</v>
      </c>
      <c r="O25" s="64">
        <f>SUM(O20:O23)</f>
        <v>49551600</v>
      </c>
      <c r="P25" s="228">
        <f>O25/N25-P6</f>
        <v>0</v>
      </c>
    </row>
    <row r="27" spans="1:16" x14ac:dyDescent="0.25">
      <c r="B27" s="47" t="s">
        <v>104</v>
      </c>
    </row>
    <row r="28" spans="1:16" x14ac:dyDescent="0.25">
      <c r="B28" s="47" t="s">
        <v>105</v>
      </c>
    </row>
  </sheetData>
  <mergeCells count="10">
    <mergeCell ref="E7:N7"/>
    <mergeCell ref="B3:D3"/>
    <mergeCell ref="B4:O4"/>
    <mergeCell ref="B6:B8"/>
    <mergeCell ref="C6:C8"/>
    <mergeCell ref="D6:D8"/>
    <mergeCell ref="E6:O6"/>
    <mergeCell ref="K8:M8"/>
    <mergeCell ref="N8:N9"/>
    <mergeCell ref="O7:O9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B3:S33"/>
  <sheetViews>
    <sheetView zoomScaleNormal="100" zoomScaleSheetLayoutView="100" workbookViewId="0">
      <pane xSplit="4" ySplit="7" topLeftCell="E8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9.6328125" style="47" customWidth="1"/>
    <col min="4" max="4" width="6.08984375" style="47" bestFit="1" customWidth="1"/>
    <col min="5" max="15" width="10.6328125" style="48" customWidth="1"/>
    <col min="16" max="16" width="11.36328125" style="48" bestFit="1" customWidth="1"/>
    <col min="17" max="17" width="2.6328125" style="48" customWidth="1"/>
    <col min="18" max="18" width="11.90625" style="48" bestFit="1" customWidth="1"/>
    <col min="19" max="16384" width="11.453125" style="48"/>
  </cols>
  <sheetData>
    <row r="3" spans="2:19" ht="13.5" thickBot="1" x14ac:dyDescent="0.3">
      <c r="E3" s="144">
        <v>1</v>
      </c>
      <c r="F3" s="144">
        <v>2</v>
      </c>
      <c r="G3" s="144">
        <v>3</v>
      </c>
      <c r="H3" s="144">
        <v>4</v>
      </c>
      <c r="I3" s="144">
        <v>5</v>
      </c>
      <c r="J3" s="144">
        <v>6</v>
      </c>
      <c r="K3" s="144">
        <v>7</v>
      </c>
      <c r="L3" s="144">
        <v>8</v>
      </c>
      <c r="M3" s="144">
        <v>9</v>
      </c>
      <c r="N3" s="144">
        <v>10</v>
      </c>
      <c r="O3" s="144">
        <v>11</v>
      </c>
    </row>
    <row r="4" spans="2:19" ht="18.5" thickBot="1" x14ac:dyDescent="0.45">
      <c r="B4" s="979" t="str">
        <f>"Remuneración Variable Mensual Presupuestada Año "&amp;R6</f>
        <v>Remuneración Variable Mensual Presupuestada Año 2017</v>
      </c>
      <c r="C4" s="980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0"/>
      <c r="P4" s="981"/>
    </row>
    <row r="5" spans="2:19" ht="13" thickBot="1" x14ac:dyDescent="0.3"/>
    <row r="6" spans="2:19" ht="23" x14ac:dyDescent="0.3">
      <c r="B6" s="1028" t="s">
        <v>89</v>
      </c>
      <c r="C6" s="1029"/>
      <c r="D6" s="1030"/>
      <c r="E6" s="167" t="s">
        <v>93</v>
      </c>
      <c r="F6" s="167" t="s">
        <v>90</v>
      </c>
      <c r="G6" s="167" t="s">
        <v>90</v>
      </c>
      <c r="H6" s="167" t="s">
        <v>90</v>
      </c>
      <c r="I6" s="167" t="s">
        <v>90</v>
      </c>
      <c r="J6" s="167" t="s">
        <v>90</v>
      </c>
      <c r="K6" s="167" t="s">
        <v>90</v>
      </c>
      <c r="L6" s="167" t="s">
        <v>90</v>
      </c>
      <c r="M6" s="167" t="s">
        <v>90</v>
      </c>
      <c r="N6" s="167" t="s">
        <v>111</v>
      </c>
      <c r="O6" s="167" t="s">
        <v>92</v>
      </c>
      <c r="P6" s="166" t="s">
        <v>65</v>
      </c>
      <c r="R6" s="143">
        <v>2017</v>
      </c>
      <c r="S6" s="48" t="s">
        <v>71</v>
      </c>
    </row>
    <row r="7" spans="2:19" ht="13" x14ac:dyDescent="0.3">
      <c r="B7" s="1006" t="s">
        <v>110</v>
      </c>
      <c r="C7" s="1007"/>
      <c r="D7" s="1008"/>
      <c r="E7" s="168" t="s">
        <v>91</v>
      </c>
      <c r="F7" s="168" t="s">
        <v>91</v>
      </c>
      <c r="G7" s="168" t="s">
        <v>109</v>
      </c>
      <c r="H7" s="168" t="s">
        <v>109</v>
      </c>
      <c r="I7" s="168" t="s">
        <v>91</v>
      </c>
      <c r="J7" s="168" t="s">
        <v>109</v>
      </c>
      <c r="K7" s="168" t="s">
        <v>109</v>
      </c>
      <c r="L7" s="168" t="s">
        <v>109</v>
      </c>
      <c r="M7" s="168" t="s">
        <v>91</v>
      </c>
      <c r="N7" s="168" t="s">
        <v>91</v>
      </c>
      <c r="O7" s="168" t="s">
        <v>91</v>
      </c>
      <c r="P7" s="169"/>
      <c r="R7" s="143"/>
    </row>
    <row r="8" spans="2:19" ht="13" x14ac:dyDescent="0.3">
      <c r="B8" s="1006" t="s">
        <v>178</v>
      </c>
      <c r="C8" s="1007"/>
      <c r="D8" s="1008"/>
      <c r="E8" s="148">
        <f>VLOOKUP(E3,'HC 2017'!$A$9:$H$24,7,0)</f>
        <v>20</v>
      </c>
      <c r="F8" s="148">
        <f>VLOOKUP(F3,'HC 2017'!$A$9:$H$24,7,0)</f>
        <v>40</v>
      </c>
      <c r="G8" s="148">
        <f>VLOOKUP(G3,'HC 2017'!$A$9:$H$24,7,0)</f>
        <v>30</v>
      </c>
      <c r="H8" s="148">
        <f>VLOOKUP(H3,'HC 2017'!$A$9:$H$24,7,0)</f>
        <v>30</v>
      </c>
      <c r="I8" s="148">
        <f>VLOOKUP(I3,'HC 2017'!$A$9:$H$24,7,0)</f>
        <v>40</v>
      </c>
      <c r="J8" s="148">
        <f>VLOOKUP(J3,'HC 2017'!$A$9:$H$24,7,0)</f>
        <v>30</v>
      </c>
      <c r="K8" s="148">
        <f>VLOOKUP(K3,'HC 2017'!$A$9:$H$24,7,0)</f>
        <v>30</v>
      </c>
      <c r="L8" s="148">
        <f>VLOOKUP(L3,'HC 2017'!$A$9:$H$24,7,0)</f>
        <v>30</v>
      </c>
      <c r="M8" s="148">
        <f>VLOOKUP(M3,'HC 2017'!$A$9:$H$24,7,0)</f>
        <v>40</v>
      </c>
      <c r="N8" s="148">
        <v>0</v>
      </c>
      <c r="O8" s="148">
        <v>0</v>
      </c>
      <c r="P8" s="164"/>
      <c r="R8" s="60">
        <f>HLOOKUP($R$6,'Ing Proyect'!$B$6:$G$12,6,0)</f>
        <v>136718000</v>
      </c>
      <c r="S8" s="48" t="s">
        <v>175</v>
      </c>
    </row>
    <row r="9" spans="2:19" ht="13" x14ac:dyDescent="0.3">
      <c r="B9" s="1006" t="s">
        <v>177</v>
      </c>
      <c r="C9" s="1007"/>
      <c r="D9" s="1008"/>
      <c r="E9" s="150">
        <f t="shared" ref="E9:L9" si="0">E8/SUM($E$8:$O$8)</f>
        <v>6.8965517241379309E-2</v>
      </c>
      <c r="F9" s="150">
        <f t="shared" si="0"/>
        <v>0.13793103448275862</v>
      </c>
      <c r="G9" s="150">
        <f t="shared" si="0"/>
        <v>0.10344827586206896</v>
      </c>
      <c r="H9" s="150">
        <f t="shared" si="0"/>
        <v>0.10344827586206896</v>
      </c>
      <c r="I9" s="150">
        <f t="shared" si="0"/>
        <v>0.13793103448275862</v>
      </c>
      <c r="J9" s="150">
        <f t="shared" si="0"/>
        <v>0.10344827586206896</v>
      </c>
      <c r="K9" s="150">
        <f t="shared" si="0"/>
        <v>0.10344827586206896</v>
      </c>
      <c r="L9" s="150">
        <f t="shared" si="0"/>
        <v>0.10344827586206896</v>
      </c>
      <c r="M9" s="150">
        <f>M8/SUM($E$8:$O$8)</f>
        <v>0.13793103448275862</v>
      </c>
      <c r="N9" s="150">
        <f t="shared" ref="N9:O9" si="1">N8/SUM($E$8:$O$8)</f>
        <v>0</v>
      </c>
      <c r="O9" s="150">
        <f t="shared" si="1"/>
        <v>0</v>
      </c>
      <c r="P9" s="165">
        <f>SUM(E9:O9)</f>
        <v>1</v>
      </c>
      <c r="R9" s="60">
        <f>HLOOKUP($R$6,'Ing Proyect'!$B$6:$G$12,2,0)</f>
        <v>694000</v>
      </c>
      <c r="S9" s="48" t="s">
        <v>69</v>
      </c>
    </row>
    <row r="10" spans="2:19" x14ac:dyDescent="0.25">
      <c r="B10" s="1006" t="s">
        <v>176</v>
      </c>
      <c r="C10" s="1007"/>
      <c r="D10" s="1008"/>
      <c r="E10" s="151">
        <f t="shared" ref="E10:O10" si="2">ROUND(E9*$R$8,0)</f>
        <v>9428828</v>
      </c>
      <c r="F10" s="151">
        <f t="shared" si="2"/>
        <v>18857655</v>
      </c>
      <c r="G10" s="151">
        <f t="shared" si="2"/>
        <v>14143241</v>
      </c>
      <c r="H10" s="151">
        <f t="shared" si="2"/>
        <v>14143241</v>
      </c>
      <c r="I10" s="151">
        <f t="shared" si="2"/>
        <v>18857655</v>
      </c>
      <c r="J10" s="151">
        <f t="shared" si="2"/>
        <v>14143241</v>
      </c>
      <c r="K10" s="151">
        <f t="shared" si="2"/>
        <v>14143241</v>
      </c>
      <c r="L10" s="151">
        <f t="shared" si="2"/>
        <v>14143241</v>
      </c>
      <c r="M10" s="151">
        <f t="shared" si="2"/>
        <v>18857655</v>
      </c>
      <c r="N10" s="151">
        <f t="shared" si="2"/>
        <v>0</v>
      </c>
      <c r="O10" s="151">
        <f t="shared" si="2"/>
        <v>0</v>
      </c>
      <c r="P10" s="152">
        <f>SUM(E10:O10)</f>
        <v>136717998</v>
      </c>
    </row>
    <row r="11" spans="2:19" x14ac:dyDescent="0.25">
      <c r="B11" s="1018" t="s">
        <v>163</v>
      </c>
      <c r="C11" s="146" t="s">
        <v>164</v>
      </c>
      <c r="D11" s="146"/>
      <c r="E11" s="153">
        <v>0.1</v>
      </c>
      <c r="F11" s="153">
        <v>0.1</v>
      </c>
      <c r="G11" s="153">
        <v>0.1</v>
      </c>
      <c r="H11" s="153">
        <v>0.1</v>
      </c>
      <c r="I11" s="153">
        <v>0.1</v>
      </c>
      <c r="J11" s="153">
        <v>0.1</v>
      </c>
      <c r="K11" s="153">
        <v>0.1</v>
      </c>
      <c r="L11" s="153">
        <v>0.1</v>
      </c>
      <c r="M11" s="153">
        <v>0.1</v>
      </c>
      <c r="N11" s="153">
        <v>0</v>
      </c>
      <c r="O11" s="153">
        <v>0</v>
      </c>
      <c r="P11" s="1034"/>
    </row>
    <row r="12" spans="2:19" x14ac:dyDescent="0.25">
      <c r="B12" s="1020"/>
      <c r="C12" s="1027" t="s">
        <v>165</v>
      </c>
      <c r="D12" s="147" t="s">
        <v>69</v>
      </c>
      <c r="E12" s="154">
        <v>20</v>
      </c>
      <c r="F12" s="154">
        <v>20</v>
      </c>
      <c r="G12" s="154">
        <v>20</v>
      </c>
      <c r="H12" s="154">
        <v>20</v>
      </c>
      <c r="I12" s="154">
        <v>20</v>
      </c>
      <c r="J12" s="154">
        <v>20</v>
      </c>
      <c r="K12" s="154">
        <v>20</v>
      </c>
      <c r="L12" s="154">
        <v>20</v>
      </c>
      <c r="M12" s="154">
        <v>20</v>
      </c>
      <c r="N12" s="154">
        <v>20</v>
      </c>
      <c r="O12" s="154">
        <v>20</v>
      </c>
      <c r="P12" s="1035"/>
    </row>
    <row r="13" spans="2:19" x14ac:dyDescent="0.25">
      <c r="B13" s="1020"/>
      <c r="C13" s="1027"/>
      <c r="D13" s="147" t="s">
        <v>70</v>
      </c>
      <c r="E13" s="151">
        <f t="shared" ref="E13:O13" si="3">E12*$R$9</f>
        <v>13880000</v>
      </c>
      <c r="F13" s="151">
        <f t="shared" si="3"/>
        <v>13880000</v>
      </c>
      <c r="G13" s="151">
        <f t="shared" si="3"/>
        <v>13880000</v>
      </c>
      <c r="H13" s="151">
        <f t="shared" si="3"/>
        <v>13880000</v>
      </c>
      <c r="I13" s="151">
        <f t="shared" si="3"/>
        <v>13880000</v>
      </c>
      <c r="J13" s="151">
        <f t="shared" si="3"/>
        <v>13880000</v>
      </c>
      <c r="K13" s="151">
        <f t="shared" si="3"/>
        <v>13880000</v>
      </c>
      <c r="L13" s="151">
        <f t="shared" si="3"/>
        <v>13880000</v>
      </c>
      <c r="M13" s="151">
        <f t="shared" si="3"/>
        <v>13880000</v>
      </c>
      <c r="N13" s="151">
        <f t="shared" si="3"/>
        <v>13880000</v>
      </c>
      <c r="O13" s="151">
        <f t="shared" si="3"/>
        <v>13880000</v>
      </c>
      <c r="P13" s="1036"/>
    </row>
    <row r="14" spans="2:19" x14ac:dyDescent="0.25">
      <c r="B14" s="1019"/>
      <c r="C14" s="1012" t="s">
        <v>160</v>
      </c>
      <c r="D14" s="1014"/>
      <c r="E14" s="160">
        <f t="shared" ref="E14" si="4">ROUND(IF(E10&gt;E13,(E11*E13),(E11*E10)),0)</f>
        <v>942883</v>
      </c>
      <c r="F14" s="160">
        <f>ROUND(IF(F10&gt;F13,(F11*F13),(F11*F10)),0)</f>
        <v>1388000</v>
      </c>
      <c r="G14" s="160">
        <f t="shared" ref="G14:O14" si="5">ROUND(IF(G10&gt;G13,(G11*G13),(G11*G10)),0)</f>
        <v>1388000</v>
      </c>
      <c r="H14" s="160">
        <f t="shared" si="5"/>
        <v>1388000</v>
      </c>
      <c r="I14" s="160">
        <f t="shared" si="5"/>
        <v>1388000</v>
      </c>
      <c r="J14" s="160">
        <f t="shared" si="5"/>
        <v>1388000</v>
      </c>
      <c r="K14" s="160">
        <f t="shared" si="5"/>
        <v>1388000</v>
      </c>
      <c r="L14" s="160">
        <f t="shared" si="5"/>
        <v>1388000</v>
      </c>
      <c r="M14" s="160">
        <f t="shared" si="5"/>
        <v>1388000</v>
      </c>
      <c r="N14" s="160">
        <f t="shared" si="5"/>
        <v>0</v>
      </c>
      <c r="O14" s="160">
        <f t="shared" si="5"/>
        <v>0</v>
      </c>
      <c r="P14" s="152">
        <f>SUM(E14:O14)</f>
        <v>12046883</v>
      </c>
    </row>
    <row r="15" spans="2:19" x14ac:dyDescent="0.25">
      <c r="B15" s="1018" t="s">
        <v>166</v>
      </c>
      <c r="C15" s="1012" t="s">
        <v>164</v>
      </c>
      <c r="D15" s="1013"/>
      <c r="E15" s="153">
        <v>0.2</v>
      </c>
      <c r="F15" s="153">
        <v>0.2</v>
      </c>
      <c r="G15" s="153">
        <v>0.2</v>
      </c>
      <c r="H15" s="153">
        <v>0.2</v>
      </c>
      <c r="I15" s="153">
        <v>0.2</v>
      </c>
      <c r="J15" s="153">
        <v>0.2</v>
      </c>
      <c r="K15" s="153">
        <v>0.2</v>
      </c>
      <c r="L15" s="153">
        <v>0.2</v>
      </c>
      <c r="M15" s="153">
        <v>0.2</v>
      </c>
      <c r="N15" s="153">
        <v>0</v>
      </c>
      <c r="O15" s="153">
        <v>0</v>
      </c>
      <c r="P15" s="149"/>
    </row>
    <row r="16" spans="2:19" x14ac:dyDescent="0.25">
      <c r="B16" s="1019"/>
      <c r="C16" s="1012" t="s">
        <v>160</v>
      </c>
      <c r="D16" s="1014"/>
      <c r="E16" s="160">
        <f t="shared" ref="E16:O16" si="6">ROUND(IF(E10&gt;E13,E15*(E10-E13),0),0)</f>
        <v>0</v>
      </c>
      <c r="F16" s="160">
        <f t="shared" si="6"/>
        <v>995531</v>
      </c>
      <c r="G16" s="160">
        <f t="shared" si="6"/>
        <v>52648</v>
      </c>
      <c r="H16" s="160">
        <f t="shared" si="6"/>
        <v>52648</v>
      </c>
      <c r="I16" s="160">
        <f t="shared" si="6"/>
        <v>995531</v>
      </c>
      <c r="J16" s="160">
        <f t="shared" si="6"/>
        <v>52648</v>
      </c>
      <c r="K16" s="160">
        <f t="shared" si="6"/>
        <v>52648</v>
      </c>
      <c r="L16" s="160">
        <f t="shared" si="6"/>
        <v>52648</v>
      </c>
      <c r="M16" s="160">
        <f t="shared" si="6"/>
        <v>995531</v>
      </c>
      <c r="N16" s="160">
        <f t="shared" si="6"/>
        <v>0</v>
      </c>
      <c r="O16" s="160">
        <f t="shared" si="6"/>
        <v>0</v>
      </c>
      <c r="P16" s="152">
        <f>SUM(E16:O16)</f>
        <v>3249833</v>
      </c>
    </row>
    <row r="17" spans="2:16" x14ac:dyDescent="0.25">
      <c r="B17" s="1009" t="s">
        <v>167</v>
      </c>
      <c r="C17" s="1010"/>
      <c r="D17" s="1011"/>
      <c r="E17" s="160">
        <f t="shared" ref="E17:O17" si="7">E14+E16</f>
        <v>942883</v>
      </c>
      <c r="F17" s="160">
        <f t="shared" si="7"/>
        <v>2383531</v>
      </c>
      <c r="G17" s="160">
        <f t="shared" si="7"/>
        <v>1440648</v>
      </c>
      <c r="H17" s="160">
        <f t="shared" si="7"/>
        <v>1440648</v>
      </c>
      <c r="I17" s="160">
        <f t="shared" si="7"/>
        <v>2383531</v>
      </c>
      <c r="J17" s="160">
        <f t="shared" si="7"/>
        <v>1440648</v>
      </c>
      <c r="K17" s="160">
        <f t="shared" si="7"/>
        <v>1440648</v>
      </c>
      <c r="L17" s="160">
        <f t="shared" si="7"/>
        <v>1440648</v>
      </c>
      <c r="M17" s="160">
        <f t="shared" si="7"/>
        <v>2383531</v>
      </c>
      <c r="N17" s="160">
        <f t="shared" si="7"/>
        <v>0</v>
      </c>
      <c r="O17" s="160">
        <f t="shared" si="7"/>
        <v>0</v>
      </c>
      <c r="P17" s="152">
        <f>SUM(E17:O17)</f>
        <v>15296716</v>
      </c>
    </row>
    <row r="18" spans="2:16" x14ac:dyDescent="0.25">
      <c r="B18" s="1018" t="s">
        <v>162</v>
      </c>
      <c r="C18" s="1037" t="s">
        <v>164</v>
      </c>
      <c r="D18" s="1038"/>
      <c r="E18" s="157">
        <v>0.1</v>
      </c>
      <c r="F18" s="157">
        <v>0</v>
      </c>
      <c r="G18" s="157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63"/>
    </row>
    <row r="19" spans="2:16" x14ac:dyDescent="0.25">
      <c r="B19" s="1019"/>
      <c r="C19" s="1037" t="s">
        <v>160</v>
      </c>
      <c r="D19" s="1008"/>
      <c r="E19" s="160">
        <f t="shared" ref="E19:O19" si="8">E21*E18</f>
        <v>2220800</v>
      </c>
      <c r="F19" s="160">
        <f t="shared" si="8"/>
        <v>0</v>
      </c>
      <c r="G19" s="160">
        <f t="shared" si="8"/>
        <v>0</v>
      </c>
      <c r="H19" s="160">
        <f t="shared" si="8"/>
        <v>0</v>
      </c>
      <c r="I19" s="160">
        <f t="shared" si="8"/>
        <v>0</v>
      </c>
      <c r="J19" s="160">
        <f t="shared" si="8"/>
        <v>0</v>
      </c>
      <c r="K19" s="160">
        <f t="shared" si="8"/>
        <v>0</v>
      </c>
      <c r="L19" s="160">
        <f t="shared" si="8"/>
        <v>0</v>
      </c>
      <c r="M19" s="160">
        <f t="shared" si="8"/>
        <v>0</v>
      </c>
      <c r="N19" s="160">
        <f t="shared" si="8"/>
        <v>0</v>
      </c>
      <c r="O19" s="160">
        <f t="shared" si="8"/>
        <v>0</v>
      </c>
      <c r="P19" s="152">
        <f>SUM(E19:O19)</f>
        <v>2220800</v>
      </c>
    </row>
    <row r="20" spans="2:16" x14ac:dyDescent="0.25">
      <c r="B20" s="1021" t="s">
        <v>197</v>
      </c>
      <c r="C20" s="1012" t="s">
        <v>164</v>
      </c>
      <c r="D20" s="1013"/>
      <c r="E20" s="153">
        <v>0.1</v>
      </c>
      <c r="F20" s="153">
        <v>0.1</v>
      </c>
      <c r="G20" s="153">
        <v>0.1</v>
      </c>
      <c r="H20" s="153">
        <v>0.1</v>
      </c>
      <c r="I20" s="153">
        <v>0.1</v>
      </c>
      <c r="J20" s="153">
        <v>0.1</v>
      </c>
      <c r="K20" s="153">
        <v>0.1</v>
      </c>
      <c r="L20" s="153">
        <v>0.1</v>
      </c>
      <c r="M20" s="153">
        <v>0.1</v>
      </c>
      <c r="N20" s="153">
        <v>0.1</v>
      </c>
      <c r="O20" s="153">
        <v>0.1</v>
      </c>
      <c r="P20" s="1034"/>
    </row>
    <row r="21" spans="2:16" x14ac:dyDescent="0.25">
      <c r="B21" s="1022"/>
      <c r="C21" s="1012" t="s">
        <v>169</v>
      </c>
      <c r="D21" s="1014"/>
      <c r="E21" s="151">
        <f t="shared" ref="E21:O21" si="9">8*4*$R$9</f>
        <v>22208000</v>
      </c>
      <c r="F21" s="151">
        <f t="shared" si="9"/>
        <v>22208000</v>
      </c>
      <c r="G21" s="151">
        <f t="shared" si="9"/>
        <v>22208000</v>
      </c>
      <c r="H21" s="151">
        <f t="shared" si="9"/>
        <v>22208000</v>
      </c>
      <c r="I21" s="151">
        <f t="shared" si="9"/>
        <v>22208000</v>
      </c>
      <c r="J21" s="151">
        <f t="shared" si="9"/>
        <v>22208000</v>
      </c>
      <c r="K21" s="151">
        <f t="shared" si="9"/>
        <v>22208000</v>
      </c>
      <c r="L21" s="151">
        <f t="shared" si="9"/>
        <v>22208000</v>
      </c>
      <c r="M21" s="151">
        <f t="shared" si="9"/>
        <v>22208000</v>
      </c>
      <c r="N21" s="151">
        <f t="shared" si="9"/>
        <v>22208000</v>
      </c>
      <c r="O21" s="151">
        <f t="shared" si="9"/>
        <v>22208000</v>
      </c>
      <c r="P21" s="1035"/>
    </row>
    <row r="22" spans="2:16" x14ac:dyDescent="0.25">
      <c r="B22" s="1022"/>
      <c r="C22" s="1012" t="s">
        <v>170</v>
      </c>
      <c r="D22" s="1014"/>
      <c r="E22" s="151">
        <f t="shared" ref="E22:O22" si="10">$P$10-E21</f>
        <v>114509998</v>
      </c>
      <c r="F22" s="151">
        <f t="shared" si="10"/>
        <v>114509998</v>
      </c>
      <c r="G22" s="151">
        <f t="shared" si="10"/>
        <v>114509998</v>
      </c>
      <c r="H22" s="151">
        <f t="shared" si="10"/>
        <v>114509998</v>
      </c>
      <c r="I22" s="151">
        <f t="shared" si="10"/>
        <v>114509998</v>
      </c>
      <c r="J22" s="151">
        <f t="shared" si="10"/>
        <v>114509998</v>
      </c>
      <c r="K22" s="151">
        <f t="shared" si="10"/>
        <v>114509998</v>
      </c>
      <c r="L22" s="151">
        <f t="shared" si="10"/>
        <v>114509998</v>
      </c>
      <c r="M22" s="151">
        <f t="shared" si="10"/>
        <v>114509998</v>
      </c>
      <c r="N22" s="151">
        <f t="shared" si="10"/>
        <v>114509998</v>
      </c>
      <c r="O22" s="151">
        <f t="shared" si="10"/>
        <v>114509998</v>
      </c>
      <c r="P22" s="1035"/>
    </row>
    <row r="23" spans="2:16" x14ac:dyDescent="0.25">
      <c r="B23" s="1022"/>
      <c r="C23" s="1012" t="s">
        <v>171</v>
      </c>
      <c r="D23" s="1014"/>
      <c r="E23" s="151">
        <f t="shared" ref="E23:O23" si="11">E22*E9</f>
        <v>7897241.2413793104</v>
      </c>
      <c r="F23" s="151">
        <f t="shared" si="11"/>
        <v>15794482.482758621</v>
      </c>
      <c r="G23" s="151">
        <f t="shared" si="11"/>
        <v>11845861.862068966</v>
      </c>
      <c r="H23" s="151">
        <f t="shared" si="11"/>
        <v>11845861.862068966</v>
      </c>
      <c r="I23" s="151">
        <f t="shared" si="11"/>
        <v>15794482.482758621</v>
      </c>
      <c r="J23" s="151">
        <f t="shared" si="11"/>
        <v>11845861.862068966</v>
      </c>
      <c r="K23" s="151">
        <f t="shared" si="11"/>
        <v>11845861.862068966</v>
      </c>
      <c r="L23" s="151">
        <f t="shared" si="11"/>
        <v>11845861.862068966</v>
      </c>
      <c r="M23" s="151">
        <f t="shared" si="11"/>
        <v>15794482.482758621</v>
      </c>
      <c r="N23" s="151">
        <f t="shared" si="11"/>
        <v>0</v>
      </c>
      <c r="O23" s="151">
        <f t="shared" si="11"/>
        <v>0</v>
      </c>
      <c r="P23" s="1036"/>
    </row>
    <row r="24" spans="2:16" x14ac:dyDescent="0.25">
      <c r="B24" s="1023"/>
      <c r="C24" s="1012" t="s">
        <v>160</v>
      </c>
      <c r="D24" s="1014"/>
      <c r="E24" s="160">
        <f t="shared" ref="E24:O24" si="12">E20*E23</f>
        <v>789724.12413793104</v>
      </c>
      <c r="F24" s="160">
        <f t="shared" si="12"/>
        <v>1579448.2482758621</v>
      </c>
      <c r="G24" s="160">
        <f t="shared" si="12"/>
        <v>1184586.1862068966</v>
      </c>
      <c r="H24" s="160">
        <f t="shared" si="12"/>
        <v>1184586.1862068966</v>
      </c>
      <c r="I24" s="160">
        <f t="shared" si="12"/>
        <v>1579448.2482758621</v>
      </c>
      <c r="J24" s="160">
        <f t="shared" si="12"/>
        <v>1184586.1862068966</v>
      </c>
      <c r="K24" s="160">
        <f t="shared" si="12"/>
        <v>1184586.1862068966</v>
      </c>
      <c r="L24" s="160">
        <f t="shared" si="12"/>
        <v>1184586.1862068966</v>
      </c>
      <c r="M24" s="160">
        <f t="shared" si="12"/>
        <v>1579448.2482758621</v>
      </c>
      <c r="N24" s="160">
        <f t="shared" si="12"/>
        <v>0</v>
      </c>
      <c r="O24" s="160">
        <f t="shared" si="12"/>
        <v>0</v>
      </c>
      <c r="P24" s="152">
        <f>SUM(E24:O24)</f>
        <v>11450999.800000001</v>
      </c>
    </row>
    <row r="25" spans="2:16" x14ac:dyDescent="0.25">
      <c r="B25" s="1009" t="s">
        <v>198</v>
      </c>
      <c r="C25" s="1010"/>
      <c r="D25" s="1011"/>
      <c r="E25" s="160">
        <f>E19+E24</f>
        <v>3010524.124137931</v>
      </c>
      <c r="F25" s="160">
        <f t="shared" ref="F25:O25" si="13">F19+F24</f>
        <v>1579448.2482758621</v>
      </c>
      <c r="G25" s="160">
        <f t="shared" si="13"/>
        <v>1184586.1862068966</v>
      </c>
      <c r="H25" s="160">
        <f t="shared" si="13"/>
        <v>1184586.1862068966</v>
      </c>
      <c r="I25" s="160">
        <f t="shared" si="13"/>
        <v>1579448.2482758621</v>
      </c>
      <c r="J25" s="160">
        <f t="shared" si="13"/>
        <v>1184586.1862068966</v>
      </c>
      <c r="K25" s="160">
        <f t="shared" si="13"/>
        <v>1184586.1862068966</v>
      </c>
      <c r="L25" s="160">
        <f t="shared" si="13"/>
        <v>1184586.1862068966</v>
      </c>
      <c r="M25" s="160">
        <f t="shared" si="13"/>
        <v>1579448.2482758621</v>
      </c>
      <c r="N25" s="160">
        <f t="shared" si="13"/>
        <v>0</v>
      </c>
      <c r="O25" s="160">
        <f t="shared" si="13"/>
        <v>0</v>
      </c>
      <c r="P25" s="152">
        <f>SUM(E25:O25)</f>
        <v>13671799.799999997</v>
      </c>
    </row>
    <row r="26" spans="2:16" x14ac:dyDescent="0.25">
      <c r="B26" s="1024" t="s">
        <v>172</v>
      </c>
      <c r="C26" s="1012" t="s">
        <v>164</v>
      </c>
      <c r="D26" s="1014"/>
      <c r="E26" s="155">
        <v>0.05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1.4999999999999999E-2</v>
      </c>
      <c r="O26" s="155">
        <v>7.4999999999999997E-3</v>
      </c>
      <c r="P26" s="1034"/>
    </row>
    <row r="27" spans="2:16" x14ac:dyDescent="0.25">
      <c r="B27" s="1025"/>
      <c r="C27" s="1012" t="s">
        <v>173</v>
      </c>
      <c r="D27" s="1014"/>
      <c r="E27" s="156">
        <f t="shared" ref="E27:O27" si="14">$P$10</f>
        <v>136717998</v>
      </c>
      <c r="F27" s="156">
        <f t="shared" si="14"/>
        <v>136717998</v>
      </c>
      <c r="G27" s="156">
        <f t="shared" si="14"/>
        <v>136717998</v>
      </c>
      <c r="H27" s="156">
        <f t="shared" si="14"/>
        <v>136717998</v>
      </c>
      <c r="I27" s="156">
        <f t="shared" si="14"/>
        <v>136717998</v>
      </c>
      <c r="J27" s="156">
        <f t="shared" si="14"/>
        <v>136717998</v>
      </c>
      <c r="K27" s="156">
        <f t="shared" si="14"/>
        <v>136717998</v>
      </c>
      <c r="L27" s="156">
        <f t="shared" si="14"/>
        <v>136717998</v>
      </c>
      <c r="M27" s="156">
        <f t="shared" si="14"/>
        <v>136717998</v>
      </c>
      <c r="N27" s="156">
        <f t="shared" si="14"/>
        <v>136717998</v>
      </c>
      <c r="O27" s="156">
        <f t="shared" si="14"/>
        <v>136717998</v>
      </c>
      <c r="P27" s="1036"/>
    </row>
    <row r="28" spans="2:16" x14ac:dyDescent="0.25">
      <c r="B28" s="1026"/>
      <c r="C28" s="1012" t="s">
        <v>160</v>
      </c>
      <c r="D28" s="1014"/>
      <c r="E28" s="161">
        <f t="shared" ref="E28:O28" si="15">E26*E27</f>
        <v>6835899.9000000004</v>
      </c>
      <c r="F28" s="161">
        <f t="shared" si="15"/>
        <v>0</v>
      </c>
      <c r="G28" s="161">
        <f t="shared" si="15"/>
        <v>0</v>
      </c>
      <c r="H28" s="161">
        <f t="shared" si="15"/>
        <v>0</v>
      </c>
      <c r="I28" s="161">
        <f t="shared" si="15"/>
        <v>0</v>
      </c>
      <c r="J28" s="161">
        <f t="shared" si="15"/>
        <v>0</v>
      </c>
      <c r="K28" s="161">
        <f t="shared" si="15"/>
        <v>0</v>
      </c>
      <c r="L28" s="161">
        <f t="shared" si="15"/>
        <v>0</v>
      </c>
      <c r="M28" s="161">
        <f t="shared" si="15"/>
        <v>0</v>
      </c>
      <c r="N28" s="161">
        <f t="shared" si="15"/>
        <v>2050769.97</v>
      </c>
      <c r="O28" s="161">
        <f t="shared" si="15"/>
        <v>1025384.985</v>
      </c>
      <c r="P28" s="152">
        <f>SUM(E28:O28)</f>
        <v>9912054.8550000004</v>
      </c>
    </row>
    <row r="29" spans="2:16" x14ac:dyDescent="0.25">
      <c r="B29" s="1039" t="s">
        <v>161</v>
      </c>
      <c r="C29" s="1040"/>
      <c r="D29" s="1041"/>
      <c r="E29" s="160">
        <f>E17+E25+E28</f>
        <v>10789307.024137931</v>
      </c>
      <c r="F29" s="160">
        <f t="shared" ref="F29:O29" si="16">F17+F25+F28</f>
        <v>3962979.2482758621</v>
      </c>
      <c r="G29" s="160">
        <f t="shared" si="16"/>
        <v>2625234.1862068968</v>
      </c>
      <c r="H29" s="160">
        <f t="shared" si="16"/>
        <v>2625234.1862068968</v>
      </c>
      <c r="I29" s="160">
        <f t="shared" si="16"/>
        <v>3962979.2482758621</v>
      </c>
      <c r="J29" s="160">
        <f t="shared" si="16"/>
        <v>2625234.1862068968</v>
      </c>
      <c r="K29" s="160">
        <f t="shared" si="16"/>
        <v>2625234.1862068968</v>
      </c>
      <c r="L29" s="160">
        <f t="shared" si="16"/>
        <v>2625234.1862068968</v>
      </c>
      <c r="M29" s="160">
        <f t="shared" si="16"/>
        <v>3962979.2482758621</v>
      </c>
      <c r="N29" s="160">
        <f t="shared" si="16"/>
        <v>2050769.97</v>
      </c>
      <c r="O29" s="160">
        <f t="shared" si="16"/>
        <v>1025384.985</v>
      </c>
      <c r="P29" s="152">
        <f>SUM(E29:O29)</f>
        <v>38880570.654999994</v>
      </c>
    </row>
    <row r="30" spans="2:16" x14ac:dyDescent="0.25">
      <c r="B30" s="1015" t="s">
        <v>205</v>
      </c>
      <c r="C30" s="1012" t="s">
        <v>237</v>
      </c>
      <c r="D30" s="1014"/>
      <c r="E30" s="158">
        <f>VLOOKUP("Subtotal prestaciones sociales",Factor!$B$6:$F$25,IF(E$7="Laboral",3,5),0)</f>
        <v>0.17666666666666667</v>
      </c>
      <c r="F30" s="158">
        <f>VLOOKUP("Subtotal prestaciones sociales",Factor!$B$6:$F$25,IF(F$7="Laboral",3,5),0)</f>
        <v>0.17666666666666667</v>
      </c>
      <c r="G30" s="158">
        <f>VLOOKUP("Subtotal prestaciones sociales",Factor!$B$6:$F$25,IF(G$7="Laboral",3,5),0)</f>
        <v>0.17666666666666667</v>
      </c>
      <c r="H30" s="158">
        <f>VLOOKUP("Subtotal prestaciones sociales",Factor!$B$6:$F$25,IF(H$7="Laboral",3,5),0)</f>
        <v>0.17666666666666667</v>
      </c>
      <c r="I30" s="158">
        <f>VLOOKUP("Subtotal prestaciones sociales",Factor!$B$6:$F$25,IF(I$7="Laboral",3,5),0)</f>
        <v>0.17666666666666667</v>
      </c>
      <c r="J30" s="158">
        <f>VLOOKUP("Subtotal prestaciones sociales",Factor!$B$6:$F$25,IF(J$7="Laboral",3,5),0)</f>
        <v>0.17666666666666667</v>
      </c>
      <c r="K30" s="158">
        <f>VLOOKUP("Subtotal prestaciones sociales",Factor!$B$6:$F$25,IF(K$7="Laboral",3,5),0)</f>
        <v>0.17666666666666667</v>
      </c>
      <c r="L30" s="158">
        <f>VLOOKUP("Subtotal prestaciones sociales",Factor!$B$6:$F$25,IF(L$7="Laboral",3,5),0)</f>
        <v>0.17666666666666667</v>
      </c>
      <c r="M30" s="158">
        <f>VLOOKUP("Subtotal prestaciones sociales",Factor!$B$6:$F$25,IF(M$7="Laboral",3,5),0)</f>
        <v>0.17666666666666667</v>
      </c>
      <c r="N30" s="158">
        <f>VLOOKUP("Subtotal prestaciones sociales",Factor!$B$6:$F$25,IF(N$7="Laboral",3,5),0)</f>
        <v>0.17666666666666667</v>
      </c>
      <c r="O30" s="158">
        <f>VLOOKUP("Subtotal prestaciones sociales",Factor!$B$6:$F$25,IF(O$7="Laboral",3,5),0)</f>
        <v>0.17666666666666667</v>
      </c>
      <c r="P30" s="152"/>
    </row>
    <row r="31" spans="2:16" x14ac:dyDescent="0.25">
      <c r="B31" s="1016"/>
      <c r="C31" s="1012" t="s">
        <v>238</v>
      </c>
      <c r="D31" s="1014"/>
      <c r="E31" s="158">
        <f>IF(E$7="Laboral",0,VLOOKUP("Subtotal seguridad social",Factor!$B$6:$F$25,5))</f>
        <v>0</v>
      </c>
      <c r="F31" s="158">
        <f>IF(F$7="Laboral",0,VLOOKUP("Subtotal seguridad social",Factor!$B$6:$F$25,5))</f>
        <v>0</v>
      </c>
      <c r="G31" s="158">
        <f>IF(G$7="Laboral",0,VLOOKUP("Subtotal seguridad social",Factor!$B$6:$F$25,5))</f>
        <v>0.21500000000000002</v>
      </c>
      <c r="H31" s="158">
        <f>IF(H$7="Laboral",0,VLOOKUP("Subtotal seguridad social",Factor!$B$6:$F$25,5))</f>
        <v>0.21500000000000002</v>
      </c>
      <c r="I31" s="158">
        <f>IF(I$7="Laboral",0,VLOOKUP("Subtotal seguridad social",Factor!$B$6:$F$25,5))</f>
        <v>0</v>
      </c>
      <c r="J31" s="158">
        <f>IF(J$7="Laboral",0,VLOOKUP("Subtotal seguridad social",Factor!$B$6:$F$25,5))</f>
        <v>0.21500000000000002</v>
      </c>
      <c r="K31" s="158">
        <f>IF(K$7="Laboral",0,VLOOKUP("Subtotal seguridad social",Factor!$B$6:$F$25,5))</f>
        <v>0.21500000000000002</v>
      </c>
      <c r="L31" s="158">
        <f>IF(L$7="Laboral",0,VLOOKUP("Subtotal seguridad social",Factor!$B$6:$F$25,5))</f>
        <v>0.21500000000000002</v>
      </c>
      <c r="M31" s="158">
        <f>IF(M$7="Laboral",0,VLOOKUP("Subtotal seguridad social",Factor!$B$6:$F$25,5))</f>
        <v>0</v>
      </c>
      <c r="N31" s="158">
        <f>IF(N$7="Laboral",0,VLOOKUP("Subtotal seguridad social",Factor!$B$6:$F$25,5))</f>
        <v>0</v>
      </c>
      <c r="O31" s="158">
        <f>IF(O$7="Laboral",0,VLOOKUP("Subtotal seguridad social",Factor!$B$6:$F$25,5))</f>
        <v>0</v>
      </c>
      <c r="P31" s="152"/>
    </row>
    <row r="32" spans="2:16" x14ac:dyDescent="0.25">
      <c r="B32" s="1017"/>
      <c r="C32" s="1012" t="s">
        <v>239</v>
      </c>
      <c r="D32" s="1014"/>
      <c r="E32" s="158">
        <f>SUM(E30:E31)</f>
        <v>0.17666666666666667</v>
      </c>
      <c r="F32" s="158">
        <f t="shared" ref="F32:O32" si="17">SUM(F30:F31)</f>
        <v>0.17666666666666667</v>
      </c>
      <c r="G32" s="158">
        <f t="shared" si="17"/>
        <v>0.39166666666666672</v>
      </c>
      <c r="H32" s="158">
        <f t="shared" si="17"/>
        <v>0.39166666666666672</v>
      </c>
      <c r="I32" s="158">
        <f t="shared" si="17"/>
        <v>0.17666666666666667</v>
      </c>
      <c r="J32" s="158">
        <f t="shared" si="17"/>
        <v>0.39166666666666672</v>
      </c>
      <c r="K32" s="158">
        <f t="shared" si="17"/>
        <v>0.39166666666666672</v>
      </c>
      <c r="L32" s="158">
        <f t="shared" si="17"/>
        <v>0.39166666666666672</v>
      </c>
      <c r="M32" s="158">
        <f t="shared" si="17"/>
        <v>0.17666666666666667</v>
      </c>
      <c r="N32" s="158">
        <f t="shared" si="17"/>
        <v>0.17666666666666667</v>
      </c>
      <c r="O32" s="158">
        <f t="shared" si="17"/>
        <v>0.17666666666666667</v>
      </c>
      <c r="P32" s="149"/>
    </row>
    <row r="33" spans="2:16" ht="13" thickBot="1" x14ac:dyDescent="0.3">
      <c r="B33" s="1031" t="s">
        <v>174</v>
      </c>
      <c r="C33" s="1032"/>
      <c r="D33" s="1033"/>
      <c r="E33" s="162">
        <f>ROUND(E29*(1+E32),1)</f>
        <v>12695417.9</v>
      </c>
      <c r="F33" s="162">
        <f t="shared" ref="F33:O33" si="18">ROUND(F29*(1+F32),1)</f>
        <v>4663105.5999999996</v>
      </c>
      <c r="G33" s="162">
        <f t="shared" si="18"/>
        <v>3653450.9</v>
      </c>
      <c r="H33" s="162">
        <f t="shared" si="18"/>
        <v>3653450.9</v>
      </c>
      <c r="I33" s="162">
        <f t="shared" si="18"/>
        <v>4663105.5999999996</v>
      </c>
      <c r="J33" s="162">
        <f t="shared" si="18"/>
        <v>3653450.9</v>
      </c>
      <c r="K33" s="162">
        <f t="shared" si="18"/>
        <v>3653450.9</v>
      </c>
      <c r="L33" s="162">
        <f t="shared" si="18"/>
        <v>3653450.9</v>
      </c>
      <c r="M33" s="162">
        <f t="shared" si="18"/>
        <v>4663105.5999999996</v>
      </c>
      <c r="N33" s="162">
        <f t="shared" si="18"/>
        <v>2413072.7000000002</v>
      </c>
      <c r="O33" s="162">
        <f t="shared" si="18"/>
        <v>1206536.3</v>
      </c>
      <c r="P33" s="159">
        <f>SUM(E33:O33)</f>
        <v>48571598.199999996</v>
      </c>
    </row>
  </sheetData>
  <mergeCells count="36">
    <mergeCell ref="B29:D29"/>
    <mergeCell ref="B33:D33"/>
    <mergeCell ref="B26:B28"/>
    <mergeCell ref="C26:D26"/>
    <mergeCell ref="B30:B32"/>
    <mergeCell ref="C30:D30"/>
    <mergeCell ref="C31:D31"/>
    <mergeCell ref="C32:D32"/>
    <mergeCell ref="P26:P27"/>
    <mergeCell ref="C27:D27"/>
    <mergeCell ref="C28:D28"/>
    <mergeCell ref="B18:B19"/>
    <mergeCell ref="C18:D18"/>
    <mergeCell ref="C19:D19"/>
    <mergeCell ref="B25:D25"/>
    <mergeCell ref="B17:D17"/>
    <mergeCell ref="B20:B24"/>
    <mergeCell ref="C20:D20"/>
    <mergeCell ref="P20:P23"/>
    <mergeCell ref="C21:D21"/>
    <mergeCell ref="C22:D22"/>
    <mergeCell ref="C23:D23"/>
    <mergeCell ref="C24:D24"/>
    <mergeCell ref="B15:B16"/>
    <mergeCell ref="C15:D15"/>
    <mergeCell ref="C16:D16"/>
    <mergeCell ref="B4:P4"/>
    <mergeCell ref="B6:D6"/>
    <mergeCell ref="B7:D7"/>
    <mergeCell ref="B8:D8"/>
    <mergeCell ref="B9:D9"/>
    <mergeCell ref="B10:D10"/>
    <mergeCell ref="B11:B14"/>
    <mergeCell ref="P11:P13"/>
    <mergeCell ref="C12:C13"/>
    <mergeCell ref="C14:D14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3:M34"/>
  <sheetViews>
    <sheetView zoomScaleNormal="100" zoomScaleSheetLayoutView="100" workbookViewId="0">
      <pane xSplit="4" ySplit="7" topLeftCell="E8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9.6328125" style="47" customWidth="1"/>
    <col min="4" max="4" width="6.08984375" style="47" bestFit="1" customWidth="1"/>
    <col min="5" max="9" width="10.6328125" style="48" customWidth="1"/>
    <col min="10" max="10" width="11.36328125" style="48" bestFit="1" customWidth="1"/>
    <col min="11" max="11" width="2.6328125" style="48" customWidth="1"/>
    <col min="12" max="12" width="11.90625" style="48" bestFit="1" customWidth="1"/>
    <col min="13" max="16384" width="11.453125" style="48"/>
  </cols>
  <sheetData>
    <row r="3" spans="1:13" ht="13.5" thickBot="1" x14ac:dyDescent="0.3">
      <c r="E3" s="144">
        <v>1</v>
      </c>
      <c r="F3" s="144">
        <v>2</v>
      </c>
      <c r="G3" s="144">
        <v>3</v>
      </c>
      <c r="H3" s="144">
        <v>10</v>
      </c>
      <c r="I3" s="144">
        <v>11</v>
      </c>
    </row>
    <row r="4" spans="1:13" ht="18.5" thickBot="1" x14ac:dyDescent="0.45">
      <c r="B4" s="979" t="str">
        <f>"Remuneración Variable Mensual Presupuestada Año "&amp;L6</f>
        <v>Remuneración Variable Mensual Presupuestada Año 2017</v>
      </c>
      <c r="C4" s="980"/>
      <c r="D4" s="980"/>
      <c r="E4" s="980"/>
      <c r="F4" s="980"/>
      <c r="G4" s="980"/>
      <c r="H4" s="980"/>
      <c r="I4" s="980"/>
      <c r="J4" s="981"/>
    </row>
    <row r="5" spans="1:13" ht="13" thickBot="1" x14ac:dyDescent="0.3"/>
    <row r="6" spans="1:13" ht="23" x14ac:dyDescent="0.3">
      <c r="B6" s="1028" t="s">
        <v>89</v>
      </c>
      <c r="C6" s="1029"/>
      <c r="D6" s="1030"/>
      <c r="E6" s="145" t="s">
        <v>93</v>
      </c>
      <c r="F6" s="145" t="s">
        <v>90</v>
      </c>
      <c r="G6" s="145" t="s">
        <v>90</v>
      </c>
      <c r="H6" s="193" t="s">
        <v>146</v>
      </c>
      <c r="I6" s="193" t="s">
        <v>92</v>
      </c>
      <c r="J6" s="166" t="s">
        <v>65</v>
      </c>
      <c r="L6" s="601">
        <f>'HC 2017'!I4</f>
        <v>2017</v>
      </c>
      <c r="M6" s="48" t="s">
        <v>71</v>
      </c>
    </row>
    <row r="7" spans="1:13" ht="13" x14ac:dyDescent="0.3">
      <c r="A7" s="48">
        <v>0</v>
      </c>
      <c r="B7" s="1085" t="s">
        <v>832</v>
      </c>
      <c r="C7" s="1083"/>
      <c r="D7" s="1084"/>
      <c r="E7" s="610">
        <v>1</v>
      </c>
      <c r="F7" s="610">
        <v>3</v>
      </c>
      <c r="G7" s="610">
        <v>5</v>
      </c>
      <c r="H7" s="610">
        <v>1</v>
      </c>
      <c r="I7" s="610">
        <v>1</v>
      </c>
      <c r="J7" s="609">
        <f>SUM(E7:I7)</f>
        <v>11</v>
      </c>
      <c r="L7" s="601"/>
    </row>
    <row r="8" spans="1:13" ht="13" x14ac:dyDescent="0.3">
      <c r="A8" s="48">
        <v>6</v>
      </c>
      <c r="B8" s="1085" t="s">
        <v>178</v>
      </c>
      <c r="C8" s="1083"/>
      <c r="D8" s="1084"/>
      <c r="E8" s="148">
        <f>HLOOKUP(E$3,'RV 2017'!$B$3:$P$33,$A8,0)</f>
        <v>20</v>
      </c>
      <c r="F8" s="148">
        <f>HLOOKUP(F$3,'RV 2017'!$B$3:$P$33,$A8,0)</f>
        <v>40</v>
      </c>
      <c r="G8" s="148">
        <f>HLOOKUP(G$3,'RV 2017'!$B$3:$P$33,$A8,0)</f>
        <v>30</v>
      </c>
      <c r="H8" s="148">
        <f>HLOOKUP(H$3,'RV 2017'!$B$3:$P$33,$A8,0)</f>
        <v>0</v>
      </c>
      <c r="I8" s="148">
        <f>HLOOKUP(I$3,'RV 2017'!$B$3:$P$33,$A8,0)</f>
        <v>0</v>
      </c>
      <c r="J8" s="605">
        <f>SUMPRODUCT($E$7:$I$7,$E8:$I8)</f>
        <v>290</v>
      </c>
      <c r="L8" s="60">
        <f>HLOOKUP($L$6,'Ing Proyect'!$B$6:$G$12,6,0)</f>
        <v>136718000</v>
      </c>
      <c r="M8" s="48" t="s">
        <v>175</v>
      </c>
    </row>
    <row r="9" spans="1:13" ht="13" x14ac:dyDescent="0.3">
      <c r="A9" s="48">
        <v>7</v>
      </c>
      <c r="B9" s="1085" t="s">
        <v>177</v>
      </c>
      <c r="C9" s="1083"/>
      <c r="D9" s="1084"/>
      <c r="E9" s="150">
        <f>HLOOKUP(E$3,'RV 2017'!$B$3:$P$33,$A9,0)</f>
        <v>6.8965517241379309E-2</v>
      </c>
      <c r="F9" s="150">
        <f>HLOOKUP(F$3,'RV 2017'!$B$3:$P$33,$A9,0)</f>
        <v>0.13793103448275862</v>
      </c>
      <c r="G9" s="150">
        <f>HLOOKUP(G$3,'RV 2017'!$B$3:$P$33,$A9,0)</f>
        <v>0.10344827586206896</v>
      </c>
      <c r="H9" s="150">
        <f>HLOOKUP(H$3,'RV 2017'!$B$3:$P$33,$A9,0)</f>
        <v>0</v>
      </c>
      <c r="I9" s="150">
        <f>HLOOKUP(I$3,'RV 2017'!$B$3:$P$33,$A9,0)</f>
        <v>0</v>
      </c>
      <c r="J9" s="165">
        <f>SUMPRODUCT($E$7:$I$7,$E9:$I9)</f>
        <v>1</v>
      </c>
      <c r="L9" s="60">
        <f>HLOOKUP($L$6,'Ing Proyect'!$B$6:$G$12,2,0)</f>
        <v>694000</v>
      </c>
      <c r="M9" s="48" t="s">
        <v>69</v>
      </c>
    </row>
    <row r="10" spans="1:13" x14ac:dyDescent="0.25">
      <c r="A10" s="48">
        <v>8</v>
      </c>
      <c r="B10" s="1082" t="s">
        <v>176</v>
      </c>
      <c r="C10" s="1083"/>
      <c r="D10" s="1084"/>
      <c r="E10" s="151">
        <f>HLOOKUP(E$3,'RV 2017'!$B$3:$P$33,$A10,0)</f>
        <v>9428828</v>
      </c>
      <c r="F10" s="151">
        <f>HLOOKUP(F$3,'RV 2017'!$B$3:$P$33,$A10,0)</f>
        <v>18857655</v>
      </c>
      <c r="G10" s="151">
        <f>HLOOKUP(G$3,'RV 2017'!$B$3:$P$33,$A10,0)</f>
        <v>14143241</v>
      </c>
      <c r="H10" s="151">
        <f>HLOOKUP(H$3,'RV 2017'!$B$3:$P$33,$A10,0)</f>
        <v>0</v>
      </c>
      <c r="I10" s="151">
        <f>HLOOKUP(I$3,'RV 2017'!$B$3:$P$33,$A10,0)</f>
        <v>0</v>
      </c>
      <c r="J10" s="152">
        <f>SUMPRODUCT($E$7:$I$7,$E10:$I10)</f>
        <v>136717998</v>
      </c>
    </row>
    <row r="11" spans="1:13" x14ac:dyDescent="0.25">
      <c r="A11" s="48">
        <v>9</v>
      </c>
      <c r="B11" s="1086" t="s">
        <v>163</v>
      </c>
      <c r="C11" s="611" t="s">
        <v>164</v>
      </c>
      <c r="D11" s="611"/>
      <c r="E11" s="153">
        <f>HLOOKUP(E$3,'RV 2017'!$B$3:$P$33,$A11,0)</f>
        <v>0.1</v>
      </c>
      <c r="F11" s="153">
        <f>HLOOKUP(F$3,'RV 2017'!$B$3:$P$33,$A11,0)</f>
        <v>0.1</v>
      </c>
      <c r="G11" s="153">
        <f>HLOOKUP(G$3,'RV 2017'!$B$3:$P$33,$A11,0)</f>
        <v>0.1</v>
      </c>
      <c r="H11" s="153">
        <f>HLOOKUP(H$3,'RV 2017'!$B$3:$P$33,$A11,0)</f>
        <v>0</v>
      </c>
      <c r="I11" s="153">
        <f>HLOOKUP(I$3,'RV 2017'!$B$3:$P$33,$A11,0)</f>
        <v>0</v>
      </c>
      <c r="J11" s="1034"/>
    </row>
    <row r="12" spans="1:13" ht="12.5" customHeight="1" x14ac:dyDescent="0.25">
      <c r="A12" s="48">
        <v>10</v>
      </c>
      <c r="B12" s="1087"/>
      <c r="C12" s="1089" t="s">
        <v>165</v>
      </c>
      <c r="D12" s="612" t="s">
        <v>69</v>
      </c>
      <c r="E12" s="154">
        <f>HLOOKUP(E$3,'RV 2017'!$B$3:$P$33,$A12,0)</f>
        <v>20</v>
      </c>
      <c r="F12" s="154">
        <f>HLOOKUP(F$3,'RV 2017'!$B$3:$P$33,$A12,0)</f>
        <v>20</v>
      </c>
      <c r="G12" s="154">
        <f>HLOOKUP(G$3,'RV 2017'!$B$3:$P$33,$A12,0)</f>
        <v>20</v>
      </c>
      <c r="H12" s="154">
        <f>HLOOKUP(H$3,'RV 2017'!$B$3:$P$33,$A12,0)</f>
        <v>20</v>
      </c>
      <c r="I12" s="154">
        <f>HLOOKUP(I$3,'RV 2017'!$B$3:$P$33,$A12,0)</f>
        <v>20</v>
      </c>
      <c r="J12" s="1035"/>
    </row>
    <row r="13" spans="1:13" x14ac:dyDescent="0.25">
      <c r="A13" s="48">
        <v>11</v>
      </c>
      <c r="B13" s="1087"/>
      <c r="C13" s="1089"/>
      <c r="D13" s="612" t="s">
        <v>70</v>
      </c>
      <c r="E13" s="151">
        <f>HLOOKUP(E$3,'RV 2017'!$B$3:$P$33,$A13,0)</f>
        <v>13880000</v>
      </c>
      <c r="F13" s="151">
        <f>HLOOKUP(F$3,'RV 2017'!$B$3:$P$33,$A13,0)</f>
        <v>13880000</v>
      </c>
      <c r="G13" s="151">
        <f>HLOOKUP(G$3,'RV 2017'!$B$3:$P$33,$A13,0)</f>
        <v>13880000</v>
      </c>
      <c r="H13" s="151">
        <f>HLOOKUP(H$3,'RV 2017'!$B$3:$P$33,$A13,0)</f>
        <v>13880000</v>
      </c>
      <c r="I13" s="151">
        <f>HLOOKUP(I$3,'RV 2017'!$B$3:$P$33,$A13,0)</f>
        <v>13880000</v>
      </c>
      <c r="J13" s="1036"/>
    </row>
    <row r="14" spans="1:13" x14ac:dyDescent="0.25">
      <c r="A14" s="48">
        <v>12</v>
      </c>
      <c r="B14" s="1088"/>
      <c r="C14" s="1090" t="s">
        <v>160</v>
      </c>
      <c r="D14" s="1091"/>
      <c r="E14" s="613">
        <f>HLOOKUP(E$3,'RV 2017'!$B$3:$P$33,$A14,0)</f>
        <v>942883</v>
      </c>
      <c r="F14" s="613">
        <f>HLOOKUP(F$3,'RV 2017'!$B$3:$P$33,$A14,0)</f>
        <v>1388000</v>
      </c>
      <c r="G14" s="613">
        <f>HLOOKUP(G$3,'RV 2017'!$B$3:$P$33,$A14,0)</f>
        <v>1388000</v>
      </c>
      <c r="H14" s="613">
        <f>HLOOKUP(H$3,'RV 2017'!$B$3:$P$33,$A14,0)</f>
        <v>0</v>
      </c>
      <c r="I14" s="613">
        <f>HLOOKUP(I$3,'RV 2017'!$B$3:$P$33,$A14,0)</f>
        <v>0</v>
      </c>
      <c r="J14" s="608">
        <f>SUMPRODUCT($E$7:$I$7,$E14:$I14)</f>
        <v>12046883</v>
      </c>
    </row>
    <row r="15" spans="1:13" x14ac:dyDescent="0.25">
      <c r="A15" s="48">
        <v>13</v>
      </c>
      <c r="B15" s="1086" t="s">
        <v>166</v>
      </c>
      <c r="C15" s="1090" t="s">
        <v>164</v>
      </c>
      <c r="D15" s="1092"/>
      <c r="E15" s="153">
        <f>HLOOKUP(E$3,'RV 2017'!$B$3:$P$33,$A15,0)</f>
        <v>0.2</v>
      </c>
      <c r="F15" s="153">
        <f>HLOOKUP(F$3,'RV 2017'!$B$3:$P$33,$A15,0)</f>
        <v>0.2</v>
      </c>
      <c r="G15" s="153">
        <f>HLOOKUP(G$3,'RV 2017'!$B$3:$P$33,$A15,0)</f>
        <v>0.2</v>
      </c>
      <c r="H15" s="153">
        <f>HLOOKUP(H$3,'RV 2017'!$B$3:$P$33,$A15,0)</f>
        <v>0</v>
      </c>
      <c r="I15" s="153">
        <f>HLOOKUP(I$3,'RV 2017'!$B$3:$P$33,$A15,0)</f>
        <v>0</v>
      </c>
      <c r="J15" s="149"/>
    </row>
    <row r="16" spans="1:13" x14ac:dyDescent="0.25">
      <c r="A16" s="48">
        <v>14</v>
      </c>
      <c r="B16" s="1088"/>
      <c r="C16" s="1090" t="s">
        <v>160</v>
      </c>
      <c r="D16" s="1091"/>
      <c r="E16" s="613">
        <f>HLOOKUP(E$3,'RV 2017'!$B$3:$P$33,$A16,0)</f>
        <v>0</v>
      </c>
      <c r="F16" s="613">
        <f>HLOOKUP(F$3,'RV 2017'!$B$3:$P$33,$A16,0)</f>
        <v>995531</v>
      </c>
      <c r="G16" s="613">
        <f>HLOOKUP(G$3,'RV 2017'!$B$3:$P$33,$A16,0)</f>
        <v>52648</v>
      </c>
      <c r="H16" s="613">
        <f>HLOOKUP(H$3,'RV 2017'!$B$3:$P$33,$A16,0)</f>
        <v>0</v>
      </c>
      <c r="I16" s="613">
        <f>HLOOKUP(I$3,'RV 2017'!$B$3:$P$33,$A16,0)</f>
        <v>0</v>
      </c>
      <c r="J16" s="608">
        <f>SUMPRODUCT($E$7:$I$7,$E16:$I16)</f>
        <v>3249833</v>
      </c>
    </row>
    <row r="17" spans="1:10" ht="12.5" customHeight="1" x14ac:dyDescent="0.25">
      <c r="A17" s="48">
        <v>15</v>
      </c>
      <c r="B17" s="1093" t="s">
        <v>167</v>
      </c>
      <c r="C17" s="1094"/>
      <c r="D17" s="1095"/>
      <c r="E17" s="160">
        <f>HLOOKUP(E$3,'RV 2017'!$B$3:$P$33,$A17,0)</f>
        <v>942883</v>
      </c>
      <c r="F17" s="160">
        <f>HLOOKUP(F$3,'RV 2017'!$B$3:$P$33,$A17,0)</f>
        <v>2383531</v>
      </c>
      <c r="G17" s="160">
        <f>HLOOKUP(G$3,'RV 2017'!$B$3:$P$33,$A17,0)</f>
        <v>1440648</v>
      </c>
      <c r="H17" s="160">
        <f>HLOOKUP(H$3,'RV 2017'!$B$3:$P$33,$A17,0)</f>
        <v>0</v>
      </c>
      <c r="I17" s="160">
        <f>HLOOKUP(I$3,'RV 2017'!$B$3:$P$33,$A17,0)</f>
        <v>0</v>
      </c>
      <c r="J17" s="152">
        <f>SUMPRODUCT($E$7:$I$7,$E17:$I17)</f>
        <v>15296716</v>
      </c>
    </row>
    <row r="18" spans="1:10" ht="12.5" customHeight="1" x14ac:dyDescent="0.25">
      <c r="A18" s="48">
        <v>16</v>
      </c>
      <c r="B18" s="1086" t="s">
        <v>162</v>
      </c>
      <c r="C18" s="1096" t="s">
        <v>164</v>
      </c>
      <c r="D18" s="1097"/>
      <c r="E18" s="157">
        <f>HLOOKUP(E$3,'RV 2017'!$B$3:$P$33,$A18,0)</f>
        <v>0.1</v>
      </c>
      <c r="F18" s="157">
        <f>HLOOKUP(F$3,'RV 2017'!$B$3:$P$33,$A18,0)</f>
        <v>0</v>
      </c>
      <c r="G18" s="157">
        <f>HLOOKUP(G$3,'RV 2017'!$B$3:$P$33,$A18,0)</f>
        <v>0</v>
      </c>
      <c r="H18" s="157">
        <f>HLOOKUP(H$3,'RV 2017'!$B$3:$P$33,$A18,0)</f>
        <v>0</v>
      </c>
      <c r="I18" s="157">
        <f>HLOOKUP(I$3,'RV 2017'!$B$3:$P$33,$A18,0)</f>
        <v>0</v>
      </c>
      <c r="J18" s="163"/>
    </row>
    <row r="19" spans="1:10" x14ac:dyDescent="0.25">
      <c r="A19" s="48">
        <v>17</v>
      </c>
      <c r="B19" s="1088"/>
      <c r="C19" s="1096" t="s">
        <v>160</v>
      </c>
      <c r="D19" s="1084"/>
      <c r="E19" s="613">
        <f>HLOOKUP(E$3,'RV 2017'!$B$3:$P$33,$A19,0)</f>
        <v>2220800</v>
      </c>
      <c r="F19" s="613">
        <f>HLOOKUP(F$3,'RV 2017'!$B$3:$P$33,$A19,0)</f>
        <v>0</v>
      </c>
      <c r="G19" s="613">
        <f>HLOOKUP(G$3,'RV 2017'!$B$3:$P$33,$A19,0)</f>
        <v>0</v>
      </c>
      <c r="H19" s="613">
        <f>HLOOKUP(H$3,'RV 2017'!$B$3:$P$33,$A19,0)</f>
        <v>0</v>
      </c>
      <c r="I19" s="613">
        <f>HLOOKUP(I$3,'RV 2017'!$B$3:$P$33,$A19,0)</f>
        <v>0</v>
      </c>
      <c r="J19" s="608">
        <f>SUMPRODUCT($E$7:$I$7,$E19:$I19)</f>
        <v>2220800</v>
      </c>
    </row>
    <row r="20" spans="1:10" ht="12.5" customHeight="1" x14ac:dyDescent="0.25">
      <c r="A20" s="48">
        <v>18</v>
      </c>
      <c r="B20" s="1098" t="s">
        <v>197</v>
      </c>
      <c r="C20" s="1090" t="s">
        <v>164</v>
      </c>
      <c r="D20" s="1092"/>
      <c r="E20" s="153">
        <f>HLOOKUP(E$3,'RV 2017'!$B$3:$P$33,$A20,0)</f>
        <v>0.1</v>
      </c>
      <c r="F20" s="153">
        <f>HLOOKUP(F$3,'RV 2017'!$B$3:$P$33,$A20,0)</f>
        <v>0.1</v>
      </c>
      <c r="G20" s="153">
        <f>HLOOKUP(G$3,'RV 2017'!$B$3:$P$33,$A20,0)</f>
        <v>0.1</v>
      </c>
      <c r="H20" s="153">
        <f>HLOOKUP(H$3,'RV 2017'!$B$3:$P$33,$A20,0)</f>
        <v>0.1</v>
      </c>
      <c r="I20" s="153">
        <f>HLOOKUP(I$3,'RV 2017'!$B$3:$P$33,$A20,0)</f>
        <v>0.1</v>
      </c>
      <c r="J20" s="1034"/>
    </row>
    <row r="21" spans="1:10" ht="12.5" customHeight="1" x14ac:dyDescent="0.25">
      <c r="A21" s="48">
        <v>19</v>
      </c>
      <c r="B21" s="1099"/>
      <c r="C21" s="1090" t="s">
        <v>169</v>
      </c>
      <c r="D21" s="1091"/>
      <c r="E21" s="151">
        <f>HLOOKUP(E$3,'RV 2017'!$B$3:$P$33,$A21,0)</f>
        <v>22208000</v>
      </c>
      <c r="F21" s="151">
        <f>HLOOKUP(F$3,'RV 2017'!$B$3:$P$33,$A21,0)</f>
        <v>22208000</v>
      </c>
      <c r="G21" s="151">
        <f>HLOOKUP(G$3,'RV 2017'!$B$3:$P$33,$A21,0)</f>
        <v>22208000</v>
      </c>
      <c r="H21" s="151">
        <f>HLOOKUP(H$3,'RV 2017'!$B$3:$P$33,$A21,0)</f>
        <v>22208000</v>
      </c>
      <c r="I21" s="151">
        <f>HLOOKUP(I$3,'RV 2017'!$B$3:$P$33,$A21,0)</f>
        <v>22208000</v>
      </c>
      <c r="J21" s="1035"/>
    </row>
    <row r="22" spans="1:10" ht="12.5" customHeight="1" x14ac:dyDescent="0.25">
      <c r="A22" s="48">
        <v>20</v>
      </c>
      <c r="B22" s="1099"/>
      <c r="C22" s="1090" t="s">
        <v>170</v>
      </c>
      <c r="D22" s="1091"/>
      <c r="E22" s="151">
        <f>HLOOKUP(E$3,'RV 2017'!$B$3:$P$33,$A22,0)</f>
        <v>114509998</v>
      </c>
      <c r="F22" s="151">
        <f>HLOOKUP(F$3,'RV 2017'!$B$3:$P$33,$A22,0)</f>
        <v>114509998</v>
      </c>
      <c r="G22" s="151">
        <f>HLOOKUP(G$3,'RV 2017'!$B$3:$P$33,$A22,0)</f>
        <v>114509998</v>
      </c>
      <c r="H22" s="151">
        <f>HLOOKUP(H$3,'RV 2017'!$B$3:$P$33,$A22,0)</f>
        <v>114509998</v>
      </c>
      <c r="I22" s="151">
        <f>HLOOKUP(I$3,'RV 2017'!$B$3:$P$33,$A22,0)</f>
        <v>114509998</v>
      </c>
      <c r="J22" s="1035"/>
    </row>
    <row r="23" spans="1:10" ht="12.5" customHeight="1" x14ac:dyDescent="0.25">
      <c r="A23" s="48">
        <v>21</v>
      </c>
      <c r="B23" s="1099"/>
      <c r="C23" s="1090" t="s">
        <v>171</v>
      </c>
      <c r="D23" s="1091"/>
      <c r="E23" s="151">
        <f>HLOOKUP(E$3,'RV 2017'!$B$3:$P$33,$A23,0)</f>
        <v>7897241.2413793104</v>
      </c>
      <c r="F23" s="151">
        <f>HLOOKUP(F$3,'RV 2017'!$B$3:$P$33,$A23,0)</f>
        <v>15794482.482758621</v>
      </c>
      <c r="G23" s="151">
        <f>HLOOKUP(G$3,'RV 2017'!$B$3:$P$33,$A23,0)</f>
        <v>11845861.862068966</v>
      </c>
      <c r="H23" s="151">
        <f>HLOOKUP(H$3,'RV 2017'!$B$3:$P$33,$A23,0)</f>
        <v>0</v>
      </c>
      <c r="I23" s="151">
        <f>HLOOKUP(I$3,'RV 2017'!$B$3:$P$33,$A23,0)</f>
        <v>0</v>
      </c>
      <c r="J23" s="1036"/>
    </row>
    <row r="24" spans="1:10" x14ac:dyDescent="0.25">
      <c r="A24" s="48">
        <v>22</v>
      </c>
      <c r="B24" s="1100"/>
      <c r="C24" s="1090" t="s">
        <v>160</v>
      </c>
      <c r="D24" s="1091"/>
      <c r="E24" s="613">
        <f>HLOOKUP(E$3,'RV 2017'!$B$3:$P$33,$A24,0)</f>
        <v>789724.12413793104</v>
      </c>
      <c r="F24" s="613">
        <f>HLOOKUP(F$3,'RV 2017'!$B$3:$P$33,$A24,0)</f>
        <v>1579448.2482758621</v>
      </c>
      <c r="G24" s="613">
        <f>HLOOKUP(G$3,'RV 2017'!$B$3:$P$33,$A24,0)</f>
        <v>1184586.1862068966</v>
      </c>
      <c r="H24" s="613">
        <f>HLOOKUP(H$3,'RV 2017'!$B$3:$P$33,$A24,0)</f>
        <v>0</v>
      </c>
      <c r="I24" s="613">
        <f>HLOOKUP(I$3,'RV 2017'!$B$3:$P$33,$A24,0)</f>
        <v>0</v>
      </c>
      <c r="J24" s="608">
        <f t="shared" ref="J24:J25" si="0">SUMPRODUCT($E$7:$I$7,$E24:$I24)</f>
        <v>11450999.800000001</v>
      </c>
    </row>
    <row r="25" spans="1:10" x14ac:dyDescent="0.25">
      <c r="A25" s="48">
        <v>23</v>
      </c>
      <c r="B25" s="1093" t="s">
        <v>198</v>
      </c>
      <c r="C25" s="1094"/>
      <c r="D25" s="1095"/>
      <c r="E25" s="160">
        <f>HLOOKUP(E$3,'RV 2017'!$B$3:$P$33,$A25,0)</f>
        <v>3010524.124137931</v>
      </c>
      <c r="F25" s="160">
        <f>HLOOKUP(F$3,'RV 2017'!$B$3:$P$33,$A25,0)</f>
        <v>1579448.2482758621</v>
      </c>
      <c r="G25" s="160">
        <f>HLOOKUP(G$3,'RV 2017'!$B$3:$P$33,$A25,0)</f>
        <v>1184586.1862068966</v>
      </c>
      <c r="H25" s="160">
        <f>HLOOKUP(H$3,'RV 2017'!$B$3:$P$33,$A25,0)</f>
        <v>0</v>
      </c>
      <c r="I25" s="160">
        <f>HLOOKUP(I$3,'RV 2017'!$B$3:$P$33,$A25,0)</f>
        <v>0</v>
      </c>
      <c r="J25" s="152">
        <f t="shared" si="0"/>
        <v>13671799.800000001</v>
      </c>
    </row>
    <row r="26" spans="1:10" x14ac:dyDescent="0.25">
      <c r="A26" s="48">
        <v>24</v>
      </c>
      <c r="B26" s="1086" t="s">
        <v>172</v>
      </c>
      <c r="C26" s="1090" t="s">
        <v>164</v>
      </c>
      <c r="D26" s="1091"/>
      <c r="E26" s="155">
        <f>HLOOKUP(E$3,'RV 2017'!$B$3:$P$33,$A26,0)</f>
        <v>0.05</v>
      </c>
      <c r="F26" s="155">
        <f>HLOOKUP(F$3,'RV 2017'!$B$3:$P$33,$A26,0)</f>
        <v>0</v>
      </c>
      <c r="G26" s="155">
        <f>HLOOKUP(G$3,'RV 2017'!$B$3:$P$33,$A26,0)</f>
        <v>0</v>
      </c>
      <c r="H26" s="155">
        <f>HLOOKUP(H$3,'RV 2017'!$B$3:$P$33,$A26,0)</f>
        <v>1.4999999999999999E-2</v>
      </c>
      <c r="I26" s="186">
        <f>HLOOKUP(I$3,'RV 2017'!$B$3:$P$33,$A26,0)</f>
        <v>7.4999999999999997E-3</v>
      </c>
      <c r="J26" s="1034"/>
    </row>
    <row r="27" spans="1:10" ht="12.5" customHeight="1" x14ac:dyDescent="0.25">
      <c r="A27" s="48">
        <v>25</v>
      </c>
      <c r="B27" s="1087"/>
      <c r="C27" s="1090" t="s">
        <v>173</v>
      </c>
      <c r="D27" s="1091"/>
      <c r="E27" s="156">
        <f>HLOOKUP(E$3,'RV 2017'!$B$3:$P$33,$A27,0)</f>
        <v>136717998</v>
      </c>
      <c r="F27" s="156">
        <f>HLOOKUP(F$3,'RV 2017'!$B$3:$P$33,$A27,0)</f>
        <v>136717998</v>
      </c>
      <c r="G27" s="156">
        <f>HLOOKUP(G$3,'RV 2017'!$B$3:$P$33,$A27,0)</f>
        <v>136717998</v>
      </c>
      <c r="H27" s="156">
        <f>HLOOKUP(H$3,'RV 2017'!$B$3:$P$33,$A27,0)</f>
        <v>136717998</v>
      </c>
      <c r="I27" s="156">
        <f>HLOOKUP(I$3,'RV 2017'!$B$3:$P$33,$A27,0)</f>
        <v>136717998</v>
      </c>
      <c r="J27" s="1036"/>
    </row>
    <row r="28" spans="1:10" ht="12.5" customHeight="1" x14ac:dyDescent="0.25">
      <c r="A28" s="48">
        <v>26</v>
      </c>
      <c r="B28" s="1088"/>
      <c r="C28" s="1090" t="s">
        <v>160</v>
      </c>
      <c r="D28" s="1091"/>
      <c r="E28" s="614">
        <f>HLOOKUP(E$3,'RV 2017'!$B$3:$P$33,$A28,0)</f>
        <v>6835899.9000000004</v>
      </c>
      <c r="F28" s="614">
        <f>HLOOKUP(F$3,'RV 2017'!$B$3:$P$33,$A28,0)</f>
        <v>0</v>
      </c>
      <c r="G28" s="614">
        <f>HLOOKUP(G$3,'RV 2017'!$B$3:$P$33,$A28,0)</f>
        <v>0</v>
      </c>
      <c r="H28" s="614">
        <f>HLOOKUP(H$3,'RV 2017'!$B$3:$P$33,$A28,0)</f>
        <v>2050769.97</v>
      </c>
      <c r="I28" s="614">
        <f>HLOOKUP(I$3,'RV 2017'!$B$3:$P$33,$A28,0)</f>
        <v>1025384.985</v>
      </c>
      <c r="J28" s="608">
        <f t="shared" ref="J28:J29" si="1">SUMPRODUCT($E$7:$I$7,$E28:$I28)</f>
        <v>9912054.8550000004</v>
      </c>
    </row>
    <row r="29" spans="1:10" x14ac:dyDescent="0.25">
      <c r="A29" s="48">
        <v>27</v>
      </c>
      <c r="B29" s="1082" t="s">
        <v>161</v>
      </c>
      <c r="C29" s="1101"/>
      <c r="D29" s="1102"/>
      <c r="E29" s="160">
        <f>HLOOKUP(E$3,'RV 2017'!$B$3:$P$33,$A29,0)</f>
        <v>10789307.024137931</v>
      </c>
      <c r="F29" s="160">
        <f>HLOOKUP(F$3,'RV 2017'!$B$3:$P$33,$A29,0)</f>
        <v>3962979.2482758621</v>
      </c>
      <c r="G29" s="160">
        <f>HLOOKUP(G$3,'RV 2017'!$B$3:$P$33,$A29,0)</f>
        <v>2625234.1862068968</v>
      </c>
      <c r="H29" s="160">
        <f>HLOOKUP(H$3,'RV 2017'!$B$3:$P$33,$A29,0)</f>
        <v>2050769.97</v>
      </c>
      <c r="I29" s="160">
        <f>HLOOKUP(I$3,'RV 2017'!$B$3:$P$33,$A29,0)</f>
        <v>1025384.985</v>
      </c>
      <c r="J29" s="152">
        <f t="shared" si="1"/>
        <v>38880570.655000001</v>
      </c>
    </row>
    <row r="30" spans="1:10" ht="12.5" customHeight="1" x14ac:dyDescent="0.25">
      <c r="A30" s="48">
        <v>28</v>
      </c>
      <c r="B30" s="1103" t="s">
        <v>205</v>
      </c>
      <c r="C30" s="1090" t="s">
        <v>237</v>
      </c>
      <c r="D30" s="1091"/>
      <c r="E30" s="158">
        <f>HLOOKUP(E$3,'RV 2017'!$B$3:$P$33,$A30,0)</f>
        <v>0.17666666666666667</v>
      </c>
      <c r="F30" s="158">
        <f>HLOOKUP(F$3,'RV 2017'!$B$3:$P$33,$A30,0)</f>
        <v>0.17666666666666667</v>
      </c>
      <c r="G30" s="158">
        <f>HLOOKUP(G$3,'RV 2017'!$B$3:$P$33,$A30,0)</f>
        <v>0.17666666666666667</v>
      </c>
      <c r="H30" s="158">
        <f>HLOOKUP(H$3,'RV 2017'!$B$3:$P$33,$A30,0)</f>
        <v>0.17666666666666667</v>
      </c>
      <c r="I30" s="158">
        <f>HLOOKUP(I$3,'RV 2017'!$B$3:$P$33,$A30,0)</f>
        <v>0.17666666666666667</v>
      </c>
      <c r="J30" s="152"/>
    </row>
    <row r="31" spans="1:10" ht="12.5" customHeight="1" x14ac:dyDescent="0.25">
      <c r="A31" s="48">
        <v>29</v>
      </c>
      <c r="B31" s="1104"/>
      <c r="C31" s="1090" t="s">
        <v>238</v>
      </c>
      <c r="D31" s="1091"/>
      <c r="E31" s="158">
        <f>HLOOKUP(E$3,'RV 2017'!$B$3:$P$33,$A31,0)</f>
        <v>0</v>
      </c>
      <c r="F31" s="158">
        <f>HLOOKUP(F$3,'RV 2017'!$B$3:$P$33,$A31,0)</f>
        <v>0</v>
      </c>
      <c r="G31" s="158">
        <f>HLOOKUP(G$3,'RV 2017'!$B$3:$P$33,$A31,0)</f>
        <v>0.21500000000000002</v>
      </c>
      <c r="H31" s="158">
        <f>HLOOKUP(H$3,'RV 2017'!$B$3:$P$33,$A31,0)</f>
        <v>0</v>
      </c>
      <c r="I31" s="158">
        <f>HLOOKUP(I$3,'RV 2017'!$B$3:$P$33,$A31,0)</f>
        <v>0</v>
      </c>
      <c r="J31" s="152"/>
    </row>
    <row r="32" spans="1:10" ht="12.5" customHeight="1" x14ac:dyDescent="0.25">
      <c r="A32" s="48">
        <v>30</v>
      </c>
      <c r="B32" s="1105"/>
      <c r="C32" s="1090" t="s">
        <v>239</v>
      </c>
      <c r="D32" s="1091"/>
      <c r="E32" s="158">
        <f>HLOOKUP(E$3,'RV 2017'!$B$3:$P$33,$A32,0)</f>
        <v>0.17666666666666667</v>
      </c>
      <c r="F32" s="158">
        <f>HLOOKUP(F$3,'RV 2017'!$B$3:$P$33,$A32,0)</f>
        <v>0.17666666666666667</v>
      </c>
      <c r="G32" s="158">
        <f>HLOOKUP(G$3,'RV 2017'!$B$3:$P$33,$A32,0)</f>
        <v>0.39166666666666672</v>
      </c>
      <c r="H32" s="158">
        <f>HLOOKUP(H$3,'RV 2017'!$B$3:$P$33,$A32,0)</f>
        <v>0.17666666666666667</v>
      </c>
      <c r="I32" s="158">
        <f>HLOOKUP(I$3,'RV 2017'!$B$3:$P$33,$A32,0)</f>
        <v>0.17666666666666667</v>
      </c>
      <c r="J32" s="149"/>
    </row>
    <row r="33" spans="1:10" ht="13" thickBot="1" x14ac:dyDescent="0.3">
      <c r="A33" s="48">
        <v>31</v>
      </c>
      <c r="B33" s="1106" t="s">
        <v>174</v>
      </c>
      <c r="C33" s="1107"/>
      <c r="D33" s="1108"/>
      <c r="E33" s="162">
        <f>HLOOKUP(E$3,'RV 2017'!$B$3:$P$33,$A33,0)</f>
        <v>12695417.9</v>
      </c>
      <c r="F33" s="162">
        <f>HLOOKUP(F$3,'RV 2017'!$B$3:$P$33,$A33,0)</f>
        <v>4663105.5999999996</v>
      </c>
      <c r="G33" s="162">
        <f>HLOOKUP(G$3,'RV 2017'!$B$3:$P$33,$A33,0)</f>
        <v>3653450.9</v>
      </c>
      <c r="H33" s="162">
        <f>HLOOKUP(H$3,'RV 2017'!$B$3:$P$33,$A33,0)</f>
        <v>2413072.7000000002</v>
      </c>
      <c r="I33" s="162">
        <f>HLOOKUP(I$3,'RV 2017'!$B$3:$P$33,$A33,0)</f>
        <v>1206536.3</v>
      </c>
      <c r="J33" s="159">
        <f>SUMPRODUCT($E$7:$I$7,$E33:$I33)</f>
        <v>48571598.200000003</v>
      </c>
    </row>
    <row r="34" spans="1:10" x14ac:dyDescent="0.25">
      <c r="J34" s="606">
        <f>J33-'RV 2017'!P33</f>
        <v>0</v>
      </c>
    </row>
  </sheetData>
  <mergeCells count="36">
    <mergeCell ref="B30:B32"/>
    <mergeCell ref="C30:D30"/>
    <mergeCell ref="C31:D31"/>
    <mergeCell ref="C32:D32"/>
    <mergeCell ref="B33:D33"/>
    <mergeCell ref="B29:D29"/>
    <mergeCell ref="J20:J23"/>
    <mergeCell ref="C21:D21"/>
    <mergeCell ref="C22:D22"/>
    <mergeCell ref="C23:D23"/>
    <mergeCell ref="C24:D24"/>
    <mergeCell ref="B25:D25"/>
    <mergeCell ref="B26:B28"/>
    <mergeCell ref="C26:D26"/>
    <mergeCell ref="J26:J27"/>
    <mergeCell ref="C27:D27"/>
    <mergeCell ref="C28:D28"/>
    <mergeCell ref="B17:D17"/>
    <mergeCell ref="B18:B19"/>
    <mergeCell ref="C18:D18"/>
    <mergeCell ref="C19:D19"/>
    <mergeCell ref="B20:B24"/>
    <mergeCell ref="C20:D20"/>
    <mergeCell ref="B11:B14"/>
    <mergeCell ref="J11:J13"/>
    <mergeCell ref="C12:C13"/>
    <mergeCell ref="C14:D14"/>
    <mergeCell ref="B15:B16"/>
    <mergeCell ref="C15:D15"/>
    <mergeCell ref="C16:D16"/>
    <mergeCell ref="B10:D10"/>
    <mergeCell ref="B4:J4"/>
    <mergeCell ref="B6:D6"/>
    <mergeCell ref="B7:D7"/>
    <mergeCell ref="B8:D8"/>
    <mergeCell ref="B9:D9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3:I27"/>
  <sheetViews>
    <sheetView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20.6328125" style="47" customWidth="1"/>
    <col min="3" max="3" width="10.90625" style="47" customWidth="1"/>
    <col min="4" max="4" width="20.36328125" style="47" bestFit="1" customWidth="1"/>
    <col min="5" max="5" width="8.1796875" style="47" customWidth="1"/>
    <col min="6" max="6" width="8.08984375" style="47" customWidth="1"/>
    <col min="7" max="7" width="7.6328125" style="47" customWidth="1"/>
    <col min="8" max="8" width="8.08984375" style="48" bestFit="1" customWidth="1"/>
    <col min="9" max="250" width="11.453125" style="48"/>
    <col min="251" max="251" width="10" style="48" customWidth="1"/>
    <col min="252" max="252" width="50.54296875" style="48" customWidth="1"/>
    <col min="253" max="506" width="11.453125" style="48"/>
    <col min="507" max="507" width="10" style="48" customWidth="1"/>
    <col min="508" max="508" width="50.54296875" style="48" customWidth="1"/>
    <col min="509" max="762" width="11.453125" style="48"/>
    <col min="763" max="763" width="10" style="48" customWidth="1"/>
    <col min="764" max="764" width="50.54296875" style="48" customWidth="1"/>
    <col min="765" max="1018" width="11.453125" style="48"/>
    <col min="1019" max="1019" width="10" style="48" customWidth="1"/>
    <col min="1020" max="1020" width="50.54296875" style="48" customWidth="1"/>
    <col min="1021" max="1274" width="11.453125" style="48"/>
    <col min="1275" max="1275" width="10" style="48" customWidth="1"/>
    <col min="1276" max="1276" width="50.54296875" style="48" customWidth="1"/>
    <col min="1277" max="1530" width="11.453125" style="48"/>
    <col min="1531" max="1531" width="10" style="48" customWidth="1"/>
    <col min="1532" max="1532" width="50.54296875" style="48" customWidth="1"/>
    <col min="1533" max="1786" width="11.453125" style="48"/>
    <col min="1787" max="1787" width="10" style="48" customWidth="1"/>
    <col min="1788" max="1788" width="50.54296875" style="48" customWidth="1"/>
    <col min="1789" max="2042" width="11.453125" style="48"/>
    <col min="2043" max="2043" width="10" style="48" customWidth="1"/>
    <col min="2044" max="2044" width="50.54296875" style="48" customWidth="1"/>
    <col min="2045" max="2298" width="11.453125" style="48"/>
    <col min="2299" max="2299" width="10" style="48" customWidth="1"/>
    <col min="2300" max="2300" width="50.54296875" style="48" customWidth="1"/>
    <col min="2301" max="2554" width="11.453125" style="48"/>
    <col min="2555" max="2555" width="10" style="48" customWidth="1"/>
    <col min="2556" max="2556" width="50.54296875" style="48" customWidth="1"/>
    <col min="2557" max="2810" width="11.453125" style="48"/>
    <col min="2811" max="2811" width="10" style="48" customWidth="1"/>
    <col min="2812" max="2812" width="50.54296875" style="48" customWidth="1"/>
    <col min="2813" max="3066" width="11.453125" style="48"/>
    <col min="3067" max="3067" width="10" style="48" customWidth="1"/>
    <col min="3068" max="3068" width="50.54296875" style="48" customWidth="1"/>
    <col min="3069" max="3322" width="11.453125" style="48"/>
    <col min="3323" max="3323" width="10" style="48" customWidth="1"/>
    <col min="3324" max="3324" width="50.54296875" style="48" customWidth="1"/>
    <col min="3325" max="3578" width="11.453125" style="48"/>
    <col min="3579" max="3579" width="10" style="48" customWidth="1"/>
    <col min="3580" max="3580" width="50.54296875" style="48" customWidth="1"/>
    <col min="3581" max="3834" width="11.453125" style="48"/>
    <col min="3835" max="3835" width="10" style="48" customWidth="1"/>
    <col min="3836" max="3836" width="50.54296875" style="48" customWidth="1"/>
    <col min="3837" max="4090" width="11.453125" style="48"/>
    <col min="4091" max="4091" width="10" style="48" customWidth="1"/>
    <col min="4092" max="4092" width="50.54296875" style="48" customWidth="1"/>
    <col min="4093" max="4346" width="11.453125" style="48"/>
    <col min="4347" max="4347" width="10" style="48" customWidth="1"/>
    <col min="4348" max="4348" width="50.54296875" style="48" customWidth="1"/>
    <col min="4349" max="4602" width="11.453125" style="48"/>
    <col min="4603" max="4603" width="10" style="48" customWidth="1"/>
    <col min="4604" max="4604" width="50.54296875" style="48" customWidth="1"/>
    <col min="4605" max="4858" width="11.453125" style="48"/>
    <col min="4859" max="4859" width="10" style="48" customWidth="1"/>
    <col min="4860" max="4860" width="50.54296875" style="48" customWidth="1"/>
    <col min="4861" max="5114" width="11.453125" style="48"/>
    <col min="5115" max="5115" width="10" style="48" customWidth="1"/>
    <col min="5116" max="5116" width="50.54296875" style="48" customWidth="1"/>
    <col min="5117" max="5370" width="11.453125" style="48"/>
    <col min="5371" max="5371" width="10" style="48" customWidth="1"/>
    <col min="5372" max="5372" width="50.54296875" style="48" customWidth="1"/>
    <col min="5373" max="5626" width="11.453125" style="48"/>
    <col min="5627" max="5627" width="10" style="48" customWidth="1"/>
    <col min="5628" max="5628" width="50.54296875" style="48" customWidth="1"/>
    <col min="5629" max="5882" width="11.453125" style="48"/>
    <col min="5883" max="5883" width="10" style="48" customWidth="1"/>
    <col min="5884" max="5884" width="50.54296875" style="48" customWidth="1"/>
    <col min="5885" max="6138" width="11.453125" style="48"/>
    <col min="6139" max="6139" width="10" style="48" customWidth="1"/>
    <col min="6140" max="6140" width="50.54296875" style="48" customWidth="1"/>
    <col min="6141" max="6394" width="11.453125" style="48"/>
    <col min="6395" max="6395" width="10" style="48" customWidth="1"/>
    <col min="6396" max="6396" width="50.54296875" style="48" customWidth="1"/>
    <col min="6397" max="6650" width="11.453125" style="48"/>
    <col min="6651" max="6651" width="10" style="48" customWidth="1"/>
    <col min="6652" max="6652" width="50.54296875" style="48" customWidth="1"/>
    <col min="6653" max="6906" width="11.453125" style="48"/>
    <col min="6907" max="6907" width="10" style="48" customWidth="1"/>
    <col min="6908" max="6908" width="50.54296875" style="48" customWidth="1"/>
    <col min="6909" max="7162" width="11.453125" style="48"/>
    <col min="7163" max="7163" width="10" style="48" customWidth="1"/>
    <col min="7164" max="7164" width="50.54296875" style="48" customWidth="1"/>
    <col min="7165" max="7418" width="11.453125" style="48"/>
    <col min="7419" max="7419" width="10" style="48" customWidth="1"/>
    <col min="7420" max="7420" width="50.54296875" style="48" customWidth="1"/>
    <col min="7421" max="7674" width="11.453125" style="48"/>
    <col min="7675" max="7675" width="10" style="48" customWidth="1"/>
    <col min="7676" max="7676" width="50.54296875" style="48" customWidth="1"/>
    <col min="7677" max="7930" width="11.453125" style="48"/>
    <col min="7931" max="7931" width="10" style="48" customWidth="1"/>
    <col min="7932" max="7932" width="50.54296875" style="48" customWidth="1"/>
    <col min="7933" max="8186" width="11.453125" style="48"/>
    <col min="8187" max="8187" width="10" style="48" customWidth="1"/>
    <col min="8188" max="8188" width="50.54296875" style="48" customWidth="1"/>
    <col min="8189" max="8442" width="11.453125" style="48"/>
    <col min="8443" max="8443" width="10" style="48" customWidth="1"/>
    <col min="8444" max="8444" width="50.54296875" style="48" customWidth="1"/>
    <col min="8445" max="8698" width="11.453125" style="48"/>
    <col min="8699" max="8699" width="10" style="48" customWidth="1"/>
    <col min="8700" max="8700" width="50.54296875" style="48" customWidth="1"/>
    <col min="8701" max="8954" width="11.453125" style="48"/>
    <col min="8955" max="8955" width="10" style="48" customWidth="1"/>
    <col min="8956" max="8956" width="50.54296875" style="48" customWidth="1"/>
    <col min="8957" max="9210" width="11.453125" style="48"/>
    <col min="9211" max="9211" width="10" style="48" customWidth="1"/>
    <col min="9212" max="9212" width="50.54296875" style="48" customWidth="1"/>
    <col min="9213" max="9466" width="11.453125" style="48"/>
    <col min="9467" max="9467" width="10" style="48" customWidth="1"/>
    <col min="9468" max="9468" width="50.54296875" style="48" customWidth="1"/>
    <col min="9469" max="9722" width="11.453125" style="48"/>
    <col min="9723" max="9723" width="10" style="48" customWidth="1"/>
    <col min="9724" max="9724" width="50.54296875" style="48" customWidth="1"/>
    <col min="9725" max="9978" width="11.453125" style="48"/>
    <col min="9979" max="9979" width="10" style="48" customWidth="1"/>
    <col min="9980" max="9980" width="50.54296875" style="48" customWidth="1"/>
    <col min="9981" max="10234" width="11.453125" style="48"/>
    <col min="10235" max="10235" width="10" style="48" customWidth="1"/>
    <col min="10236" max="10236" width="50.54296875" style="48" customWidth="1"/>
    <col min="10237" max="10490" width="11.453125" style="48"/>
    <col min="10491" max="10491" width="10" style="48" customWidth="1"/>
    <col min="10492" max="10492" width="50.54296875" style="48" customWidth="1"/>
    <col min="10493" max="10746" width="11.453125" style="48"/>
    <col min="10747" max="10747" width="10" style="48" customWidth="1"/>
    <col min="10748" max="10748" width="50.54296875" style="48" customWidth="1"/>
    <col min="10749" max="11002" width="11.453125" style="48"/>
    <col min="11003" max="11003" width="10" style="48" customWidth="1"/>
    <col min="11004" max="11004" width="50.54296875" style="48" customWidth="1"/>
    <col min="11005" max="11258" width="11.453125" style="48"/>
    <col min="11259" max="11259" width="10" style="48" customWidth="1"/>
    <col min="11260" max="11260" width="50.54296875" style="48" customWidth="1"/>
    <col min="11261" max="11514" width="11.453125" style="48"/>
    <col min="11515" max="11515" width="10" style="48" customWidth="1"/>
    <col min="11516" max="11516" width="50.54296875" style="48" customWidth="1"/>
    <col min="11517" max="11770" width="11.453125" style="48"/>
    <col min="11771" max="11771" width="10" style="48" customWidth="1"/>
    <col min="11772" max="11772" width="50.54296875" style="48" customWidth="1"/>
    <col min="11773" max="12026" width="11.453125" style="48"/>
    <col min="12027" max="12027" width="10" style="48" customWidth="1"/>
    <col min="12028" max="12028" width="50.54296875" style="48" customWidth="1"/>
    <col min="12029" max="12282" width="11.453125" style="48"/>
    <col min="12283" max="12283" width="10" style="48" customWidth="1"/>
    <col min="12284" max="12284" width="50.54296875" style="48" customWidth="1"/>
    <col min="12285" max="12538" width="11.453125" style="48"/>
    <col min="12539" max="12539" width="10" style="48" customWidth="1"/>
    <col min="12540" max="12540" width="50.54296875" style="48" customWidth="1"/>
    <col min="12541" max="12794" width="11.453125" style="48"/>
    <col min="12795" max="12795" width="10" style="48" customWidth="1"/>
    <col min="12796" max="12796" width="50.54296875" style="48" customWidth="1"/>
    <col min="12797" max="13050" width="11.453125" style="48"/>
    <col min="13051" max="13051" width="10" style="48" customWidth="1"/>
    <col min="13052" max="13052" width="50.54296875" style="48" customWidth="1"/>
    <col min="13053" max="13306" width="11.453125" style="48"/>
    <col min="13307" max="13307" width="10" style="48" customWidth="1"/>
    <col min="13308" max="13308" width="50.54296875" style="48" customWidth="1"/>
    <col min="13309" max="13562" width="11.453125" style="48"/>
    <col min="13563" max="13563" width="10" style="48" customWidth="1"/>
    <col min="13564" max="13564" width="50.54296875" style="48" customWidth="1"/>
    <col min="13565" max="13818" width="11.453125" style="48"/>
    <col min="13819" max="13819" width="10" style="48" customWidth="1"/>
    <col min="13820" max="13820" width="50.54296875" style="48" customWidth="1"/>
    <col min="13821" max="14074" width="11.453125" style="48"/>
    <col min="14075" max="14075" width="10" style="48" customWidth="1"/>
    <col min="14076" max="14076" width="50.54296875" style="48" customWidth="1"/>
    <col min="14077" max="14330" width="11.453125" style="48"/>
    <col min="14331" max="14331" width="10" style="48" customWidth="1"/>
    <col min="14332" max="14332" width="50.54296875" style="48" customWidth="1"/>
    <col min="14333" max="14586" width="11.453125" style="48"/>
    <col min="14587" max="14587" width="10" style="48" customWidth="1"/>
    <col min="14588" max="14588" width="50.54296875" style="48" customWidth="1"/>
    <col min="14589" max="14842" width="11.453125" style="48"/>
    <col min="14843" max="14843" width="10" style="48" customWidth="1"/>
    <col min="14844" max="14844" width="50.54296875" style="48" customWidth="1"/>
    <col min="14845" max="15098" width="11.453125" style="48"/>
    <col min="15099" max="15099" width="10" style="48" customWidth="1"/>
    <col min="15100" max="15100" width="50.54296875" style="48" customWidth="1"/>
    <col min="15101" max="15354" width="11.453125" style="48"/>
    <col min="15355" max="15355" width="10" style="48" customWidth="1"/>
    <col min="15356" max="15356" width="50.54296875" style="48" customWidth="1"/>
    <col min="15357" max="15610" width="11.453125" style="48"/>
    <col min="15611" max="15611" width="10" style="48" customWidth="1"/>
    <col min="15612" max="15612" width="50.54296875" style="48" customWidth="1"/>
    <col min="15613" max="15866" width="11.453125" style="48"/>
    <col min="15867" max="15867" width="10" style="48" customWidth="1"/>
    <col min="15868" max="15868" width="50.54296875" style="48" customWidth="1"/>
    <col min="15869" max="16122" width="11.453125" style="48"/>
    <col min="16123" max="16123" width="10" style="48" customWidth="1"/>
    <col min="16124" max="16124" width="50.54296875" style="48" customWidth="1"/>
    <col min="16125" max="16384" width="11.453125" style="48"/>
  </cols>
  <sheetData>
    <row r="3" spans="1:9" s="50" customFormat="1" ht="13.5" thickBot="1" x14ac:dyDescent="0.35">
      <c r="B3" s="1001"/>
      <c r="C3" s="1001"/>
      <c r="D3" s="1001"/>
    </row>
    <row r="4" spans="1:9" s="50" customFormat="1" ht="18.5" thickBot="1" x14ac:dyDescent="0.45">
      <c r="B4" s="979" t="str">
        <f>"Horas de Trabajo Mensuales por Consultor Año "&amp;I4</f>
        <v>Horas de Trabajo Mensuales por Consultor Año 2018</v>
      </c>
      <c r="C4" s="980"/>
      <c r="D4" s="980"/>
      <c r="E4" s="980"/>
      <c r="F4" s="980"/>
      <c r="G4" s="980"/>
      <c r="H4" s="981"/>
      <c r="I4" s="50">
        <v>2018</v>
      </c>
    </row>
    <row r="5" spans="1:9" s="50" customFormat="1" ht="13.25" customHeight="1" thickBot="1" x14ac:dyDescent="0.35"/>
    <row r="6" spans="1:9" s="45" customFormat="1" ht="12" customHeight="1" x14ac:dyDescent="0.3">
      <c r="B6" s="1057" t="s">
        <v>89</v>
      </c>
      <c r="C6" s="1059" t="s">
        <v>94</v>
      </c>
      <c r="D6" s="1062" t="s">
        <v>110</v>
      </c>
      <c r="E6" s="1064" t="s">
        <v>112</v>
      </c>
      <c r="F6" s="999"/>
      <c r="G6" s="999"/>
      <c r="H6" s="1065"/>
    </row>
    <row r="7" spans="1:9" s="45" customFormat="1" ht="3" customHeight="1" x14ac:dyDescent="0.3">
      <c r="B7" s="1058"/>
      <c r="C7" s="1060"/>
      <c r="D7" s="1063"/>
      <c r="E7" s="1066"/>
      <c r="F7" s="1067"/>
      <c r="G7" s="1067"/>
      <c r="H7" s="1068"/>
    </row>
    <row r="8" spans="1:9" s="45" customFormat="1" ht="13" x14ac:dyDescent="0.3">
      <c r="B8" s="136"/>
      <c r="C8" s="1061"/>
      <c r="D8" s="134"/>
      <c r="E8" s="121" t="s">
        <v>106</v>
      </c>
      <c r="F8" s="121" t="s">
        <v>107</v>
      </c>
      <c r="G8" s="121" t="s">
        <v>108</v>
      </c>
      <c r="H8" s="133" t="s">
        <v>147</v>
      </c>
    </row>
    <row r="9" spans="1:9" s="46" customFormat="1" x14ac:dyDescent="0.35">
      <c r="A9" s="46">
        <v>1</v>
      </c>
      <c r="B9" s="52" t="s">
        <v>93</v>
      </c>
      <c r="C9" s="53">
        <v>10</v>
      </c>
      <c r="D9" s="53" t="s">
        <v>91</v>
      </c>
      <c r="E9" s="53">
        <v>0</v>
      </c>
      <c r="F9" s="53">
        <v>20</v>
      </c>
      <c r="G9" s="53">
        <f>ROUND(IF($G$26*(F9/($F$9+$F$10+$F$13+$F$17))&gt;F9,F9,$G$26*(F9/($F$9+$F$10+$F$13+$F$17))),0)</f>
        <v>20</v>
      </c>
      <c r="H9" s="138">
        <f>IF(D9="Laboral",100%,G9/F9)</f>
        <v>1</v>
      </c>
    </row>
    <row r="10" spans="1:9" s="46" customFormat="1" x14ac:dyDescent="0.35">
      <c r="A10" s="46">
        <v>2</v>
      </c>
      <c r="B10" s="52" t="s">
        <v>90</v>
      </c>
      <c r="C10" s="53">
        <v>2</v>
      </c>
      <c r="D10" s="53" t="s">
        <v>91</v>
      </c>
      <c r="E10" s="53">
        <v>20</v>
      </c>
      <c r="F10" s="53">
        <v>40</v>
      </c>
      <c r="G10" s="53">
        <f t="shared" ref="G10" si="0">ROUND(IF($G$26*(F10/($F$9+$F$10+$F$13+$F$17))&gt;F10,F10,$G$26*(F10/($F$9+$F$10+$F$13+$F$17))),0)</f>
        <v>40</v>
      </c>
      <c r="H10" s="138">
        <f t="shared" ref="H10:H17" si="1">IF(D10="Laboral",100%,G10/F10)</f>
        <v>1</v>
      </c>
    </row>
    <row r="11" spans="1:9" s="46" customFormat="1" x14ac:dyDescent="0.35">
      <c r="A11" s="46">
        <v>3</v>
      </c>
      <c r="B11" s="52" t="s">
        <v>90</v>
      </c>
      <c r="C11" s="53">
        <v>2</v>
      </c>
      <c r="D11" s="53" t="s">
        <v>145</v>
      </c>
      <c r="E11" s="53">
        <v>10</v>
      </c>
      <c r="F11" s="53">
        <v>40</v>
      </c>
      <c r="G11" s="57">
        <f>ROUND(IF(($G$26-($G$9+$G$10+$G$13+$G$17))*(F11/($F$11+$F$12+$F$14+$F$15+$F$16))&gt;F11,F11,($G$26-($G$9+$G$10+$G$13+$G$17))*(F11/($F$11+$F$12+$F$14+$F$15+$F$16))),0)</f>
        <v>36</v>
      </c>
      <c r="H11" s="138">
        <f t="shared" si="1"/>
        <v>0.9</v>
      </c>
    </row>
    <row r="12" spans="1:9" s="46" customFormat="1" x14ac:dyDescent="0.35">
      <c r="A12" s="46">
        <v>4</v>
      </c>
      <c r="B12" s="52" t="s">
        <v>90</v>
      </c>
      <c r="C12" s="53">
        <v>3</v>
      </c>
      <c r="D12" s="53" t="s">
        <v>145</v>
      </c>
      <c r="E12" s="53">
        <v>10</v>
      </c>
      <c r="F12" s="53">
        <v>40</v>
      </c>
      <c r="G12" s="57">
        <f t="shared" ref="G12" si="2">ROUND(IF(($G$26-($G$9+$G$10+$G$13+$G$17))*(F12/($F$11+$F$12+$F$14+$F$15+$F$16))&gt;F12,F12,($G$26-($G$9+$G$10+$G$13+$G$17))*(F12/($F$11+$F$12+$F$14+$F$15+$F$16))),0)</f>
        <v>36</v>
      </c>
      <c r="H12" s="138">
        <f t="shared" si="1"/>
        <v>0.9</v>
      </c>
    </row>
    <row r="13" spans="1:9" s="46" customFormat="1" x14ac:dyDescent="0.35">
      <c r="A13" s="46">
        <v>5</v>
      </c>
      <c r="B13" s="52" t="s">
        <v>90</v>
      </c>
      <c r="C13" s="53">
        <v>5</v>
      </c>
      <c r="D13" s="53" t="s">
        <v>91</v>
      </c>
      <c r="E13" s="53">
        <v>20</v>
      </c>
      <c r="F13" s="53">
        <v>40</v>
      </c>
      <c r="G13" s="53">
        <f>ROUND(IF($G$26*(F13/($F$9+$F$10+$F$13+$F$17))&gt;F13,F13,$G$26*(F13/($F$9+$F$10+$F$13+$F$17))),0)</f>
        <v>40</v>
      </c>
      <c r="H13" s="138">
        <f t="shared" si="1"/>
        <v>1</v>
      </c>
    </row>
    <row r="14" spans="1:9" s="46" customFormat="1" x14ac:dyDescent="0.35">
      <c r="A14" s="46">
        <v>6</v>
      </c>
      <c r="B14" s="52" t="s">
        <v>90</v>
      </c>
      <c r="C14" s="53">
        <v>2</v>
      </c>
      <c r="D14" s="53" t="s">
        <v>145</v>
      </c>
      <c r="E14" s="53">
        <v>10</v>
      </c>
      <c r="F14" s="53">
        <v>40</v>
      </c>
      <c r="G14" s="57">
        <f t="shared" ref="G14:G16" si="3">ROUND(IF(($G$26-($G$9+$G$10+$G$13+$G$17))*(F14/($F$11+$F$12+$F$14+$F$15+$F$16))&gt;F14,F14,($G$26-($G$9+$G$10+$G$13+$G$17))*(F14/($F$11+$F$12+$F$14+$F$15+$F$16))),0)</f>
        <v>36</v>
      </c>
      <c r="H14" s="138">
        <f t="shared" si="1"/>
        <v>0.9</v>
      </c>
    </row>
    <row r="15" spans="1:9" s="46" customFormat="1" x14ac:dyDescent="0.35">
      <c r="A15" s="46">
        <v>7</v>
      </c>
      <c r="B15" s="52" t="s">
        <v>90</v>
      </c>
      <c r="C15" s="53">
        <v>2</v>
      </c>
      <c r="D15" s="53" t="s">
        <v>145</v>
      </c>
      <c r="E15" s="53">
        <v>10</v>
      </c>
      <c r="F15" s="53">
        <v>40</v>
      </c>
      <c r="G15" s="57">
        <f t="shared" si="3"/>
        <v>36</v>
      </c>
      <c r="H15" s="138">
        <f t="shared" si="1"/>
        <v>0.9</v>
      </c>
    </row>
    <row r="16" spans="1:9" s="46" customFormat="1" x14ac:dyDescent="0.35">
      <c r="A16" s="46">
        <v>8</v>
      </c>
      <c r="B16" s="52" t="s">
        <v>90</v>
      </c>
      <c r="C16" s="53">
        <v>7</v>
      </c>
      <c r="D16" s="53" t="s">
        <v>145</v>
      </c>
      <c r="E16" s="53">
        <v>10</v>
      </c>
      <c r="F16" s="53">
        <v>40</v>
      </c>
      <c r="G16" s="57">
        <f t="shared" si="3"/>
        <v>36</v>
      </c>
      <c r="H16" s="138">
        <f t="shared" si="1"/>
        <v>0.9</v>
      </c>
    </row>
    <row r="17" spans="1:8" s="46" customFormat="1" x14ac:dyDescent="0.35">
      <c r="A17" s="46">
        <v>9</v>
      </c>
      <c r="B17" s="52" t="s">
        <v>90</v>
      </c>
      <c r="C17" s="53">
        <v>2</v>
      </c>
      <c r="D17" s="53" t="s">
        <v>91</v>
      </c>
      <c r="E17" s="53">
        <v>20</v>
      </c>
      <c r="F17" s="53">
        <v>40</v>
      </c>
      <c r="G17" s="53">
        <f>ROUND(IF($G$26*(F17/($F$9+$F$10+$F$13+$F$17))&gt;F17,F17,$G$26*(F17/($F$9+$F$10+$F$13+$F$17))),0)</f>
        <v>40</v>
      </c>
      <c r="H17" s="138">
        <f t="shared" si="1"/>
        <v>1</v>
      </c>
    </row>
    <row r="18" spans="1:8" s="46" customFormat="1" x14ac:dyDescent="0.35">
      <c r="B18" s="122"/>
      <c r="C18" s="123"/>
      <c r="D18" s="123"/>
      <c r="E18" s="123"/>
      <c r="F18" s="123"/>
      <c r="G18" s="123"/>
      <c r="H18" s="141"/>
    </row>
    <row r="19" spans="1:8" s="46" customFormat="1" ht="13" x14ac:dyDescent="0.35">
      <c r="B19" s="73" t="s">
        <v>103</v>
      </c>
      <c r="C19" s="65"/>
      <c r="D19" s="65"/>
      <c r="E19" s="65"/>
      <c r="F19" s="66"/>
      <c r="G19" s="74">
        <f>SUM(G9:G17)</f>
        <v>320</v>
      </c>
      <c r="H19" s="139"/>
    </row>
    <row r="20" spans="1:8" s="46" customFormat="1" x14ac:dyDescent="0.35">
      <c r="B20" s="52"/>
      <c r="C20" s="53"/>
      <c r="D20" s="53"/>
      <c r="E20" s="53"/>
      <c r="F20" s="53"/>
      <c r="G20" s="53"/>
      <c r="H20" s="139"/>
    </row>
    <row r="21" spans="1:8" s="46" customFormat="1" x14ac:dyDescent="0.35">
      <c r="A21" s="46">
        <v>10</v>
      </c>
      <c r="B21" s="52" t="s">
        <v>146</v>
      </c>
      <c r="C21" s="58" t="s">
        <v>45</v>
      </c>
      <c r="D21" s="53" t="s">
        <v>91</v>
      </c>
      <c r="E21" s="53">
        <v>20</v>
      </c>
      <c r="F21" s="53">
        <v>40</v>
      </c>
      <c r="G21" s="53">
        <f>F21</f>
        <v>40</v>
      </c>
      <c r="H21" s="138">
        <f t="shared" ref="H21:H22" si="4">IF(D21="Laboral",100%,G21/F21)</f>
        <v>1</v>
      </c>
    </row>
    <row r="22" spans="1:8" s="46" customFormat="1" x14ac:dyDescent="0.35">
      <c r="A22" s="46">
        <v>11</v>
      </c>
      <c r="B22" s="52" t="s">
        <v>92</v>
      </c>
      <c r="C22" s="58" t="s">
        <v>45</v>
      </c>
      <c r="D22" s="53" t="s">
        <v>91</v>
      </c>
      <c r="E22" s="53">
        <v>20</v>
      </c>
      <c r="F22" s="53">
        <v>40</v>
      </c>
      <c r="G22" s="53">
        <f>F22</f>
        <v>40</v>
      </c>
      <c r="H22" s="138">
        <f t="shared" si="4"/>
        <v>1</v>
      </c>
    </row>
    <row r="23" spans="1:8" x14ac:dyDescent="0.25">
      <c r="B23" s="129"/>
      <c r="C23" s="130"/>
      <c r="D23" s="130"/>
      <c r="E23" s="130"/>
      <c r="F23" s="130"/>
      <c r="G23" s="130"/>
      <c r="H23" s="140"/>
    </row>
    <row r="24" spans="1:8" ht="13.5" thickBot="1" x14ac:dyDescent="0.35">
      <c r="B24" s="68" t="s">
        <v>65</v>
      </c>
      <c r="C24" s="69"/>
      <c r="D24" s="69"/>
      <c r="E24" s="69"/>
      <c r="F24" s="70"/>
      <c r="G24" s="63">
        <f>SUM(G19:G22)</f>
        <v>400</v>
      </c>
      <c r="H24" s="137"/>
    </row>
    <row r="25" spans="1:8" x14ac:dyDescent="0.25">
      <c r="G25" s="51"/>
    </row>
    <row r="26" spans="1:8" x14ac:dyDescent="0.25">
      <c r="B26" s="47" t="s">
        <v>104</v>
      </c>
      <c r="G26" s="51">
        <f>HLOOKUP($I$4,'HP Proyect'!$B$4:$F$6,2,0)</f>
        <v>318</v>
      </c>
    </row>
    <row r="27" spans="1:8" x14ac:dyDescent="0.25">
      <c r="B27" s="47" t="s">
        <v>105</v>
      </c>
      <c r="G27" s="51">
        <f>G19-G26</f>
        <v>2</v>
      </c>
    </row>
  </sheetData>
  <mergeCells count="6">
    <mergeCell ref="B3:D3"/>
    <mergeCell ref="B4:H4"/>
    <mergeCell ref="B6:B7"/>
    <mergeCell ref="C6:C8"/>
    <mergeCell ref="D6:D7"/>
    <mergeCell ref="E6:H7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99FF"/>
  </sheetPr>
  <dimension ref="B1:L85"/>
  <sheetViews>
    <sheetView workbookViewId="0">
      <pane xSplit="6" ySplit="5" topLeftCell="G66" activePane="bottomRight" state="frozen"/>
      <selection activeCell="H18" sqref="H18"/>
      <selection pane="topRight" activeCell="H18" sqref="H18"/>
      <selection pane="bottomLeft" activeCell="H18" sqref="H18"/>
      <selection pane="bottomRight" activeCell="J13" sqref="J13:J14"/>
    </sheetView>
  </sheetViews>
  <sheetFormatPr baseColWidth="10" defaultRowHeight="14.5" x14ac:dyDescent="0.35"/>
  <cols>
    <col min="1" max="1" width="14.26953125" style="514" customWidth="1"/>
    <col min="2" max="2" width="14" style="514" customWidth="1"/>
    <col min="3" max="3" width="12.81640625" style="514" customWidth="1"/>
    <col min="4" max="4" width="11.1796875" style="514" bestFit="1" customWidth="1"/>
    <col min="5" max="5" width="10.90625" style="514"/>
    <col min="6" max="6" width="17.6328125" style="514" customWidth="1"/>
    <col min="7" max="7" width="5.6328125" style="514" customWidth="1"/>
    <col min="8" max="16384" width="10.90625" style="514"/>
  </cols>
  <sheetData>
    <row r="1" spans="2:12" ht="18.5" x14ac:dyDescent="0.45">
      <c r="B1" s="847" t="s">
        <v>515</v>
      </c>
      <c r="C1" s="848"/>
      <c r="D1" s="848"/>
      <c r="E1" s="848"/>
      <c r="F1" s="849"/>
      <c r="H1" s="858" t="s">
        <v>817</v>
      </c>
      <c r="I1" s="859"/>
      <c r="J1" s="859"/>
      <c r="K1" s="859"/>
      <c r="L1" s="860"/>
    </row>
    <row r="2" spans="2:12" ht="15" thickBot="1" x14ac:dyDescent="0.4"/>
    <row r="3" spans="2:12" x14ac:dyDescent="0.35">
      <c r="H3" s="534" t="s">
        <v>189</v>
      </c>
      <c r="I3" s="535">
        <f>'Flujo-Mes'!$E$27</f>
        <v>6.2062371095210622E-2</v>
      </c>
      <c r="J3" s="536" t="s">
        <v>802</v>
      </c>
      <c r="K3" s="537">
        <f>((1+I3)^(12))-1</f>
        <v>1.0596824311475932</v>
      </c>
      <c r="L3" s="538" t="s">
        <v>787</v>
      </c>
    </row>
    <row r="4" spans="2:12" x14ac:dyDescent="0.35">
      <c r="H4" s="865" t="s">
        <v>806</v>
      </c>
      <c r="I4" s="866"/>
      <c r="J4" s="867"/>
      <c r="K4" s="861">
        <f>ROUND('Flujo-Mes'!$E$30,0)</f>
        <v>316862495</v>
      </c>
      <c r="L4" s="862"/>
    </row>
    <row r="5" spans="2:12" ht="15" thickBot="1" x14ac:dyDescent="0.4">
      <c r="H5" s="868" t="s">
        <v>807</v>
      </c>
      <c r="I5" s="869"/>
      <c r="J5" s="870"/>
      <c r="K5" s="863">
        <f>'Flujo-Mes'!$E$32</f>
        <v>257090711.55200407</v>
      </c>
      <c r="L5" s="864"/>
    </row>
    <row r="6" spans="2:12" x14ac:dyDescent="0.35">
      <c r="B6" s="846" t="s">
        <v>372</v>
      </c>
      <c r="C6" s="846"/>
      <c r="D6" s="846"/>
      <c r="E6" s="846"/>
    </row>
    <row r="7" spans="2:12" x14ac:dyDescent="0.35">
      <c r="B7" s="533" t="s">
        <v>365</v>
      </c>
      <c r="C7" s="600" t="s">
        <v>828</v>
      </c>
      <c r="D7" s="879" t="s">
        <v>544</v>
      </c>
      <c r="E7" s="879"/>
    </row>
    <row r="8" spans="2:12" ht="15" thickBot="1" x14ac:dyDescent="0.4"/>
    <row r="9" spans="2:12" x14ac:dyDescent="0.35">
      <c r="B9" s="516"/>
      <c r="C9" s="530">
        <v>1.25</v>
      </c>
      <c r="D9" s="880" t="s">
        <v>519</v>
      </c>
      <c r="E9" s="881"/>
      <c r="F9" s="856" t="str">
        <f t="shared" ref="F9:F14" si="0">IF(AND(SUM($B$9:$B$14)&gt;1,$B9=1)=TRUE,"ERROR: Seleccione sólo una opción","")</f>
        <v/>
      </c>
      <c r="G9" s="857"/>
      <c r="H9" s="857"/>
    </row>
    <row r="10" spans="2:12" x14ac:dyDescent="0.35">
      <c r="B10" s="517">
        <v>1</v>
      </c>
      <c r="C10" s="531">
        <v>1</v>
      </c>
      <c r="D10" s="875" t="s">
        <v>520</v>
      </c>
      <c r="E10" s="876"/>
      <c r="F10" s="856" t="str">
        <f t="shared" si="0"/>
        <v/>
      </c>
      <c r="G10" s="857"/>
      <c r="H10" s="857"/>
    </row>
    <row r="11" spans="2:12" x14ac:dyDescent="0.35">
      <c r="B11" s="517"/>
      <c r="C11" s="531">
        <v>0.75</v>
      </c>
      <c r="D11" s="875" t="s">
        <v>521</v>
      </c>
      <c r="E11" s="876"/>
      <c r="F11" s="856" t="str">
        <f t="shared" si="0"/>
        <v/>
      </c>
      <c r="G11" s="857"/>
      <c r="H11" s="857"/>
    </row>
    <row r="12" spans="2:12" x14ac:dyDescent="0.35">
      <c r="B12" s="517"/>
      <c r="C12" s="553">
        <v>0.9</v>
      </c>
      <c r="D12" s="528" t="s">
        <v>818</v>
      </c>
      <c r="E12" s="529"/>
      <c r="F12" s="856" t="str">
        <f t="shared" si="0"/>
        <v/>
      </c>
      <c r="G12" s="857"/>
      <c r="H12" s="857"/>
    </row>
    <row r="13" spans="2:12" x14ac:dyDescent="0.35">
      <c r="B13" s="517"/>
      <c r="C13" s="531">
        <v>0.78959999999999997</v>
      </c>
      <c r="D13" s="875" t="s">
        <v>815</v>
      </c>
      <c r="E13" s="876"/>
      <c r="F13" s="856" t="str">
        <f t="shared" si="0"/>
        <v/>
      </c>
      <c r="G13" s="857"/>
      <c r="H13" s="857"/>
    </row>
    <row r="14" spans="2:12" ht="15" thickBot="1" x14ac:dyDescent="0.4">
      <c r="B14" s="518"/>
      <c r="C14" s="532">
        <v>0.80034000000000005</v>
      </c>
      <c r="D14" s="877" t="s">
        <v>816</v>
      </c>
      <c r="E14" s="878"/>
      <c r="F14" s="856" t="str">
        <f t="shared" si="0"/>
        <v/>
      </c>
      <c r="G14" s="857"/>
      <c r="H14" s="857"/>
    </row>
    <row r="16" spans="2:12" x14ac:dyDescent="0.35">
      <c r="B16" s="846" t="s">
        <v>545</v>
      </c>
      <c r="C16" s="846"/>
      <c r="D16" s="846"/>
    </row>
    <row r="17" spans="2:9" x14ac:dyDescent="0.35">
      <c r="B17" s="533" t="s">
        <v>365</v>
      </c>
      <c r="C17" s="533" t="s">
        <v>547</v>
      </c>
      <c r="D17" s="533" t="s">
        <v>548</v>
      </c>
    </row>
    <row r="18" spans="2:9" ht="15" thickBot="1" x14ac:dyDescent="0.4"/>
    <row r="19" spans="2:9" x14ac:dyDescent="0.35">
      <c r="B19" s="519">
        <v>1</v>
      </c>
      <c r="C19" s="539" t="str">
        <f>IF(B19=0,"Contado","Meses")</f>
        <v>Meses</v>
      </c>
      <c r="D19" s="540" t="s">
        <v>415</v>
      </c>
      <c r="I19" s="558"/>
    </row>
    <row r="20" spans="2:9" x14ac:dyDescent="0.35">
      <c r="B20" s="561">
        <v>0</v>
      </c>
      <c r="C20" s="562" t="str">
        <f>IF(B20=0,"Contado","Meses")</f>
        <v>Contado</v>
      </c>
      <c r="D20" s="563" t="s">
        <v>546</v>
      </c>
    </row>
    <row r="21" spans="2:9" ht="15" thickBot="1" x14ac:dyDescent="0.4">
      <c r="B21" s="520">
        <v>1</v>
      </c>
      <c r="C21" s="559" t="str">
        <f>IF(B21=1,"Mes","Meses")</f>
        <v>Mes</v>
      </c>
      <c r="D21" s="560" t="s">
        <v>822</v>
      </c>
    </row>
    <row r="23" spans="2:9" x14ac:dyDescent="0.35">
      <c r="B23" s="846" t="s">
        <v>373</v>
      </c>
      <c r="C23" s="846"/>
    </row>
    <row r="24" spans="2:9" x14ac:dyDescent="0.35">
      <c r="B24" s="533" t="s">
        <v>365</v>
      </c>
      <c r="C24" s="533" t="s">
        <v>389</v>
      </c>
    </row>
    <row r="25" spans="2:9" ht="15" thickBot="1" x14ac:dyDescent="0.4"/>
    <row r="26" spans="2:9" x14ac:dyDescent="0.35">
      <c r="B26" s="516">
        <v>1</v>
      </c>
      <c r="C26" s="541">
        <v>0.05</v>
      </c>
    </row>
    <row r="27" spans="2:9" ht="15" thickBot="1" x14ac:dyDescent="0.4">
      <c r="B27" s="526" t="str">
        <f>IF(B26=1,"",1)</f>
        <v/>
      </c>
      <c r="C27" s="542">
        <v>0.1</v>
      </c>
    </row>
    <row r="29" spans="2:9" x14ac:dyDescent="0.35">
      <c r="B29" s="846" t="s">
        <v>390</v>
      </c>
      <c r="C29" s="846"/>
      <c r="D29" s="846"/>
      <c r="E29" s="846"/>
    </row>
    <row r="30" spans="2:9" x14ac:dyDescent="0.35">
      <c r="B30" s="533" t="s">
        <v>71</v>
      </c>
      <c r="C30" s="533" t="s">
        <v>386</v>
      </c>
      <c r="D30" s="533" t="s">
        <v>385</v>
      </c>
      <c r="E30" s="533" t="s">
        <v>387</v>
      </c>
    </row>
    <row r="31" spans="2:9" x14ac:dyDescent="0.35">
      <c r="B31" s="515"/>
      <c r="C31" s="515"/>
    </row>
    <row r="32" spans="2:9" x14ac:dyDescent="0.35">
      <c r="B32" s="543">
        <v>1</v>
      </c>
      <c r="C32" s="544">
        <v>0.25</v>
      </c>
      <c r="D32" s="544">
        <v>0</v>
      </c>
      <c r="E32" s="544">
        <f>C32*D32</f>
        <v>0</v>
      </c>
    </row>
    <row r="33" spans="2:5" x14ac:dyDescent="0.35">
      <c r="B33" s="543">
        <v>2</v>
      </c>
      <c r="C33" s="544">
        <v>0.25</v>
      </c>
      <c r="D33" s="544">
        <v>0</v>
      </c>
      <c r="E33" s="544">
        <f t="shared" ref="E33:E36" si="1">C33*D33</f>
        <v>0</v>
      </c>
    </row>
    <row r="34" spans="2:5" x14ac:dyDescent="0.35">
      <c r="B34" s="543">
        <v>3</v>
      </c>
      <c r="C34" s="544">
        <v>0.25</v>
      </c>
      <c r="D34" s="544">
        <v>0.25</v>
      </c>
      <c r="E34" s="544">
        <f t="shared" si="1"/>
        <v>6.25E-2</v>
      </c>
    </row>
    <row r="35" spans="2:5" x14ac:dyDescent="0.35">
      <c r="B35" s="543">
        <v>4</v>
      </c>
      <c r="C35" s="544">
        <v>0.25</v>
      </c>
      <c r="D35" s="544">
        <v>0.5</v>
      </c>
      <c r="E35" s="544">
        <f t="shared" si="1"/>
        <v>0.125</v>
      </c>
    </row>
    <row r="36" spans="2:5" x14ac:dyDescent="0.35">
      <c r="B36" s="543">
        <v>5</v>
      </c>
      <c r="C36" s="544">
        <v>0.25</v>
      </c>
      <c r="D36" s="544">
        <v>0.75</v>
      </c>
      <c r="E36" s="544">
        <f t="shared" si="1"/>
        <v>0.1875</v>
      </c>
    </row>
    <row r="38" spans="2:5" x14ac:dyDescent="0.35">
      <c r="B38" s="846" t="s">
        <v>391</v>
      </c>
      <c r="C38" s="846"/>
      <c r="D38" s="846"/>
      <c r="E38" s="846"/>
    </row>
    <row r="39" spans="2:5" x14ac:dyDescent="0.35">
      <c r="B39" s="533" t="s">
        <v>71</v>
      </c>
      <c r="C39" s="533" t="s">
        <v>386</v>
      </c>
      <c r="D39" s="533" t="s">
        <v>385</v>
      </c>
      <c r="E39" s="533" t="s">
        <v>387</v>
      </c>
    </row>
    <row r="41" spans="2:5" x14ac:dyDescent="0.35">
      <c r="B41" s="543">
        <v>1</v>
      </c>
      <c r="C41" s="544">
        <v>0.09</v>
      </c>
      <c r="D41" s="544">
        <v>1</v>
      </c>
      <c r="E41" s="544">
        <f>C41*D41</f>
        <v>0.09</v>
      </c>
    </row>
    <row r="42" spans="2:5" x14ac:dyDescent="0.35">
      <c r="B42" s="543">
        <v>2</v>
      </c>
      <c r="C42" s="544">
        <v>0.09</v>
      </c>
      <c r="D42" s="544">
        <v>1</v>
      </c>
      <c r="E42" s="544">
        <f t="shared" ref="E42:E45" si="2">C42*D42</f>
        <v>0.09</v>
      </c>
    </row>
    <row r="43" spans="2:5" x14ac:dyDescent="0.35">
      <c r="B43" s="543">
        <v>3</v>
      </c>
      <c r="C43" s="544">
        <v>0.09</v>
      </c>
      <c r="D43" s="544">
        <v>1</v>
      </c>
      <c r="E43" s="544">
        <f t="shared" si="2"/>
        <v>0.09</v>
      </c>
    </row>
    <row r="44" spans="2:5" x14ac:dyDescent="0.35">
      <c r="B44" s="543">
        <v>4</v>
      </c>
      <c r="C44" s="544">
        <v>0.09</v>
      </c>
      <c r="D44" s="544">
        <v>1</v>
      </c>
      <c r="E44" s="544">
        <f t="shared" si="2"/>
        <v>0.09</v>
      </c>
    </row>
    <row r="45" spans="2:5" x14ac:dyDescent="0.35">
      <c r="B45" s="543">
        <v>5</v>
      </c>
      <c r="C45" s="544">
        <v>0.09</v>
      </c>
      <c r="D45" s="544">
        <v>1</v>
      </c>
      <c r="E45" s="544">
        <f t="shared" si="2"/>
        <v>0.09</v>
      </c>
    </row>
    <row r="48" spans="2:5" x14ac:dyDescent="0.35">
      <c r="B48" s="846" t="s">
        <v>488</v>
      </c>
      <c r="C48" s="846"/>
    </row>
    <row r="49" spans="2:6" x14ac:dyDescent="0.35">
      <c r="B49" s="533" t="s">
        <v>365</v>
      </c>
      <c r="C49" s="545" t="s">
        <v>489</v>
      </c>
    </row>
    <row r="50" spans="2:6" ht="15" thickBot="1" x14ac:dyDescent="0.4"/>
    <row r="51" spans="2:6" x14ac:dyDescent="0.35">
      <c r="B51" s="516"/>
      <c r="C51" s="541" t="s">
        <v>490</v>
      </c>
    </row>
    <row r="52" spans="2:6" ht="15" thickBot="1" x14ac:dyDescent="0.4">
      <c r="B52" s="526">
        <f>IF(B51=1,"",1)</f>
        <v>1</v>
      </c>
      <c r="C52" s="542" t="s">
        <v>491</v>
      </c>
    </row>
    <row r="54" spans="2:6" x14ac:dyDescent="0.35">
      <c r="B54" s="846" t="s">
        <v>498</v>
      </c>
      <c r="C54" s="846"/>
      <c r="D54" s="846"/>
      <c r="E54" s="846"/>
      <c r="F54" s="846"/>
    </row>
    <row r="55" spans="2:6" x14ac:dyDescent="0.35">
      <c r="B55" s="545" t="s">
        <v>57</v>
      </c>
      <c r="C55" s="533" t="s">
        <v>157</v>
      </c>
      <c r="D55" s="533" t="s">
        <v>223</v>
      </c>
      <c r="E55" s="533" t="s">
        <v>499</v>
      </c>
      <c r="F55" s="533" t="s">
        <v>497</v>
      </c>
    </row>
    <row r="56" spans="2:6" x14ac:dyDescent="0.35">
      <c r="B56" s="515"/>
      <c r="C56" s="515"/>
    </row>
    <row r="57" spans="2:6" x14ac:dyDescent="0.35">
      <c r="B57" s="546" t="s">
        <v>494</v>
      </c>
      <c r="C57" s="522">
        <v>0.05</v>
      </c>
      <c r="D57" s="523">
        <v>36</v>
      </c>
      <c r="E57" s="523">
        <v>12</v>
      </c>
      <c r="F57" s="521" t="s">
        <v>501</v>
      </c>
    </row>
    <row r="58" spans="2:6" x14ac:dyDescent="0.35">
      <c r="B58" s="546" t="s">
        <v>495</v>
      </c>
      <c r="C58" s="522">
        <v>4.4999999999999998E-2</v>
      </c>
      <c r="D58" s="547">
        <v>36</v>
      </c>
      <c r="E58" s="547">
        <v>0</v>
      </c>
      <c r="F58" s="521" t="s">
        <v>500</v>
      </c>
    </row>
    <row r="59" spans="2:6" x14ac:dyDescent="0.35">
      <c r="B59" s="546" t="s">
        <v>496</v>
      </c>
      <c r="C59" s="522">
        <v>8.2500000000000004E-2</v>
      </c>
      <c r="D59" s="547">
        <v>1</v>
      </c>
      <c r="E59" s="547">
        <v>0</v>
      </c>
      <c r="F59" s="544" t="s">
        <v>502</v>
      </c>
    </row>
    <row r="61" spans="2:6" x14ac:dyDescent="0.35">
      <c r="B61" s="846" t="s">
        <v>509</v>
      </c>
      <c r="C61" s="846"/>
      <c r="D61" s="846"/>
    </row>
    <row r="62" spans="2:6" x14ac:dyDescent="0.35">
      <c r="B62" s="548" t="s">
        <v>157</v>
      </c>
      <c r="C62" s="548"/>
      <c r="D62" s="549" t="s">
        <v>627</v>
      </c>
    </row>
    <row r="64" spans="2:6" x14ac:dyDescent="0.35">
      <c r="B64" s="554" t="s">
        <v>510</v>
      </c>
      <c r="C64" s="554"/>
      <c r="D64" s="555">
        <v>4.4999999999999998E-2</v>
      </c>
    </row>
    <row r="65" spans="2:5" x14ac:dyDescent="0.35">
      <c r="B65" s="554" t="s">
        <v>625</v>
      </c>
      <c r="C65" s="554"/>
      <c r="D65" s="556">
        <f>D64</f>
        <v>4.4999999999999998E-2</v>
      </c>
    </row>
    <row r="66" spans="2:5" x14ac:dyDescent="0.35">
      <c r="B66" s="554" t="s">
        <v>626</v>
      </c>
      <c r="C66" s="554"/>
      <c r="D66" s="556">
        <v>0.06</v>
      </c>
    </row>
    <row r="67" spans="2:5" x14ac:dyDescent="0.35">
      <c r="B67" s="554" t="s">
        <v>511</v>
      </c>
      <c r="C67" s="554"/>
      <c r="D67" s="556">
        <v>2.5000000000000001E-3</v>
      </c>
    </row>
    <row r="68" spans="2:5" x14ac:dyDescent="0.35">
      <c r="B68" s="554" t="s">
        <v>512</v>
      </c>
      <c r="C68" s="554"/>
      <c r="D68" s="556">
        <v>-2.5000000000000001E-3</v>
      </c>
    </row>
    <row r="70" spans="2:5" x14ac:dyDescent="0.35">
      <c r="B70" s="846" t="s">
        <v>791</v>
      </c>
      <c r="C70" s="846"/>
      <c r="D70" s="846"/>
      <c r="E70" s="846"/>
    </row>
    <row r="71" spans="2:5" x14ac:dyDescent="0.35">
      <c r="B71" s="533" t="s">
        <v>365</v>
      </c>
      <c r="C71" s="545" t="s">
        <v>489</v>
      </c>
      <c r="D71" s="550"/>
      <c r="E71" s="550"/>
    </row>
    <row r="72" spans="2:5" ht="15" thickBot="1" x14ac:dyDescent="0.4"/>
    <row r="73" spans="2:5" x14ac:dyDescent="0.35">
      <c r="B73" s="516">
        <v>1</v>
      </c>
      <c r="C73" s="853" t="s">
        <v>794</v>
      </c>
      <c r="D73" s="854"/>
      <c r="E73" s="855"/>
    </row>
    <row r="74" spans="2:5" ht="15" thickBot="1" x14ac:dyDescent="0.4">
      <c r="B74" s="527" t="str">
        <f>IF(B73=1,"",1)</f>
        <v/>
      </c>
      <c r="C74" s="850" t="s">
        <v>795</v>
      </c>
      <c r="D74" s="851"/>
      <c r="E74" s="852"/>
    </row>
    <row r="76" spans="2:5" x14ac:dyDescent="0.35">
      <c r="B76" s="846" t="s">
        <v>628</v>
      </c>
      <c r="C76" s="846"/>
      <c r="D76" s="846"/>
    </row>
    <row r="77" spans="2:5" ht="15" thickBot="1" x14ac:dyDescent="0.4"/>
    <row r="78" spans="2:5" x14ac:dyDescent="0.35">
      <c r="B78" s="524">
        <v>1</v>
      </c>
      <c r="C78" s="871" t="s">
        <v>811</v>
      </c>
      <c r="D78" s="872"/>
    </row>
    <row r="79" spans="2:5" ht="15" thickBot="1" x14ac:dyDescent="0.4">
      <c r="B79" s="525">
        <v>5000000</v>
      </c>
      <c r="C79" s="873" t="s">
        <v>629</v>
      </c>
      <c r="D79" s="874"/>
    </row>
    <row r="81" spans="2:6" x14ac:dyDescent="0.35">
      <c r="B81" s="846" t="s">
        <v>796</v>
      </c>
      <c r="C81" s="846"/>
      <c r="D81" s="846"/>
      <c r="E81" s="846"/>
      <c r="F81" s="846"/>
    </row>
    <row r="82" spans="2:6" x14ac:dyDescent="0.35">
      <c r="B82" s="533" t="s">
        <v>365</v>
      </c>
      <c r="C82" s="545" t="s">
        <v>489</v>
      </c>
      <c r="D82" s="550"/>
      <c r="E82" s="549" t="s">
        <v>799</v>
      </c>
      <c r="F82" s="549" t="s">
        <v>586</v>
      </c>
    </row>
    <row r="83" spans="2:6" ht="15" thickBot="1" x14ac:dyDescent="0.4"/>
    <row r="84" spans="2:6" x14ac:dyDescent="0.35">
      <c r="B84" s="516">
        <v>1</v>
      </c>
      <c r="C84" s="844" t="s">
        <v>797</v>
      </c>
      <c r="D84" s="844"/>
      <c r="E84" s="530">
        <f>'WACC Gral'!$C$45</f>
        <v>0.14827234010808299</v>
      </c>
      <c r="F84" s="551">
        <f>'WACC Gral'!$C$47</f>
        <v>1.1588170255059316E-2</v>
      </c>
    </row>
    <row r="85" spans="2:6" ht="15" thickBot="1" x14ac:dyDescent="0.4">
      <c r="B85" s="527" t="str">
        <f>IF(B84=1,"",1)</f>
        <v/>
      </c>
      <c r="C85" s="845" t="s">
        <v>798</v>
      </c>
      <c r="D85" s="845"/>
      <c r="E85" s="532">
        <f>'WACC Ajust'!$C$15</f>
        <v>0.21057234010808301</v>
      </c>
      <c r="F85" s="552">
        <f>'WACC Ajust'!$C$17</f>
        <v>1.6051907602091076E-2</v>
      </c>
    </row>
  </sheetData>
  <sheetProtection password="CDD2" sheet="1" objects="1" scenarios="1"/>
  <mergeCells count="35">
    <mergeCell ref="B6:E6"/>
    <mergeCell ref="D7:E7"/>
    <mergeCell ref="F12:H12"/>
    <mergeCell ref="F9:H9"/>
    <mergeCell ref="F10:H10"/>
    <mergeCell ref="D9:E9"/>
    <mergeCell ref="D10:E10"/>
    <mergeCell ref="C78:D78"/>
    <mergeCell ref="C79:D79"/>
    <mergeCell ref="F11:H11"/>
    <mergeCell ref="F13:H13"/>
    <mergeCell ref="D11:E11"/>
    <mergeCell ref="D13:E13"/>
    <mergeCell ref="D14:E14"/>
    <mergeCell ref="H1:L1"/>
    <mergeCell ref="K4:L4"/>
    <mergeCell ref="K5:L5"/>
    <mergeCell ref="H4:J4"/>
    <mergeCell ref="H5:J5"/>
    <mergeCell ref="C84:D84"/>
    <mergeCell ref="C85:D85"/>
    <mergeCell ref="B81:F81"/>
    <mergeCell ref="B76:D76"/>
    <mergeCell ref="B1:F1"/>
    <mergeCell ref="B54:F54"/>
    <mergeCell ref="B23:C23"/>
    <mergeCell ref="B29:E29"/>
    <mergeCell ref="B38:E38"/>
    <mergeCell ref="B48:C48"/>
    <mergeCell ref="B16:D16"/>
    <mergeCell ref="B61:D61"/>
    <mergeCell ref="B70:E70"/>
    <mergeCell ref="C74:E74"/>
    <mergeCell ref="C73:E73"/>
    <mergeCell ref="F14:H14"/>
  </mergeCells>
  <conditionalFormatting sqref="B9">
    <cfRule type="expression" dxfId="9" priority="14">
      <formula>AND(SUM($B$9:$B$14)&gt;1,B9=1)=TRUE</formula>
    </cfRule>
  </conditionalFormatting>
  <conditionalFormatting sqref="B26">
    <cfRule type="expression" priority="26" stopIfTrue="1">
      <formula>B26&lt;&gt;#REF!</formula>
    </cfRule>
  </conditionalFormatting>
  <conditionalFormatting sqref="B27">
    <cfRule type="expression" priority="24" stopIfTrue="1">
      <formula>B27&lt;&gt;#REF!</formula>
    </cfRule>
  </conditionalFormatting>
  <conditionalFormatting sqref="B51">
    <cfRule type="expression" priority="23" stopIfTrue="1">
      <formula>B51&lt;&gt;#REF!</formula>
    </cfRule>
  </conditionalFormatting>
  <conditionalFormatting sqref="B52">
    <cfRule type="expression" priority="22" stopIfTrue="1">
      <formula>B52&lt;&gt;#REF!</formula>
    </cfRule>
  </conditionalFormatting>
  <conditionalFormatting sqref="B19">
    <cfRule type="expression" priority="21" stopIfTrue="1">
      <formula>B19&lt;&gt;#REF!</formula>
    </cfRule>
  </conditionalFormatting>
  <conditionalFormatting sqref="B20">
    <cfRule type="expression" priority="20" stopIfTrue="1">
      <formula>B20&lt;&gt;#REF!</formula>
    </cfRule>
  </conditionalFormatting>
  <conditionalFormatting sqref="B73">
    <cfRule type="expression" priority="18" stopIfTrue="1">
      <formula>B73&lt;&gt;#REF!</formula>
    </cfRule>
  </conditionalFormatting>
  <conditionalFormatting sqref="B74">
    <cfRule type="expression" priority="17" stopIfTrue="1">
      <formula>B74&lt;&gt;#REF!</formula>
    </cfRule>
  </conditionalFormatting>
  <conditionalFormatting sqref="B84">
    <cfRule type="expression" priority="16" stopIfTrue="1">
      <formula>B84&lt;&gt;#REF!</formula>
    </cfRule>
  </conditionalFormatting>
  <conditionalFormatting sqref="B85">
    <cfRule type="expression" priority="15" stopIfTrue="1">
      <formula>B85&lt;&gt;#REF!</formula>
    </cfRule>
  </conditionalFormatting>
  <conditionalFormatting sqref="F9">
    <cfRule type="expression" dxfId="8" priority="11">
      <formula>F9&lt;&gt;""</formula>
    </cfRule>
  </conditionalFormatting>
  <conditionalFormatting sqref="F10">
    <cfRule type="expression" dxfId="7" priority="10">
      <formula>F10&lt;&gt;""</formula>
    </cfRule>
  </conditionalFormatting>
  <conditionalFormatting sqref="F14">
    <cfRule type="expression" dxfId="6" priority="9">
      <formula>F14&lt;&gt;""</formula>
    </cfRule>
  </conditionalFormatting>
  <conditionalFormatting sqref="B10">
    <cfRule type="expression" dxfId="5" priority="8">
      <formula>AND(SUM($B$9:$B$14)&gt;1,B10=1)=TRUE</formula>
    </cfRule>
  </conditionalFormatting>
  <conditionalFormatting sqref="B14">
    <cfRule type="expression" dxfId="4" priority="7">
      <formula>AND(SUM($B$9:$B$14)&gt;1,B14=1)=TRUE</formula>
    </cfRule>
  </conditionalFormatting>
  <conditionalFormatting sqref="B78">
    <cfRule type="expression" priority="6" stopIfTrue="1">
      <formula>B78&lt;&gt;#REF!</formula>
    </cfRule>
  </conditionalFormatting>
  <conditionalFormatting sqref="B11:B13">
    <cfRule type="expression" dxfId="3" priority="5">
      <formula>AND(SUM($B$9:$B$14)&gt;1,B11=1)=TRUE</formula>
    </cfRule>
  </conditionalFormatting>
  <conditionalFormatting sqref="F11">
    <cfRule type="expression" dxfId="2" priority="4">
      <formula>F11&lt;&gt;""</formula>
    </cfRule>
  </conditionalFormatting>
  <conditionalFormatting sqref="F13">
    <cfRule type="expression" dxfId="1" priority="3">
      <formula>F13&lt;&gt;""</formula>
    </cfRule>
  </conditionalFormatting>
  <conditionalFormatting sqref="F12">
    <cfRule type="expression" dxfId="0" priority="2">
      <formula>F12&lt;&gt;""</formula>
    </cfRule>
  </conditionalFormatting>
  <conditionalFormatting sqref="B21">
    <cfRule type="expression" priority="1" stopIfTrue="1">
      <formula>B21&lt;&gt;#REF!</formula>
    </cfRule>
  </conditionalFormatting>
  <dataValidations disablePrompts="1" count="5">
    <dataValidation type="list" allowBlank="1" showInputMessage="1" showErrorMessage="1" sqref="B84:B85 B26:B27 B51:B52 B73:B74 B78 B9:B14">
      <formula1>SIONO</formula1>
    </dataValidation>
    <dataValidation type="list" allowBlank="1" showInputMessage="1" showErrorMessage="1" sqref="F57:F59">
      <formula1>CREDITOS</formula1>
    </dataValidation>
    <dataValidation type="list" allowBlank="1" showInputMessage="1" showErrorMessage="1" sqref="B20">
      <formula1>MESESKT</formula1>
    </dataValidation>
    <dataValidation type="list" allowBlank="1" showInputMessage="1" showErrorMessage="1" sqref="B19">
      <formula1>MESESKT</formula1>
    </dataValidation>
    <dataValidation type="list" allowBlank="1" showInputMessage="1" showErrorMessage="1" sqref="B21">
      <formula1>PLAZO2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3:P28"/>
  <sheetViews>
    <sheetView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6.54296875" style="47" bestFit="1" customWidth="1"/>
    <col min="4" max="4" width="8.81640625" style="47" bestFit="1" customWidth="1"/>
    <col min="5" max="5" width="5.36328125" style="48" bestFit="1" customWidth="1"/>
    <col min="6" max="6" width="6.08984375" style="48" bestFit="1" customWidth="1"/>
    <col min="7" max="7" width="8.81640625" style="48" bestFit="1" customWidth="1"/>
    <col min="8" max="8" width="5.36328125" style="48" bestFit="1" customWidth="1"/>
    <col min="9" max="9" width="10.81640625" style="48" bestFit="1" customWidth="1"/>
    <col min="10" max="10" width="6.6328125" style="48" bestFit="1" customWidth="1"/>
    <col min="11" max="13" width="6.6328125" style="48" customWidth="1"/>
    <col min="14" max="14" width="7.08984375" style="48" customWidth="1"/>
    <col min="15" max="15" width="12" style="48" customWidth="1"/>
    <col min="16" max="263" width="11.453125" style="48"/>
    <col min="264" max="264" width="10" style="48" customWidth="1"/>
    <col min="265" max="265" width="50.54296875" style="48" customWidth="1"/>
    <col min="266" max="519" width="11.453125" style="48"/>
    <col min="520" max="520" width="10" style="48" customWidth="1"/>
    <col min="521" max="521" width="50.54296875" style="48" customWidth="1"/>
    <col min="522" max="775" width="11.453125" style="48"/>
    <col min="776" max="776" width="10" style="48" customWidth="1"/>
    <col min="777" max="777" width="50.54296875" style="48" customWidth="1"/>
    <col min="778" max="1031" width="11.453125" style="48"/>
    <col min="1032" max="1032" width="10" style="48" customWidth="1"/>
    <col min="1033" max="1033" width="50.54296875" style="48" customWidth="1"/>
    <col min="1034" max="1287" width="11.453125" style="48"/>
    <col min="1288" max="1288" width="10" style="48" customWidth="1"/>
    <col min="1289" max="1289" width="50.54296875" style="48" customWidth="1"/>
    <col min="1290" max="1543" width="11.453125" style="48"/>
    <col min="1544" max="1544" width="10" style="48" customWidth="1"/>
    <col min="1545" max="1545" width="50.54296875" style="48" customWidth="1"/>
    <col min="1546" max="1799" width="11.453125" style="48"/>
    <col min="1800" max="1800" width="10" style="48" customWidth="1"/>
    <col min="1801" max="1801" width="50.54296875" style="48" customWidth="1"/>
    <col min="1802" max="2055" width="11.453125" style="48"/>
    <col min="2056" max="2056" width="10" style="48" customWidth="1"/>
    <col min="2057" max="2057" width="50.54296875" style="48" customWidth="1"/>
    <col min="2058" max="2311" width="11.453125" style="48"/>
    <col min="2312" max="2312" width="10" style="48" customWidth="1"/>
    <col min="2313" max="2313" width="50.54296875" style="48" customWidth="1"/>
    <col min="2314" max="2567" width="11.453125" style="48"/>
    <col min="2568" max="2568" width="10" style="48" customWidth="1"/>
    <col min="2569" max="2569" width="50.54296875" style="48" customWidth="1"/>
    <col min="2570" max="2823" width="11.453125" style="48"/>
    <col min="2824" max="2824" width="10" style="48" customWidth="1"/>
    <col min="2825" max="2825" width="50.54296875" style="48" customWidth="1"/>
    <col min="2826" max="3079" width="11.453125" style="48"/>
    <col min="3080" max="3080" width="10" style="48" customWidth="1"/>
    <col min="3081" max="3081" width="50.54296875" style="48" customWidth="1"/>
    <col min="3082" max="3335" width="11.453125" style="48"/>
    <col min="3336" max="3336" width="10" style="48" customWidth="1"/>
    <col min="3337" max="3337" width="50.54296875" style="48" customWidth="1"/>
    <col min="3338" max="3591" width="11.453125" style="48"/>
    <col min="3592" max="3592" width="10" style="48" customWidth="1"/>
    <col min="3593" max="3593" width="50.54296875" style="48" customWidth="1"/>
    <col min="3594" max="3847" width="11.453125" style="48"/>
    <col min="3848" max="3848" width="10" style="48" customWidth="1"/>
    <col min="3849" max="3849" width="50.54296875" style="48" customWidth="1"/>
    <col min="3850" max="4103" width="11.453125" style="48"/>
    <col min="4104" max="4104" width="10" style="48" customWidth="1"/>
    <col min="4105" max="4105" width="50.54296875" style="48" customWidth="1"/>
    <col min="4106" max="4359" width="11.453125" style="48"/>
    <col min="4360" max="4360" width="10" style="48" customWidth="1"/>
    <col min="4361" max="4361" width="50.54296875" style="48" customWidth="1"/>
    <col min="4362" max="4615" width="11.453125" style="48"/>
    <col min="4616" max="4616" width="10" style="48" customWidth="1"/>
    <col min="4617" max="4617" width="50.54296875" style="48" customWidth="1"/>
    <col min="4618" max="4871" width="11.453125" style="48"/>
    <col min="4872" max="4872" width="10" style="48" customWidth="1"/>
    <col min="4873" max="4873" width="50.54296875" style="48" customWidth="1"/>
    <col min="4874" max="5127" width="11.453125" style="48"/>
    <col min="5128" max="5128" width="10" style="48" customWidth="1"/>
    <col min="5129" max="5129" width="50.54296875" style="48" customWidth="1"/>
    <col min="5130" max="5383" width="11.453125" style="48"/>
    <col min="5384" max="5384" width="10" style="48" customWidth="1"/>
    <col min="5385" max="5385" width="50.54296875" style="48" customWidth="1"/>
    <col min="5386" max="5639" width="11.453125" style="48"/>
    <col min="5640" max="5640" width="10" style="48" customWidth="1"/>
    <col min="5641" max="5641" width="50.54296875" style="48" customWidth="1"/>
    <col min="5642" max="5895" width="11.453125" style="48"/>
    <col min="5896" max="5896" width="10" style="48" customWidth="1"/>
    <col min="5897" max="5897" width="50.54296875" style="48" customWidth="1"/>
    <col min="5898" max="6151" width="11.453125" style="48"/>
    <col min="6152" max="6152" width="10" style="48" customWidth="1"/>
    <col min="6153" max="6153" width="50.54296875" style="48" customWidth="1"/>
    <col min="6154" max="6407" width="11.453125" style="48"/>
    <col min="6408" max="6408" width="10" style="48" customWidth="1"/>
    <col min="6409" max="6409" width="50.54296875" style="48" customWidth="1"/>
    <col min="6410" max="6663" width="11.453125" style="48"/>
    <col min="6664" max="6664" width="10" style="48" customWidth="1"/>
    <col min="6665" max="6665" width="50.54296875" style="48" customWidth="1"/>
    <col min="6666" max="6919" width="11.453125" style="48"/>
    <col min="6920" max="6920" width="10" style="48" customWidth="1"/>
    <col min="6921" max="6921" width="50.54296875" style="48" customWidth="1"/>
    <col min="6922" max="7175" width="11.453125" style="48"/>
    <col min="7176" max="7176" width="10" style="48" customWidth="1"/>
    <col min="7177" max="7177" width="50.54296875" style="48" customWidth="1"/>
    <col min="7178" max="7431" width="11.453125" style="48"/>
    <col min="7432" max="7432" width="10" style="48" customWidth="1"/>
    <col min="7433" max="7433" width="50.54296875" style="48" customWidth="1"/>
    <col min="7434" max="7687" width="11.453125" style="48"/>
    <col min="7688" max="7688" width="10" style="48" customWidth="1"/>
    <col min="7689" max="7689" width="50.54296875" style="48" customWidth="1"/>
    <col min="7690" max="7943" width="11.453125" style="48"/>
    <col min="7944" max="7944" width="10" style="48" customWidth="1"/>
    <col min="7945" max="7945" width="50.54296875" style="48" customWidth="1"/>
    <col min="7946" max="8199" width="11.453125" style="48"/>
    <col min="8200" max="8200" width="10" style="48" customWidth="1"/>
    <col min="8201" max="8201" width="50.54296875" style="48" customWidth="1"/>
    <col min="8202" max="8455" width="11.453125" style="48"/>
    <col min="8456" max="8456" width="10" style="48" customWidth="1"/>
    <col min="8457" max="8457" width="50.54296875" style="48" customWidth="1"/>
    <col min="8458" max="8711" width="11.453125" style="48"/>
    <col min="8712" max="8712" width="10" style="48" customWidth="1"/>
    <col min="8713" max="8713" width="50.54296875" style="48" customWidth="1"/>
    <col min="8714" max="8967" width="11.453125" style="48"/>
    <col min="8968" max="8968" width="10" style="48" customWidth="1"/>
    <col min="8969" max="8969" width="50.54296875" style="48" customWidth="1"/>
    <col min="8970" max="9223" width="11.453125" style="48"/>
    <col min="9224" max="9224" width="10" style="48" customWidth="1"/>
    <col min="9225" max="9225" width="50.54296875" style="48" customWidth="1"/>
    <col min="9226" max="9479" width="11.453125" style="48"/>
    <col min="9480" max="9480" width="10" style="48" customWidth="1"/>
    <col min="9481" max="9481" width="50.54296875" style="48" customWidth="1"/>
    <col min="9482" max="9735" width="11.453125" style="48"/>
    <col min="9736" max="9736" width="10" style="48" customWidth="1"/>
    <col min="9737" max="9737" width="50.54296875" style="48" customWidth="1"/>
    <col min="9738" max="9991" width="11.453125" style="48"/>
    <col min="9992" max="9992" width="10" style="48" customWidth="1"/>
    <col min="9993" max="9993" width="50.54296875" style="48" customWidth="1"/>
    <col min="9994" max="10247" width="11.453125" style="48"/>
    <col min="10248" max="10248" width="10" style="48" customWidth="1"/>
    <col min="10249" max="10249" width="50.54296875" style="48" customWidth="1"/>
    <col min="10250" max="10503" width="11.453125" style="48"/>
    <col min="10504" max="10504" width="10" style="48" customWidth="1"/>
    <col min="10505" max="10505" width="50.54296875" style="48" customWidth="1"/>
    <col min="10506" max="10759" width="11.453125" style="48"/>
    <col min="10760" max="10760" width="10" style="48" customWidth="1"/>
    <col min="10761" max="10761" width="50.54296875" style="48" customWidth="1"/>
    <col min="10762" max="11015" width="11.453125" style="48"/>
    <col min="11016" max="11016" width="10" style="48" customWidth="1"/>
    <col min="11017" max="11017" width="50.54296875" style="48" customWidth="1"/>
    <col min="11018" max="11271" width="11.453125" style="48"/>
    <col min="11272" max="11272" width="10" style="48" customWidth="1"/>
    <col min="11273" max="11273" width="50.54296875" style="48" customWidth="1"/>
    <col min="11274" max="11527" width="11.453125" style="48"/>
    <col min="11528" max="11528" width="10" style="48" customWidth="1"/>
    <col min="11529" max="11529" width="50.54296875" style="48" customWidth="1"/>
    <col min="11530" max="11783" width="11.453125" style="48"/>
    <col min="11784" max="11784" width="10" style="48" customWidth="1"/>
    <col min="11785" max="11785" width="50.54296875" style="48" customWidth="1"/>
    <col min="11786" max="12039" width="11.453125" style="48"/>
    <col min="12040" max="12040" width="10" style="48" customWidth="1"/>
    <col min="12041" max="12041" width="50.54296875" style="48" customWidth="1"/>
    <col min="12042" max="12295" width="11.453125" style="48"/>
    <col min="12296" max="12296" width="10" style="48" customWidth="1"/>
    <col min="12297" max="12297" width="50.54296875" style="48" customWidth="1"/>
    <col min="12298" max="12551" width="11.453125" style="48"/>
    <col min="12552" max="12552" width="10" style="48" customWidth="1"/>
    <col min="12553" max="12553" width="50.54296875" style="48" customWidth="1"/>
    <col min="12554" max="12807" width="11.453125" style="48"/>
    <col min="12808" max="12808" width="10" style="48" customWidth="1"/>
    <col min="12809" max="12809" width="50.54296875" style="48" customWidth="1"/>
    <col min="12810" max="13063" width="11.453125" style="48"/>
    <col min="13064" max="13064" width="10" style="48" customWidth="1"/>
    <col min="13065" max="13065" width="50.54296875" style="48" customWidth="1"/>
    <col min="13066" max="13319" width="11.453125" style="48"/>
    <col min="13320" max="13320" width="10" style="48" customWidth="1"/>
    <col min="13321" max="13321" width="50.54296875" style="48" customWidth="1"/>
    <col min="13322" max="13575" width="11.453125" style="48"/>
    <col min="13576" max="13576" width="10" style="48" customWidth="1"/>
    <col min="13577" max="13577" width="50.54296875" style="48" customWidth="1"/>
    <col min="13578" max="13831" width="11.453125" style="48"/>
    <col min="13832" max="13832" width="10" style="48" customWidth="1"/>
    <col min="13833" max="13833" width="50.54296875" style="48" customWidth="1"/>
    <col min="13834" max="14087" width="11.453125" style="48"/>
    <col min="14088" max="14088" width="10" style="48" customWidth="1"/>
    <col min="14089" max="14089" width="50.54296875" style="48" customWidth="1"/>
    <col min="14090" max="14343" width="11.453125" style="48"/>
    <col min="14344" max="14344" width="10" style="48" customWidth="1"/>
    <col min="14345" max="14345" width="50.54296875" style="48" customWidth="1"/>
    <col min="14346" max="14599" width="11.453125" style="48"/>
    <col min="14600" max="14600" width="10" style="48" customWidth="1"/>
    <col min="14601" max="14601" width="50.54296875" style="48" customWidth="1"/>
    <col min="14602" max="14855" width="11.453125" style="48"/>
    <col min="14856" max="14856" width="10" style="48" customWidth="1"/>
    <col min="14857" max="14857" width="50.54296875" style="48" customWidth="1"/>
    <col min="14858" max="15111" width="11.453125" style="48"/>
    <col min="15112" max="15112" width="10" style="48" customWidth="1"/>
    <col min="15113" max="15113" width="50.54296875" style="48" customWidth="1"/>
    <col min="15114" max="15367" width="11.453125" style="48"/>
    <col min="15368" max="15368" width="10" style="48" customWidth="1"/>
    <col min="15369" max="15369" width="50.54296875" style="48" customWidth="1"/>
    <col min="15370" max="15623" width="11.453125" style="48"/>
    <col min="15624" max="15624" width="10" style="48" customWidth="1"/>
    <col min="15625" max="15625" width="50.54296875" style="48" customWidth="1"/>
    <col min="15626" max="15879" width="11.453125" style="48"/>
    <col min="15880" max="15880" width="10" style="48" customWidth="1"/>
    <col min="15881" max="15881" width="50.54296875" style="48" customWidth="1"/>
    <col min="15882" max="16135" width="11.453125" style="48"/>
    <col min="16136" max="16136" width="10" style="48" customWidth="1"/>
    <col min="16137" max="16137" width="50.54296875" style="48" customWidth="1"/>
    <col min="16138" max="16384" width="11.453125" style="48"/>
  </cols>
  <sheetData>
    <row r="3" spans="1:16" s="50" customFormat="1" ht="13.5" thickBot="1" x14ac:dyDescent="0.35">
      <c r="B3" s="1001"/>
      <c r="C3" s="1001"/>
      <c r="D3" s="1001"/>
      <c r="L3" s="195"/>
      <c r="M3" s="195"/>
    </row>
    <row r="4" spans="1:16" s="50" customFormat="1" ht="18.5" thickBot="1" x14ac:dyDescent="0.45">
      <c r="B4" s="979" t="str">
        <f>"Remuneración Fija Mensual Presupuestada Año "&amp;P4</f>
        <v>Remuneración Fija Mensual Presupuestada Año 2018</v>
      </c>
      <c r="C4" s="980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1"/>
      <c r="P4" s="50">
        <f>'HC 2018'!I4</f>
        <v>2018</v>
      </c>
    </row>
    <row r="5" spans="1:16" s="50" customFormat="1" ht="13.5" thickBot="1" x14ac:dyDescent="0.35">
      <c r="L5" s="195"/>
      <c r="M5" s="195"/>
    </row>
    <row r="6" spans="1:16" s="45" customFormat="1" ht="12" customHeight="1" x14ac:dyDescent="0.3">
      <c r="B6" s="1057" t="s">
        <v>89</v>
      </c>
      <c r="C6" s="1059" t="s">
        <v>833</v>
      </c>
      <c r="D6" s="1062" t="s">
        <v>110</v>
      </c>
      <c r="E6" s="1072" t="s">
        <v>95</v>
      </c>
      <c r="F6" s="1072"/>
      <c r="G6" s="1072"/>
      <c r="H6" s="1072"/>
      <c r="I6" s="1072"/>
      <c r="J6" s="1072"/>
      <c r="K6" s="1073"/>
      <c r="L6" s="1073"/>
      <c r="M6" s="1073"/>
      <c r="N6" s="1073"/>
      <c r="O6" s="1074"/>
      <c r="P6" s="60">
        <f>HLOOKUP($P$4,'Ing Proyect'!$B$6:$G$12,2,0)</f>
        <v>722000</v>
      </c>
    </row>
    <row r="7" spans="1:16" s="45" customFormat="1" ht="13.75" customHeight="1" x14ac:dyDescent="0.3">
      <c r="B7" s="1058"/>
      <c r="C7" s="1060"/>
      <c r="D7" s="1063"/>
      <c r="E7" s="1069" t="s">
        <v>144</v>
      </c>
      <c r="F7" s="1070"/>
      <c r="G7" s="1070"/>
      <c r="H7" s="1070"/>
      <c r="I7" s="1070"/>
      <c r="J7" s="1070"/>
      <c r="K7" s="1070"/>
      <c r="L7" s="1070"/>
      <c r="M7" s="1070"/>
      <c r="N7" s="1071"/>
      <c r="O7" s="1079" t="s">
        <v>148</v>
      </c>
      <c r="P7" s="135"/>
    </row>
    <row r="8" spans="1:16" s="45" customFormat="1" ht="13" customHeight="1" x14ac:dyDescent="0.3">
      <c r="B8" s="1058"/>
      <c r="C8" s="1060"/>
      <c r="D8" s="1063"/>
      <c r="E8" s="221" t="s">
        <v>96</v>
      </c>
      <c r="F8" s="221" t="s">
        <v>113</v>
      </c>
      <c r="G8" s="221" t="s">
        <v>97</v>
      </c>
      <c r="H8" s="221" t="s">
        <v>65</v>
      </c>
      <c r="I8" s="222" t="s">
        <v>102</v>
      </c>
      <c r="J8" s="222" t="s">
        <v>101</v>
      </c>
      <c r="K8" s="1075" t="s">
        <v>205</v>
      </c>
      <c r="L8" s="1076"/>
      <c r="M8" s="1076"/>
      <c r="N8" s="1077" t="s">
        <v>206</v>
      </c>
      <c r="O8" s="1080"/>
      <c r="P8" s="135"/>
    </row>
    <row r="9" spans="1:16" s="45" customFormat="1" ht="13" x14ac:dyDescent="0.3">
      <c r="B9" s="196"/>
      <c r="C9" s="194"/>
      <c r="D9" s="197"/>
      <c r="E9" s="223"/>
      <c r="F9" s="223"/>
      <c r="G9" s="223"/>
      <c r="H9" s="223"/>
      <c r="I9" s="224"/>
      <c r="J9" s="224"/>
      <c r="K9" s="191" t="s">
        <v>203</v>
      </c>
      <c r="L9" s="191" t="s">
        <v>204</v>
      </c>
      <c r="M9" s="191" t="s">
        <v>65</v>
      </c>
      <c r="N9" s="1078"/>
      <c r="O9" s="1081"/>
      <c r="P9" s="220"/>
    </row>
    <row r="10" spans="1:16" s="46" customFormat="1" x14ac:dyDescent="0.25">
      <c r="A10" s="46">
        <v>1</v>
      </c>
      <c r="B10" s="52" t="s">
        <v>93</v>
      </c>
      <c r="C10" s="53">
        <f>'RF 2017'!C10+1</f>
        <v>13</v>
      </c>
      <c r="D10" s="53" t="s">
        <v>91</v>
      </c>
      <c r="E10" s="54">
        <v>4</v>
      </c>
      <c r="F10" s="55">
        <f t="shared" ref="F10:F18" si="0">IF(C10=2,1,IF(C10=3,1.5,2))</f>
        <v>2</v>
      </c>
      <c r="G10" s="54">
        <v>6</v>
      </c>
      <c r="H10" s="54">
        <f>SUM(E10:G10)</f>
        <v>12</v>
      </c>
      <c r="I10" s="56">
        <f>VLOOKUP($A10,'HC 2018'!$A$9:$H$24,8,0)</f>
        <v>1</v>
      </c>
      <c r="J10" s="61">
        <f>H10*I10</f>
        <v>12</v>
      </c>
      <c r="K10" s="82">
        <f>VLOOKUP("Subtotal prestaciones sociales",Factor!$B$6:$F$25,IF($D10="Laboral",3,5),0)</f>
        <v>0.17666666666666667</v>
      </c>
      <c r="L10" s="82">
        <f>IF($D10="Laboral",0,VLOOKUP("Subtotal seguridad social",Factor!$B$6:$F$25,5))</f>
        <v>0</v>
      </c>
      <c r="M10" s="82">
        <f>SUM(K10:L10)</f>
        <v>0.17666666666666667</v>
      </c>
      <c r="N10" s="80">
        <f>ROUND(J10*(1+M10),1)</f>
        <v>14.1</v>
      </c>
      <c r="O10" s="62">
        <f t="shared" ref="O10:O18" si="1">N10*$P$6</f>
        <v>10180200</v>
      </c>
    </row>
    <row r="11" spans="1:16" s="46" customFormat="1" x14ac:dyDescent="0.25">
      <c r="A11" s="46">
        <v>2</v>
      </c>
      <c r="B11" s="52" t="s">
        <v>90</v>
      </c>
      <c r="C11" s="53">
        <f>'RF 2017'!C11+1</f>
        <v>5</v>
      </c>
      <c r="D11" s="53" t="s">
        <v>91</v>
      </c>
      <c r="E11" s="54">
        <v>4</v>
      </c>
      <c r="F11" s="55">
        <f t="shared" si="0"/>
        <v>2</v>
      </c>
      <c r="G11" s="54">
        <v>0</v>
      </c>
      <c r="H11" s="54">
        <f t="shared" ref="H11:H18" si="2">SUM(E11:G11)</f>
        <v>6</v>
      </c>
      <c r="I11" s="56">
        <f>VLOOKUP($A11,'HC 2018'!$A$9:$H$24,8,0)</f>
        <v>1</v>
      </c>
      <c r="J11" s="61">
        <f t="shared" ref="J11:J18" si="3">H11*I11</f>
        <v>6</v>
      </c>
      <c r="K11" s="82">
        <f>VLOOKUP("Subtotal prestaciones sociales",Factor!$B$6:$F$25,IF($D11="Laboral",3,5),0)</f>
        <v>0.17666666666666667</v>
      </c>
      <c r="L11" s="82">
        <f>IF($D11="Laboral",0,VLOOKUP("Subtotal seguridad social",Factor!$B$6:$F$25,5))</f>
        <v>0</v>
      </c>
      <c r="M11" s="82">
        <f t="shared" ref="M11:M18" si="4">SUM(K11:L11)</f>
        <v>0.17666666666666667</v>
      </c>
      <c r="N11" s="80">
        <f t="shared" ref="N11:N18" si="5">ROUND(J11*(1+M11),1)</f>
        <v>7.1</v>
      </c>
      <c r="O11" s="62">
        <f t="shared" si="1"/>
        <v>5126200</v>
      </c>
    </row>
    <row r="12" spans="1:16" s="46" customFormat="1" x14ac:dyDescent="0.25">
      <c r="A12" s="46">
        <v>3</v>
      </c>
      <c r="B12" s="52" t="s">
        <v>90</v>
      </c>
      <c r="C12" s="53">
        <f>'RF 2017'!C12+1</f>
        <v>5</v>
      </c>
      <c r="D12" s="53" t="s">
        <v>109</v>
      </c>
      <c r="E12" s="54">
        <v>4</v>
      </c>
      <c r="F12" s="55">
        <f t="shared" si="0"/>
        <v>2</v>
      </c>
      <c r="G12" s="54">
        <v>0</v>
      </c>
      <c r="H12" s="54">
        <f t="shared" si="2"/>
        <v>6</v>
      </c>
      <c r="I12" s="56">
        <f>VLOOKUP($A12,'HC 2018'!$A$9:$H$24,8,0)</f>
        <v>0.9</v>
      </c>
      <c r="J12" s="61">
        <f t="shared" si="3"/>
        <v>5.4</v>
      </c>
      <c r="K12" s="82">
        <f>VLOOKUP("Subtotal prestaciones sociales",Factor!$B$6:$F$25,IF($D12="Laboral",3,5),0)</f>
        <v>0.17666666666666667</v>
      </c>
      <c r="L12" s="82">
        <f>IF($D12="Laboral",0,VLOOKUP("Subtotal seguridad social",Factor!$B$6:$F$25,5))</f>
        <v>0.21500000000000002</v>
      </c>
      <c r="M12" s="82">
        <f t="shared" si="4"/>
        <v>0.39166666666666672</v>
      </c>
      <c r="N12" s="80">
        <f t="shared" si="5"/>
        <v>7.5</v>
      </c>
      <c r="O12" s="62">
        <f t="shared" si="1"/>
        <v>5415000</v>
      </c>
    </row>
    <row r="13" spans="1:16" s="46" customFormat="1" x14ac:dyDescent="0.25">
      <c r="A13" s="46">
        <v>4</v>
      </c>
      <c r="B13" s="52" t="s">
        <v>90</v>
      </c>
      <c r="C13" s="53">
        <f>'RF 2017'!C13+1</f>
        <v>6</v>
      </c>
      <c r="D13" s="53" t="s">
        <v>109</v>
      </c>
      <c r="E13" s="54">
        <v>4</v>
      </c>
      <c r="F13" s="55">
        <f t="shared" si="0"/>
        <v>2</v>
      </c>
      <c r="G13" s="54">
        <v>0</v>
      </c>
      <c r="H13" s="54">
        <f t="shared" si="2"/>
        <v>6</v>
      </c>
      <c r="I13" s="56">
        <f>VLOOKUP($A13,'HC 2018'!$A$9:$H$24,8,0)</f>
        <v>0.9</v>
      </c>
      <c r="J13" s="61">
        <f t="shared" si="3"/>
        <v>5.4</v>
      </c>
      <c r="K13" s="82">
        <f>VLOOKUP("Subtotal prestaciones sociales",Factor!$B$6:$F$25,IF($D13="Laboral",3,5),0)</f>
        <v>0.17666666666666667</v>
      </c>
      <c r="L13" s="82">
        <f>IF($D13="Laboral",0,VLOOKUP("Subtotal seguridad social",Factor!$B$6:$F$25,5))</f>
        <v>0.21500000000000002</v>
      </c>
      <c r="M13" s="82">
        <f t="shared" si="4"/>
        <v>0.39166666666666672</v>
      </c>
      <c r="N13" s="80">
        <f t="shared" si="5"/>
        <v>7.5</v>
      </c>
      <c r="O13" s="62">
        <f t="shared" si="1"/>
        <v>5415000</v>
      </c>
    </row>
    <row r="14" spans="1:16" s="46" customFormat="1" x14ac:dyDescent="0.25">
      <c r="A14" s="46">
        <v>5</v>
      </c>
      <c r="B14" s="52" t="s">
        <v>90</v>
      </c>
      <c r="C14" s="53">
        <f>'RF 2017'!C14+1</f>
        <v>8</v>
      </c>
      <c r="D14" s="53" t="s">
        <v>91</v>
      </c>
      <c r="E14" s="54">
        <v>4</v>
      </c>
      <c r="F14" s="55">
        <f t="shared" si="0"/>
        <v>2</v>
      </c>
      <c r="G14" s="54">
        <v>0</v>
      </c>
      <c r="H14" s="54">
        <f t="shared" si="2"/>
        <v>6</v>
      </c>
      <c r="I14" s="56">
        <f>VLOOKUP($A14,'HC 2018'!$A$9:$H$24,8,0)</f>
        <v>1</v>
      </c>
      <c r="J14" s="61">
        <f t="shared" si="3"/>
        <v>6</v>
      </c>
      <c r="K14" s="82">
        <f>VLOOKUP("Subtotal prestaciones sociales",Factor!$B$6:$F$25,IF($D14="Laboral",3,5),0)</f>
        <v>0.17666666666666667</v>
      </c>
      <c r="L14" s="82">
        <f>IF($D14="Laboral",0,VLOOKUP("Subtotal seguridad social",Factor!$B$6:$F$25,5))</f>
        <v>0</v>
      </c>
      <c r="M14" s="82">
        <f t="shared" si="4"/>
        <v>0.17666666666666667</v>
      </c>
      <c r="N14" s="80">
        <f t="shared" si="5"/>
        <v>7.1</v>
      </c>
      <c r="O14" s="62">
        <f t="shared" si="1"/>
        <v>5126200</v>
      </c>
    </row>
    <row r="15" spans="1:16" s="46" customFormat="1" x14ac:dyDescent="0.25">
      <c r="A15" s="46">
        <v>6</v>
      </c>
      <c r="B15" s="52" t="s">
        <v>90</v>
      </c>
      <c r="C15" s="53">
        <f>'RF 2017'!C15+1</f>
        <v>5</v>
      </c>
      <c r="D15" s="53" t="s">
        <v>109</v>
      </c>
      <c r="E15" s="54">
        <v>4</v>
      </c>
      <c r="F15" s="55">
        <f t="shared" si="0"/>
        <v>2</v>
      </c>
      <c r="G15" s="54">
        <v>0</v>
      </c>
      <c r="H15" s="54">
        <f t="shared" si="2"/>
        <v>6</v>
      </c>
      <c r="I15" s="56">
        <f>VLOOKUP($A15,'HC 2018'!$A$9:$H$24,8,0)</f>
        <v>0.9</v>
      </c>
      <c r="J15" s="61">
        <f t="shared" si="3"/>
        <v>5.4</v>
      </c>
      <c r="K15" s="82">
        <f>VLOOKUP("Subtotal prestaciones sociales",Factor!$B$6:$F$25,IF($D15="Laboral",3,5),0)</f>
        <v>0.17666666666666667</v>
      </c>
      <c r="L15" s="82">
        <f>IF($D15="Laboral",0,VLOOKUP("Subtotal seguridad social",Factor!$B$6:$F$25,5))</f>
        <v>0.21500000000000002</v>
      </c>
      <c r="M15" s="82">
        <f t="shared" si="4"/>
        <v>0.39166666666666672</v>
      </c>
      <c r="N15" s="80">
        <f t="shared" si="5"/>
        <v>7.5</v>
      </c>
      <c r="O15" s="62">
        <f t="shared" si="1"/>
        <v>5415000</v>
      </c>
    </row>
    <row r="16" spans="1:16" s="46" customFormat="1" x14ac:dyDescent="0.25">
      <c r="A16" s="46">
        <v>7</v>
      </c>
      <c r="B16" s="52" t="s">
        <v>90</v>
      </c>
      <c r="C16" s="53">
        <f>'RF 2017'!C16+1</f>
        <v>5</v>
      </c>
      <c r="D16" s="53" t="s">
        <v>109</v>
      </c>
      <c r="E16" s="54">
        <v>4</v>
      </c>
      <c r="F16" s="55">
        <f t="shared" si="0"/>
        <v>2</v>
      </c>
      <c r="G16" s="54">
        <v>0</v>
      </c>
      <c r="H16" s="54">
        <f t="shared" si="2"/>
        <v>6</v>
      </c>
      <c r="I16" s="56">
        <f>VLOOKUP($A16,'HC 2018'!$A$9:$H$24,8,0)</f>
        <v>0.9</v>
      </c>
      <c r="J16" s="61">
        <f t="shared" si="3"/>
        <v>5.4</v>
      </c>
      <c r="K16" s="82">
        <f>VLOOKUP("Subtotal prestaciones sociales",Factor!$B$6:$F$25,IF($D16="Laboral",3,5),0)</f>
        <v>0.17666666666666667</v>
      </c>
      <c r="L16" s="82">
        <f>IF($D16="Laboral",0,VLOOKUP("Subtotal seguridad social",Factor!$B$6:$F$25,5))</f>
        <v>0.21500000000000002</v>
      </c>
      <c r="M16" s="82">
        <f t="shared" si="4"/>
        <v>0.39166666666666672</v>
      </c>
      <c r="N16" s="80">
        <f t="shared" si="5"/>
        <v>7.5</v>
      </c>
      <c r="O16" s="62">
        <f t="shared" si="1"/>
        <v>5415000</v>
      </c>
    </row>
    <row r="17" spans="1:16" s="46" customFormat="1" x14ac:dyDescent="0.25">
      <c r="A17" s="46">
        <v>8</v>
      </c>
      <c r="B17" s="52" t="s">
        <v>90</v>
      </c>
      <c r="C17" s="53">
        <f>'RF 2017'!C17+1</f>
        <v>10</v>
      </c>
      <c r="D17" s="53" t="s">
        <v>109</v>
      </c>
      <c r="E17" s="54">
        <v>4</v>
      </c>
      <c r="F17" s="55">
        <f t="shared" si="0"/>
        <v>2</v>
      </c>
      <c r="G17" s="54">
        <v>0</v>
      </c>
      <c r="H17" s="54">
        <f t="shared" si="2"/>
        <v>6</v>
      </c>
      <c r="I17" s="56">
        <f>VLOOKUP($A17,'HC 2018'!$A$9:$H$24,8,0)</f>
        <v>0.9</v>
      </c>
      <c r="J17" s="61">
        <f t="shared" si="3"/>
        <v>5.4</v>
      </c>
      <c r="K17" s="82">
        <f>VLOOKUP("Subtotal prestaciones sociales",Factor!$B$6:$F$25,IF($D17="Laboral",3,5),0)</f>
        <v>0.17666666666666667</v>
      </c>
      <c r="L17" s="82">
        <f>IF($D17="Laboral",0,VLOOKUP("Subtotal seguridad social",Factor!$B$6:$F$25,5))</f>
        <v>0.21500000000000002</v>
      </c>
      <c r="M17" s="82">
        <f t="shared" si="4"/>
        <v>0.39166666666666672</v>
      </c>
      <c r="N17" s="80">
        <f t="shared" si="5"/>
        <v>7.5</v>
      </c>
      <c r="O17" s="62">
        <f t="shared" si="1"/>
        <v>5415000</v>
      </c>
    </row>
    <row r="18" spans="1:16" s="46" customFormat="1" x14ac:dyDescent="0.25">
      <c r="A18" s="46">
        <v>9</v>
      </c>
      <c r="B18" s="52" t="s">
        <v>90</v>
      </c>
      <c r="C18" s="53">
        <f>'RF 2017'!C18+1</f>
        <v>5</v>
      </c>
      <c r="D18" s="53" t="s">
        <v>91</v>
      </c>
      <c r="E18" s="54">
        <v>4</v>
      </c>
      <c r="F18" s="55">
        <f t="shared" si="0"/>
        <v>2</v>
      </c>
      <c r="G18" s="54">
        <v>0</v>
      </c>
      <c r="H18" s="54">
        <f t="shared" si="2"/>
        <v>6</v>
      </c>
      <c r="I18" s="56">
        <f>VLOOKUP($A18,'HC 2018'!$A$9:$H$24,8,0)</f>
        <v>1</v>
      </c>
      <c r="J18" s="61">
        <f t="shared" si="3"/>
        <v>6</v>
      </c>
      <c r="K18" s="82">
        <f>VLOOKUP("Subtotal prestaciones sociales",Factor!$B$6:$F$25,IF($D18="Laboral",3,5),0)</f>
        <v>0.17666666666666667</v>
      </c>
      <c r="L18" s="82">
        <f>IF($D18="Laboral",0,VLOOKUP("Subtotal seguridad social",Factor!$B$6:$F$25,5))</f>
        <v>0</v>
      </c>
      <c r="M18" s="82">
        <f t="shared" si="4"/>
        <v>0.17666666666666667</v>
      </c>
      <c r="N18" s="80">
        <f t="shared" si="5"/>
        <v>7.1</v>
      </c>
      <c r="O18" s="62">
        <f t="shared" si="1"/>
        <v>5126200</v>
      </c>
    </row>
    <row r="19" spans="1:16" s="46" customFormat="1" x14ac:dyDescent="0.35">
      <c r="B19" s="122"/>
      <c r="C19" s="123"/>
      <c r="D19" s="123"/>
      <c r="E19" s="124"/>
      <c r="F19" s="125"/>
      <c r="G19" s="124"/>
      <c r="H19" s="124"/>
      <c r="I19" s="126"/>
      <c r="J19" s="127"/>
      <c r="K19" s="127"/>
      <c r="L19" s="127"/>
      <c r="M19" s="127"/>
      <c r="N19" s="127"/>
      <c r="O19" s="128"/>
    </row>
    <row r="20" spans="1:16" s="46" customFormat="1" ht="13" x14ac:dyDescent="0.3">
      <c r="B20" s="73" t="s">
        <v>103</v>
      </c>
      <c r="C20" s="65"/>
      <c r="D20" s="65"/>
      <c r="E20" s="75"/>
      <c r="F20" s="76"/>
      <c r="G20" s="77"/>
      <c r="H20" s="77"/>
      <c r="I20" s="78"/>
      <c r="J20" s="74">
        <f>SUM(J10:J18)</f>
        <v>56.999999999999993</v>
      </c>
      <c r="K20" s="81"/>
      <c r="L20" s="81"/>
      <c r="M20" s="81"/>
      <c r="N20" s="229">
        <f>SUM(N10:N18)</f>
        <v>72.900000000000006</v>
      </c>
      <c r="O20" s="79">
        <f>SUM(O10:O18)</f>
        <v>52633800</v>
      </c>
    </row>
    <row r="21" spans="1:16" s="46" customFormat="1" x14ac:dyDescent="0.35">
      <c r="B21" s="52"/>
      <c r="C21" s="53"/>
      <c r="D21" s="53"/>
      <c r="E21" s="54"/>
      <c r="F21" s="55"/>
      <c r="G21" s="54"/>
      <c r="H21" s="54"/>
      <c r="I21" s="56"/>
      <c r="J21" s="61"/>
      <c r="K21" s="80"/>
      <c r="L21" s="80"/>
      <c r="M21" s="80"/>
      <c r="N21" s="80"/>
      <c r="O21" s="59"/>
    </row>
    <row r="22" spans="1:16" s="46" customFormat="1" x14ac:dyDescent="0.25">
      <c r="A22" s="46">
        <v>10</v>
      </c>
      <c r="B22" s="52" t="s">
        <v>111</v>
      </c>
      <c r="C22" s="58" t="s">
        <v>45</v>
      </c>
      <c r="D22" s="53" t="s">
        <v>91</v>
      </c>
      <c r="E22" s="54">
        <v>3</v>
      </c>
      <c r="F22" s="55">
        <v>0</v>
      </c>
      <c r="G22" s="54">
        <v>0</v>
      </c>
      <c r="H22" s="54">
        <f t="shared" ref="H22:H23" si="6">SUM(E22:G22)</f>
        <v>3</v>
      </c>
      <c r="I22" s="56">
        <f>VLOOKUP($A22,'HC 2018'!$A$9:$H$24,8,0)</f>
        <v>1</v>
      </c>
      <c r="J22" s="61">
        <f t="shared" ref="J22:J23" si="7">H22*I22</f>
        <v>3</v>
      </c>
      <c r="K22" s="82">
        <f>VLOOKUP("Subtotal prestaciones sociales",Factor!$B$6:$F$25,IF($D22="Laboral",3,5),0)*0</f>
        <v>0</v>
      </c>
      <c r="L22" s="82">
        <f>IF($D22="Laboral",0,VLOOKUP("Subtotal seguridad social",Factor!$B$6:$F$25,5))</f>
        <v>0</v>
      </c>
      <c r="M22" s="82">
        <f t="shared" ref="M22:M23" si="8">SUM(K22:L22)</f>
        <v>0</v>
      </c>
      <c r="N22" s="80">
        <f t="shared" ref="N22:N23" si="9">ROUND(J22*(1+M22),1)</f>
        <v>3</v>
      </c>
      <c r="O22" s="62">
        <f t="shared" ref="O22:O23" si="10">N22*$P$6</f>
        <v>2166000</v>
      </c>
    </row>
    <row r="23" spans="1:16" s="46" customFormat="1" x14ac:dyDescent="0.25">
      <c r="A23" s="46">
        <v>11</v>
      </c>
      <c r="B23" s="52" t="s">
        <v>92</v>
      </c>
      <c r="C23" s="58" t="s">
        <v>45</v>
      </c>
      <c r="D23" s="53" t="s">
        <v>91</v>
      </c>
      <c r="E23" s="54">
        <v>1.5</v>
      </c>
      <c r="F23" s="55">
        <v>0</v>
      </c>
      <c r="G23" s="54">
        <v>0</v>
      </c>
      <c r="H23" s="54">
        <f t="shared" si="6"/>
        <v>1.5</v>
      </c>
      <c r="I23" s="56">
        <f>VLOOKUP($A23,'HC 2018'!$A$9:$H$24,8,0)</f>
        <v>1</v>
      </c>
      <c r="J23" s="61">
        <f t="shared" si="7"/>
        <v>1.5</v>
      </c>
      <c r="K23" s="82">
        <f>VLOOKUP("Subtotal prestaciones sociales",Factor!$B$6:$F$25,IF($D23="Laboral",3,5),0)*0</f>
        <v>0</v>
      </c>
      <c r="L23" s="82">
        <f>IF($D23="Laboral",0,VLOOKUP("Subtotal seguridad social",Factor!$B$6:$F$25,5))</f>
        <v>0</v>
      </c>
      <c r="M23" s="82">
        <f t="shared" si="8"/>
        <v>0</v>
      </c>
      <c r="N23" s="80">
        <f t="shared" si="9"/>
        <v>1.5</v>
      </c>
      <c r="O23" s="62">
        <f t="shared" si="10"/>
        <v>1083000</v>
      </c>
    </row>
    <row r="24" spans="1:16" x14ac:dyDescent="0.25">
      <c r="B24" s="129"/>
      <c r="C24" s="130"/>
      <c r="D24" s="130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2"/>
    </row>
    <row r="25" spans="1:16" ht="13.5" thickBot="1" x14ac:dyDescent="0.35">
      <c r="B25" s="68" t="s">
        <v>65</v>
      </c>
      <c r="C25" s="69"/>
      <c r="D25" s="69"/>
      <c r="E25" s="71"/>
      <c r="F25" s="71"/>
      <c r="G25" s="71"/>
      <c r="H25" s="71"/>
      <c r="I25" s="72"/>
      <c r="J25" s="63">
        <f>SUM(J20:J23)</f>
        <v>61.499999999999993</v>
      </c>
      <c r="K25" s="67"/>
      <c r="L25" s="67"/>
      <c r="M25" s="67"/>
      <c r="N25" s="67">
        <f>SUM(N20:N23)</f>
        <v>77.400000000000006</v>
      </c>
      <c r="O25" s="64">
        <f>SUM(O20:O23)</f>
        <v>55882800</v>
      </c>
      <c r="P25" s="228">
        <f>O25/N25-P6</f>
        <v>0</v>
      </c>
    </row>
    <row r="27" spans="1:16" x14ac:dyDescent="0.25">
      <c r="B27" s="47" t="s">
        <v>104</v>
      </c>
    </row>
    <row r="28" spans="1:16" x14ac:dyDescent="0.25">
      <c r="B28" s="47" t="s">
        <v>105</v>
      </c>
    </row>
  </sheetData>
  <mergeCells count="10">
    <mergeCell ref="E7:N7"/>
    <mergeCell ref="B3:D3"/>
    <mergeCell ref="B4:O4"/>
    <mergeCell ref="B6:B8"/>
    <mergeCell ref="C6:C8"/>
    <mergeCell ref="D6:D8"/>
    <mergeCell ref="E6:O6"/>
    <mergeCell ref="K8:M8"/>
    <mergeCell ref="N8:N9"/>
    <mergeCell ref="O7:O9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S33"/>
  <sheetViews>
    <sheetView zoomScaleNormal="100" zoomScaleSheetLayoutView="100" workbookViewId="0">
      <pane xSplit="4" ySplit="7" topLeftCell="E10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9.6328125" style="47" customWidth="1"/>
    <col min="4" max="4" width="6.08984375" style="47" bestFit="1" customWidth="1"/>
    <col min="5" max="15" width="10.6328125" style="48" customWidth="1"/>
    <col min="16" max="16" width="11.36328125" style="48" bestFit="1" customWidth="1"/>
    <col min="17" max="17" width="2.6328125" style="48" customWidth="1"/>
    <col min="18" max="18" width="11.90625" style="48" bestFit="1" customWidth="1"/>
    <col min="19" max="16384" width="11.453125" style="48"/>
  </cols>
  <sheetData>
    <row r="3" spans="2:19" ht="13.5" thickBot="1" x14ac:dyDescent="0.3">
      <c r="E3" s="144">
        <v>1</v>
      </c>
      <c r="F3" s="144">
        <v>2</v>
      </c>
      <c r="G3" s="144">
        <v>3</v>
      </c>
      <c r="H3" s="144">
        <v>4</v>
      </c>
      <c r="I3" s="144">
        <v>5</v>
      </c>
      <c r="J3" s="144">
        <v>6</v>
      </c>
      <c r="K3" s="144">
        <v>7</v>
      </c>
      <c r="L3" s="144">
        <v>8</v>
      </c>
      <c r="M3" s="144">
        <v>9</v>
      </c>
      <c r="N3" s="144">
        <v>10</v>
      </c>
      <c r="O3" s="144">
        <v>11</v>
      </c>
    </row>
    <row r="4" spans="2:19" ht="18.5" thickBot="1" x14ac:dyDescent="0.45">
      <c r="B4" s="979" t="str">
        <f>"Remuneración Variable Mensual Presupuestada Año "&amp;R6</f>
        <v>Remuneración Variable Mensual Presupuestada Año 2018</v>
      </c>
      <c r="C4" s="980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0"/>
      <c r="P4" s="981"/>
    </row>
    <row r="5" spans="2:19" ht="13" thickBot="1" x14ac:dyDescent="0.3"/>
    <row r="6" spans="2:19" ht="23" x14ac:dyDescent="0.3">
      <c r="B6" s="1028" t="s">
        <v>89</v>
      </c>
      <c r="C6" s="1029"/>
      <c r="D6" s="1030"/>
      <c r="E6" s="167" t="s">
        <v>93</v>
      </c>
      <c r="F6" s="167" t="s">
        <v>90</v>
      </c>
      <c r="G6" s="167" t="s">
        <v>90</v>
      </c>
      <c r="H6" s="167" t="s">
        <v>90</v>
      </c>
      <c r="I6" s="167" t="s">
        <v>90</v>
      </c>
      <c r="J6" s="167" t="s">
        <v>90</v>
      </c>
      <c r="K6" s="167" t="s">
        <v>90</v>
      </c>
      <c r="L6" s="167" t="s">
        <v>90</v>
      </c>
      <c r="M6" s="167" t="s">
        <v>90</v>
      </c>
      <c r="N6" s="167" t="s">
        <v>111</v>
      </c>
      <c r="O6" s="167" t="s">
        <v>92</v>
      </c>
      <c r="P6" s="166" t="s">
        <v>65</v>
      </c>
      <c r="R6" s="143">
        <v>2018</v>
      </c>
      <c r="S6" s="48" t="s">
        <v>71</v>
      </c>
    </row>
    <row r="7" spans="2:19" ht="13" x14ac:dyDescent="0.3">
      <c r="B7" s="1006" t="s">
        <v>110</v>
      </c>
      <c r="C7" s="1007"/>
      <c r="D7" s="1008"/>
      <c r="E7" s="168" t="s">
        <v>91</v>
      </c>
      <c r="F7" s="168" t="s">
        <v>91</v>
      </c>
      <c r="G7" s="168" t="s">
        <v>109</v>
      </c>
      <c r="H7" s="168" t="s">
        <v>109</v>
      </c>
      <c r="I7" s="168" t="s">
        <v>91</v>
      </c>
      <c r="J7" s="168" t="s">
        <v>109</v>
      </c>
      <c r="K7" s="168" t="s">
        <v>109</v>
      </c>
      <c r="L7" s="168" t="s">
        <v>109</v>
      </c>
      <c r="M7" s="168" t="s">
        <v>91</v>
      </c>
      <c r="N7" s="168" t="s">
        <v>91</v>
      </c>
      <c r="O7" s="168" t="s">
        <v>91</v>
      </c>
      <c r="P7" s="169"/>
      <c r="R7" s="143"/>
    </row>
    <row r="8" spans="2:19" ht="13" x14ac:dyDescent="0.3">
      <c r="B8" s="1006" t="s">
        <v>178</v>
      </c>
      <c r="C8" s="1007"/>
      <c r="D8" s="1008"/>
      <c r="E8" s="148">
        <f>VLOOKUP(E3,'HC 2018'!$A$9:$H$24,7,0)</f>
        <v>20</v>
      </c>
      <c r="F8" s="148">
        <f>VLOOKUP(F3,'HC 2018'!$A$9:$H$24,7,0)</f>
        <v>40</v>
      </c>
      <c r="G8" s="148">
        <f>VLOOKUP(G3,'HC 2018'!$A$9:$H$24,7,0)</f>
        <v>36</v>
      </c>
      <c r="H8" s="148">
        <f>VLOOKUP(H3,'HC 2018'!$A$9:$H$24,7,0)</f>
        <v>36</v>
      </c>
      <c r="I8" s="148">
        <f>VLOOKUP(I3,'HC 2018'!$A$9:$H$24,7,0)</f>
        <v>40</v>
      </c>
      <c r="J8" s="148">
        <f>VLOOKUP(J3,'HC 2018'!$A$9:$H$24,7,0)</f>
        <v>36</v>
      </c>
      <c r="K8" s="148">
        <f>VLOOKUP(K3,'HC 2018'!$A$9:$H$24,7,0)</f>
        <v>36</v>
      </c>
      <c r="L8" s="148">
        <f>VLOOKUP(L3,'HC 2018'!$A$9:$H$24,7,0)</f>
        <v>36</v>
      </c>
      <c r="M8" s="148">
        <f>VLOOKUP(M3,'HC 2018'!$A$9:$H$24,7,0)</f>
        <v>40</v>
      </c>
      <c r="N8" s="148">
        <v>0</v>
      </c>
      <c r="O8" s="148">
        <v>0</v>
      </c>
      <c r="P8" s="164"/>
      <c r="R8" s="60">
        <f>HLOOKUP($R$6,'Ing Proyect'!$B$6:$G$12,6,0)</f>
        <v>156674000</v>
      </c>
      <c r="S8" s="48" t="s">
        <v>175</v>
      </c>
    </row>
    <row r="9" spans="2:19" ht="13" x14ac:dyDescent="0.3">
      <c r="B9" s="1006" t="s">
        <v>177</v>
      </c>
      <c r="C9" s="1007"/>
      <c r="D9" s="1008"/>
      <c r="E9" s="150">
        <f t="shared" ref="E9:L9" si="0">E8/SUM($E$8:$O$8)</f>
        <v>6.25E-2</v>
      </c>
      <c r="F9" s="150">
        <f t="shared" si="0"/>
        <v>0.125</v>
      </c>
      <c r="G9" s="150">
        <f t="shared" si="0"/>
        <v>0.1125</v>
      </c>
      <c r="H9" s="150">
        <f t="shared" si="0"/>
        <v>0.1125</v>
      </c>
      <c r="I9" s="150">
        <f t="shared" si="0"/>
        <v>0.125</v>
      </c>
      <c r="J9" s="150">
        <f t="shared" si="0"/>
        <v>0.1125</v>
      </c>
      <c r="K9" s="150">
        <f t="shared" si="0"/>
        <v>0.1125</v>
      </c>
      <c r="L9" s="150">
        <f t="shared" si="0"/>
        <v>0.1125</v>
      </c>
      <c r="M9" s="150">
        <f>M8/SUM($E$8:$O$8)</f>
        <v>0.125</v>
      </c>
      <c r="N9" s="150">
        <f t="shared" ref="N9:O9" si="1">N8/SUM($E$8:$O$8)</f>
        <v>0</v>
      </c>
      <c r="O9" s="150">
        <f t="shared" si="1"/>
        <v>0</v>
      </c>
      <c r="P9" s="165">
        <f>SUM(E9:O9)</f>
        <v>1</v>
      </c>
      <c r="R9" s="60">
        <f>HLOOKUP($R$6,'Ing Proyect'!$B$6:$G$12,2,0)</f>
        <v>722000</v>
      </c>
      <c r="S9" s="48" t="s">
        <v>69</v>
      </c>
    </row>
    <row r="10" spans="2:19" x14ac:dyDescent="0.25">
      <c r="B10" s="1006" t="s">
        <v>176</v>
      </c>
      <c r="C10" s="1007"/>
      <c r="D10" s="1008"/>
      <c r="E10" s="151">
        <f t="shared" ref="E10:O10" si="2">ROUND(E9*$R$8,0)</f>
        <v>9792125</v>
      </c>
      <c r="F10" s="151">
        <f t="shared" si="2"/>
        <v>19584250</v>
      </c>
      <c r="G10" s="151">
        <f t="shared" si="2"/>
        <v>17625825</v>
      </c>
      <c r="H10" s="151">
        <f t="shared" si="2"/>
        <v>17625825</v>
      </c>
      <c r="I10" s="151">
        <f t="shared" si="2"/>
        <v>19584250</v>
      </c>
      <c r="J10" s="151">
        <f t="shared" si="2"/>
        <v>17625825</v>
      </c>
      <c r="K10" s="151">
        <f t="shared" si="2"/>
        <v>17625825</v>
      </c>
      <c r="L10" s="151">
        <f t="shared" si="2"/>
        <v>17625825</v>
      </c>
      <c r="M10" s="151">
        <f t="shared" si="2"/>
        <v>19584250</v>
      </c>
      <c r="N10" s="151">
        <f t="shared" si="2"/>
        <v>0</v>
      </c>
      <c r="O10" s="151">
        <f t="shared" si="2"/>
        <v>0</v>
      </c>
      <c r="P10" s="152">
        <f>SUM(E10:O10)</f>
        <v>156674000</v>
      </c>
    </row>
    <row r="11" spans="2:19" x14ac:dyDescent="0.25">
      <c r="B11" s="1018" t="s">
        <v>163</v>
      </c>
      <c r="C11" s="146" t="s">
        <v>164</v>
      </c>
      <c r="D11" s="146"/>
      <c r="E11" s="153">
        <v>0.1</v>
      </c>
      <c r="F11" s="153">
        <v>0.1</v>
      </c>
      <c r="G11" s="153">
        <v>0.1</v>
      </c>
      <c r="H11" s="153">
        <v>0.1</v>
      </c>
      <c r="I11" s="153">
        <v>0.1</v>
      </c>
      <c r="J11" s="153">
        <v>0.1</v>
      </c>
      <c r="K11" s="153">
        <v>0.1</v>
      </c>
      <c r="L11" s="153">
        <v>0.1</v>
      </c>
      <c r="M11" s="153">
        <v>0.1</v>
      </c>
      <c r="N11" s="153">
        <v>0</v>
      </c>
      <c r="O11" s="153">
        <v>0</v>
      </c>
      <c r="P11" s="1034"/>
    </row>
    <row r="12" spans="2:19" x14ac:dyDescent="0.25">
      <c r="B12" s="1020"/>
      <c r="C12" s="1027" t="s">
        <v>165</v>
      </c>
      <c r="D12" s="147" t="s">
        <v>69</v>
      </c>
      <c r="E12" s="154">
        <v>20</v>
      </c>
      <c r="F12" s="154">
        <v>20</v>
      </c>
      <c r="G12" s="154">
        <v>20</v>
      </c>
      <c r="H12" s="154">
        <v>20</v>
      </c>
      <c r="I12" s="154">
        <v>20</v>
      </c>
      <c r="J12" s="154">
        <v>20</v>
      </c>
      <c r="K12" s="154">
        <v>20</v>
      </c>
      <c r="L12" s="154">
        <v>20</v>
      </c>
      <c r="M12" s="154">
        <v>20</v>
      </c>
      <c r="N12" s="154">
        <v>20</v>
      </c>
      <c r="O12" s="154">
        <v>20</v>
      </c>
      <c r="P12" s="1035"/>
    </row>
    <row r="13" spans="2:19" x14ac:dyDescent="0.25">
      <c r="B13" s="1020"/>
      <c r="C13" s="1027"/>
      <c r="D13" s="147" t="s">
        <v>70</v>
      </c>
      <c r="E13" s="151">
        <f t="shared" ref="E13:O13" si="3">E12*$R$9</f>
        <v>14440000</v>
      </c>
      <c r="F13" s="151">
        <f t="shared" si="3"/>
        <v>14440000</v>
      </c>
      <c r="G13" s="151">
        <f t="shared" si="3"/>
        <v>14440000</v>
      </c>
      <c r="H13" s="151">
        <f t="shared" si="3"/>
        <v>14440000</v>
      </c>
      <c r="I13" s="151">
        <f t="shared" si="3"/>
        <v>14440000</v>
      </c>
      <c r="J13" s="151">
        <f t="shared" si="3"/>
        <v>14440000</v>
      </c>
      <c r="K13" s="151">
        <f t="shared" si="3"/>
        <v>14440000</v>
      </c>
      <c r="L13" s="151">
        <f t="shared" si="3"/>
        <v>14440000</v>
      </c>
      <c r="M13" s="151">
        <f t="shared" si="3"/>
        <v>14440000</v>
      </c>
      <c r="N13" s="151">
        <f t="shared" si="3"/>
        <v>14440000</v>
      </c>
      <c r="O13" s="151">
        <f t="shared" si="3"/>
        <v>14440000</v>
      </c>
      <c r="P13" s="1036"/>
    </row>
    <row r="14" spans="2:19" x14ac:dyDescent="0.25">
      <c r="B14" s="1019"/>
      <c r="C14" s="1012" t="s">
        <v>160</v>
      </c>
      <c r="D14" s="1014"/>
      <c r="E14" s="160">
        <f t="shared" ref="E14" si="4">ROUND(IF(E10&gt;E13,(E11*E13),(E11*E10)),0)</f>
        <v>979213</v>
      </c>
      <c r="F14" s="160">
        <f>ROUND(IF(F10&gt;F13,(F11*F13),(F11*F10)),0)</f>
        <v>1444000</v>
      </c>
      <c r="G14" s="160">
        <f t="shared" ref="G14:O14" si="5">ROUND(IF(G10&gt;G13,(G11*G13),(G11*G10)),0)</f>
        <v>1444000</v>
      </c>
      <c r="H14" s="160">
        <f t="shared" si="5"/>
        <v>1444000</v>
      </c>
      <c r="I14" s="160">
        <f t="shared" si="5"/>
        <v>1444000</v>
      </c>
      <c r="J14" s="160">
        <f t="shared" si="5"/>
        <v>1444000</v>
      </c>
      <c r="K14" s="160">
        <f t="shared" si="5"/>
        <v>1444000</v>
      </c>
      <c r="L14" s="160">
        <f t="shared" si="5"/>
        <v>1444000</v>
      </c>
      <c r="M14" s="160">
        <f t="shared" si="5"/>
        <v>1444000</v>
      </c>
      <c r="N14" s="160">
        <f t="shared" si="5"/>
        <v>0</v>
      </c>
      <c r="O14" s="160">
        <f t="shared" si="5"/>
        <v>0</v>
      </c>
      <c r="P14" s="152">
        <f>SUM(E14:O14)</f>
        <v>12531213</v>
      </c>
    </row>
    <row r="15" spans="2:19" x14ac:dyDescent="0.25">
      <c r="B15" s="1018" t="s">
        <v>166</v>
      </c>
      <c r="C15" s="1012" t="s">
        <v>164</v>
      </c>
      <c r="D15" s="1013"/>
      <c r="E15" s="153">
        <v>0.2</v>
      </c>
      <c r="F15" s="153">
        <v>0.2</v>
      </c>
      <c r="G15" s="153">
        <v>0.2</v>
      </c>
      <c r="H15" s="153">
        <v>0.2</v>
      </c>
      <c r="I15" s="153">
        <v>0.2</v>
      </c>
      <c r="J15" s="153">
        <v>0.2</v>
      </c>
      <c r="K15" s="153">
        <v>0.2</v>
      </c>
      <c r="L15" s="153">
        <v>0.2</v>
      </c>
      <c r="M15" s="153">
        <v>0.2</v>
      </c>
      <c r="N15" s="153">
        <v>0</v>
      </c>
      <c r="O15" s="153">
        <v>0</v>
      </c>
      <c r="P15" s="149"/>
    </row>
    <row r="16" spans="2:19" x14ac:dyDescent="0.25">
      <c r="B16" s="1019"/>
      <c r="C16" s="1012" t="s">
        <v>160</v>
      </c>
      <c r="D16" s="1014"/>
      <c r="E16" s="160">
        <f t="shared" ref="E16:O16" si="6">ROUND(IF(E10&gt;E13,E15*(E10-E13),0),0)</f>
        <v>0</v>
      </c>
      <c r="F16" s="160">
        <f t="shared" si="6"/>
        <v>1028850</v>
      </c>
      <c r="G16" s="160">
        <f t="shared" si="6"/>
        <v>637165</v>
      </c>
      <c r="H16" s="160">
        <f t="shared" si="6"/>
        <v>637165</v>
      </c>
      <c r="I16" s="160">
        <f t="shared" si="6"/>
        <v>1028850</v>
      </c>
      <c r="J16" s="160">
        <f t="shared" si="6"/>
        <v>637165</v>
      </c>
      <c r="K16" s="160">
        <f t="shared" si="6"/>
        <v>637165</v>
      </c>
      <c r="L16" s="160">
        <f t="shared" si="6"/>
        <v>637165</v>
      </c>
      <c r="M16" s="160">
        <f t="shared" si="6"/>
        <v>1028850</v>
      </c>
      <c r="N16" s="160">
        <f t="shared" si="6"/>
        <v>0</v>
      </c>
      <c r="O16" s="160">
        <f t="shared" si="6"/>
        <v>0</v>
      </c>
      <c r="P16" s="152">
        <f>SUM(E16:O16)</f>
        <v>6272375</v>
      </c>
    </row>
    <row r="17" spans="2:16" x14ac:dyDescent="0.25">
      <c r="B17" s="1009" t="s">
        <v>167</v>
      </c>
      <c r="C17" s="1010"/>
      <c r="D17" s="1011"/>
      <c r="E17" s="160">
        <f t="shared" ref="E17:O17" si="7">E14+E16</f>
        <v>979213</v>
      </c>
      <c r="F17" s="160">
        <f t="shared" si="7"/>
        <v>2472850</v>
      </c>
      <c r="G17" s="160">
        <f t="shared" si="7"/>
        <v>2081165</v>
      </c>
      <c r="H17" s="160">
        <f t="shared" si="7"/>
        <v>2081165</v>
      </c>
      <c r="I17" s="160">
        <f t="shared" si="7"/>
        <v>2472850</v>
      </c>
      <c r="J17" s="160">
        <f t="shared" si="7"/>
        <v>2081165</v>
      </c>
      <c r="K17" s="160">
        <f t="shared" si="7"/>
        <v>2081165</v>
      </c>
      <c r="L17" s="160">
        <f t="shared" si="7"/>
        <v>2081165</v>
      </c>
      <c r="M17" s="160">
        <f t="shared" si="7"/>
        <v>2472850</v>
      </c>
      <c r="N17" s="160">
        <f t="shared" si="7"/>
        <v>0</v>
      </c>
      <c r="O17" s="160">
        <f t="shared" si="7"/>
        <v>0</v>
      </c>
      <c r="P17" s="152">
        <f>SUM(E17:O17)</f>
        <v>18803588</v>
      </c>
    </row>
    <row r="18" spans="2:16" x14ac:dyDescent="0.25">
      <c r="B18" s="1018" t="s">
        <v>162</v>
      </c>
      <c r="C18" s="1037" t="s">
        <v>164</v>
      </c>
      <c r="D18" s="1038"/>
      <c r="E18" s="157">
        <v>0.1</v>
      </c>
      <c r="F18" s="157">
        <v>0</v>
      </c>
      <c r="G18" s="157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63"/>
    </row>
    <row r="19" spans="2:16" x14ac:dyDescent="0.25">
      <c r="B19" s="1019"/>
      <c r="C19" s="1037" t="s">
        <v>160</v>
      </c>
      <c r="D19" s="1008"/>
      <c r="E19" s="160">
        <f t="shared" ref="E19:O19" si="8">E21*E18</f>
        <v>2310400</v>
      </c>
      <c r="F19" s="160">
        <f t="shared" si="8"/>
        <v>0</v>
      </c>
      <c r="G19" s="160">
        <f t="shared" si="8"/>
        <v>0</v>
      </c>
      <c r="H19" s="160">
        <f t="shared" si="8"/>
        <v>0</v>
      </c>
      <c r="I19" s="160">
        <f t="shared" si="8"/>
        <v>0</v>
      </c>
      <c r="J19" s="160">
        <f t="shared" si="8"/>
        <v>0</v>
      </c>
      <c r="K19" s="160">
        <f t="shared" si="8"/>
        <v>0</v>
      </c>
      <c r="L19" s="160">
        <f t="shared" si="8"/>
        <v>0</v>
      </c>
      <c r="M19" s="160">
        <f t="shared" si="8"/>
        <v>0</v>
      </c>
      <c r="N19" s="160">
        <f t="shared" si="8"/>
        <v>0</v>
      </c>
      <c r="O19" s="160">
        <f t="shared" si="8"/>
        <v>0</v>
      </c>
      <c r="P19" s="152">
        <f>SUM(E19:O19)</f>
        <v>2310400</v>
      </c>
    </row>
    <row r="20" spans="2:16" x14ac:dyDescent="0.25">
      <c r="B20" s="1021" t="s">
        <v>197</v>
      </c>
      <c r="C20" s="1012" t="s">
        <v>164</v>
      </c>
      <c r="D20" s="1013"/>
      <c r="E20" s="153">
        <v>0.1</v>
      </c>
      <c r="F20" s="153">
        <v>0.1</v>
      </c>
      <c r="G20" s="153">
        <v>0.1</v>
      </c>
      <c r="H20" s="153">
        <v>0.1</v>
      </c>
      <c r="I20" s="153">
        <v>0.1</v>
      </c>
      <c r="J20" s="153">
        <v>0.1</v>
      </c>
      <c r="K20" s="153">
        <v>0.1</v>
      </c>
      <c r="L20" s="153">
        <v>0.1</v>
      </c>
      <c r="M20" s="153">
        <v>0.1</v>
      </c>
      <c r="N20" s="153">
        <v>0.1</v>
      </c>
      <c r="O20" s="153">
        <v>0.1</v>
      </c>
      <c r="P20" s="1034"/>
    </row>
    <row r="21" spans="2:16" x14ac:dyDescent="0.25">
      <c r="B21" s="1022"/>
      <c r="C21" s="1012" t="s">
        <v>169</v>
      </c>
      <c r="D21" s="1014"/>
      <c r="E21" s="151">
        <f t="shared" ref="E21:O21" si="9">8*4*$R$9</f>
        <v>23104000</v>
      </c>
      <c r="F21" s="151">
        <f t="shared" si="9"/>
        <v>23104000</v>
      </c>
      <c r="G21" s="151">
        <f t="shared" si="9"/>
        <v>23104000</v>
      </c>
      <c r="H21" s="151">
        <f t="shared" si="9"/>
        <v>23104000</v>
      </c>
      <c r="I21" s="151">
        <f t="shared" si="9"/>
        <v>23104000</v>
      </c>
      <c r="J21" s="151">
        <f t="shared" si="9"/>
        <v>23104000</v>
      </c>
      <c r="K21" s="151">
        <f t="shared" si="9"/>
        <v>23104000</v>
      </c>
      <c r="L21" s="151">
        <f t="shared" si="9"/>
        <v>23104000</v>
      </c>
      <c r="M21" s="151">
        <f t="shared" si="9"/>
        <v>23104000</v>
      </c>
      <c r="N21" s="151">
        <f t="shared" si="9"/>
        <v>23104000</v>
      </c>
      <c r="O21" s="151">
        <f t="shared" si="9"/>
        <v>23104000</v>
      </c>
      <c r="P21" s="1035"/>
    </row>
    <row r="22" spans="2:16" x14ac:dyDescent="0.25">
      <c r="B22" s="1022"/>
      <c r="C22" s="1012" t="s">
        <v>170</v>
      </c>
      <c r="D22" s="1014"/>
      <c r="E22" s="151">
        <f t="shared" ref="E22:O22" si="10">$P$10-E21</f>
        <v>133570000</v>
      </c>
      <c r="F22" s="151">
        <f t="shared" si="10"/>
        <v>133570000</v>
      </c>
      <c r="G22" s="151">
        <f t="shared" si="10"/>
        <v>133570000</v>
      </c>
      <c r="H22" s="151">
        <f t="shared" si="10"/>
        <v>133570000</v>
      </c>
      <c r="I22" s="151">
        <f t="shared" si="10"/>
        <v>133570000</v>
      </c>
      <c r="J22" s="151">
        <f t="shared" si="10"/>
        <v>133570000</v>
      </c>
      <c r="K22" s="151">
        <f t="shared" si="10"/>
        <v>133570000</v>
      </c>
      <c r="L22" s="151">
        <f t="shared" si="10"/>
        <v>133570000</v>
      </c>
      <c r="M22" s="151">
        <f t="shared" si="10"/>
        <v>133570000</v>
      </c>
      <c r="N22" s="151">
        <f t="shared" si="10"/>
        <v>133570000</v>
      </c>
      <c r="O22" s="151">
        <f t="shared" si="10"/>
        <v>133570000</v>
      </c>
      <c r="P22" s="1035"/>
    </row>
    <row r="23" spans="2:16" x14ac:dyDescent="0.25">
      <c r="B23" s="1022"/>
      <c r="C23" s="1012" t="s">
        <v>171</v>
      </c>
      <c r="D23" s="1014"/>
      <c r="E23" s="151">
        <f t="shared" ref="E23:O23" si="11">E22*E9</f>
        <v>8348125</v>
      </c>
      <c r="F23" s="151">
        <f t="shared" si="11"/>
        <v>16696250</v>
      </c>
      <c r="G23" s="151">
        <f t="shared" si="11"/>
        <v>15026625</v>
      </c>
      <c r="H23" s="151">
        <f t="shared" si="11"/>
        <v>15026625</v>
      </c>
      <c r="I23" s="151">
        <f t="shared" si="11"/>
        <v>16696250</v>
      </c>
      <c r="J23" s="151">
        <f t="shared" si="11"/>
        <v>15026625</v>
      </c>
      <c r="K23" s="151">
        <f t="shared" si="11"/>
        <v>15026625</v>
      </c>
      <c r="L23" s="151">
        <f t="shared" si="11"/>
        <v>15026625</v>
      </c>
      <c r="M23" s="151">
        <f t="shared" si="11"/>
        <v>16696250</v>
      </c>
      <c r="N23" s="151">
        <f t="shared" si="11"/>
        <v>0</v>
      </c>
      <c r="O23" s="151">
        <f t="shared" si="11"/>
        <v>0</v>
      </c>
      <c r="P23" s="1036"/>
    </row>
    <row r="24" spans="2:16" x14ac:dyDescent="0.25">
      <c r="B24" s="1023"/>
      <c r="C24" s="1012" t="s">
        <v>160</v>
      </c>
      <c r="D24" s="1014"/>
      <c r="E24" s="160">
        <f t="shared" ref="E24:O24" si="12">E20*E23</f>
        <v>834812.5</v>
      </c>
      <c r="F24" s="160">
        <f t="shared" si="12"/>
        <v>1669625</v>
      </c>
      <c r="G24" s="160">
        <f t="shared" si="12"/>
        <v>1502662.5</v>
      </c>
      <c r="H24" s="160">
        <f t="shared" si="12"/>
        <v>1502662.5</v>
      </c>
      <c r="I24" s="160">
        <f t="shared" si="12"/>
        <v>1669625</v>
      </c>
      <c r="J24" s="160">
        <f t="shared" si="12"/>
        <v>1502662.5</v>
      </c>
      <c r="K24" s="160">
        <f t="shared" si="12"/>
        <v>1502662.5</v>
      </c>
      <c r="L24" s="160">
        <f t="shared" si="12"/>
        <v>1502662.5</v>
      </c>
      <c r="M24" s="160">
        <f t="shared" si="12"/>
        <v>1669625</v>
      </c>
      <c r="N24" s="160">
        <f t="shared" si="12"/>
        <v>0</v>
      </c>
      <c r="O24" s="160">
        <f t="shared" si="12"/>
        <v>0</v>
      </c>
      <c r="P24" s="152">
        <f>SUM(E24:O24)</f>
        <v>13357000</v>
      </c>
    </row>
    <row r="25" spans="2:16" x14ac:dyDescent="0.25">
      <c r="B25" s="1009" t="s">
        <v>198</v>
      </c>
      <c r="C25" s="1010"/>
      <c r="D25" s="1011"/>
      <c r="E25" s="160">
        <f>E19+E24</f>
        <v>3145212.5</v>
      </c>
      <c r="F25" s="160">
        <f t="shared" ref="F25:O25" si="13">F19+F24</f>
        <v>1669625</v>
      </c>
      <c r="G25" s="160">
        <f t="shared" si="13"/>
        <v>1502662.5</v>
      </c>
      <c r="H25" s="160">
        <f t="shared" si="13"/>
        <v>1502662.5</v>
      </c>
      <c r="I25" s="160">
        <f t="shared" si="13"/>
        <v>1669625</v>
      </c>
      <c r="J25" s="160">
        <f t="shared" si="13"/>
        <v>1502662.5</v>
      </c>
      <c r="K25" s="160">
        <f t="shared" si="13"/>
        <v>1502662.5</v>
      </c>
      <c r="L25" s="160">
        <f t="shared" si="13"/>
        <v>1502662.5</v>
      </c>
      <c r="M25" s="160">
        <f t="shared" si="13"/>
        <v>1669625</v>
      </c>
      <c r="N25" s="160">
        <f t="shared" si="13"/>
        <v>0</v>
      </c>
      <c r="O25" s="160">
        <f t="shared" si="13"/>
        <v>0</v>
      </c>
      <c r="P25" s="152">
        <f>SUM(E25:O25)</f>
        <v>15667400</v>
      </c>
    </row>
    <row r="26" spans="2:16" x14ac:dyDescent="0.25">
      <c r="B26" s="1024" t="s">
        <v>172</v>
      </c>
      <c r="C26" s="1012" t="s">
        <v>164</v>
      </c>
      <c r="D26" s="1014"/>
      <c r="E26" s="155">
        <v>0.05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1.4999999999999999E-2</v>
      </c>
      <c r="O26" s="155">
        <v>7.4999999999999997E-3</v>
      </c>
      <c r="P26" s="1034"/>
    </row>
    <row r="27" spans="2:16" x14ac:dyDescent="0.25">
      <c r="B27" s="1025"/>
      <c r="C27" s="1012" t="s">
        <v>173</v>
      </c>
      <c r="D27" s="1014"/>
      <c r="E27" s="156">
        <f t="shared" ref="E27:O27" si="14">$P$10</f>
        <v>156674000</v>
      </c>
      <c r="F27" s="156">
        <f t="shared" si="14"/>
        <v>156674000</v>
      </c>
      <c r="G27" s="156">
        <f t="shared" si="14"/>
        <v>156674000</v>
      </c>
      <c r="H27" s="156">
        <f t="shared" si="14"/>
        <v>156674000</v>
      </c>
      <c r="I27" s="156">
        <f t="shared" si="14"/>
        <v>156674000</v>
      </c>
      <c r="J27" s="156">
        <f t="shared" si="14"/>
        <v>156674000</v>
      </c>
      <c r="K27" s="156">
        <f t="shared" si="14"/>
        <v>156674000</v>
      </c>
      <c r="L27" s="156">
        <f t="shared" si="14"/>
        <v>156674000</v>
      </c>
      <c r="M27" s="156">
        <f t="shared" si="14"/>
        <v>156674000</v>
      </c>
      <c r="N27" s="156">
        <f t="shared" si="14"/>
        <v>156674000</v>
      </c>
      <c r="O27" s="156">
        <f t="shared" si="14"/>
        <v>156674000</v>
      </c>
      <c r="P27" s="1036"/>
    </row>
    <row r="28" spans="2:16" x14ac:dyDescent="0.25">
      <c r="B28" s="1019"/>
      <c r="C28" s="1012" t="s">
        <v>160</v>
      </c>
      <c r="D28" s="1014"/>
      <c r="E28" s="161">
        <f t="shared" ref="E28:O28" si="15">E26*E27</f>
        <v>7833700</v>
      </c>
      <c r="F28" s="161">
        <f t="shared" si="15"/>
        <v>0</v>
      </c>
      <c r="G28" s="161">
        <f t="shared" si="15"/>
        <v>0</v>
      </c>
      <c r="H28" s="161">
        <f t="shared" si="15"/>
        <v>0</v>
      </c>
      <c r="I28" s="161">
        <f t="shared" si="15"/>
        <v>0</v>
      </c>
      <c r="J28" s="161">
        <f t="shared" si="15"/>
        <v>0</v>
      </c>
      <c r="K28" s="161">
        <f t="shared" si="15"/>
        <v>0</v>
      </c>
      <c r="L28" s="161">
        <f t="shared" si="15"/>
        <v>0</v>
      </c>
      <c r="M28" s="161">
        <f t="shared" si="15"/>
        <v>0</v>
      </c>
      <c r="N28" s="161">
        <f t="shared" si="15"/>
        <v>2350110</v>
      </c>
      <c r="O28" s="161">
        <f t="shared" si="15"/>
        <v>1175055</v>
      </c>
      <c r="P28" s="152">
        <f>SUM(E28:O28)</f>
        <v>11358865</v>
      </c>
    </row>
    <row r="29" spans="2:16" x14ac:dyDescent="0.25">
      <c r="B29" s="1039" t="s">
        <v>161</v>
      </c>
      <c r="C29" s="1040"/>
      <c r="D29" s="1041"/>
      <c r="E29" s="160">
        <f>E17+E25+E28</f>
        <v>11958125.5</v>
      </c>
      <c r="F29" s="160">
        <f t="shared" ref="F29:O29" si="16">F17+F25+F28</f>
        <v>4142475</v>
      </c>
      <c r="G29" s="160">
        <f t="shared" si="16"/>
        <v>3583827.5</v>
      </c>
      <c r="H29" s="160">
        <f t="shared" si="16"/>
        <v>3583827.5</v>
      </c>
      <c r="I29" s="160">
        <f t="shared" si="16"/>
        <v>4142475</v>
      </c>
      <c r="J29" s="160">
        <f t="shared" si="16"/>
        <v>3583827.5</v>
      </c>
      <c r="K29" s="160">
        <f t="shared" si="16"/>
        <v>3583827.5</v>
      </c>
      <c r="L29" s="160">
        <f t="shared" si="16"/>
        <v>3583827.5</v>
      </c>
      <c r="M29" s="160">
        <f t="shared" si="16"/>
        <v>4142475</v>
      </c>
      <c r="N29" s="160">
        <f t="shared" si="16"/>
        <v>2350110</v>
      </c>
      <c r="O29" s="160">
        <f t="shared" si="16"/>
        <v>1175055</v>
      </c>
      <c r="P29" s="152">
        <f>SUM(E29:O29)</f>
        <v>45829853</v>
      </c>
    </row>
    <row r="30" spans="2:16" x14ac:dyDescent="0.25">
      <c r="B30" s="1015" t="s">
        <v>205</v>
      </c>
      <c r="C30" s="1012" t="s">
        <v>237</v>
      </c>
      <c r="D30" s="1014"/>
      <c r="E30" s="158">
        <f>VLOOKUP("Subtotal prestaciones sociales",Factor!$B$6:$F$25,IF(E$7="Laboral",3,5),0)</f>
        <v>0.17666666666666667</v>
      </c>
      <c r="F30" s="158">
        <f>VLOOKUP("Subtotal prestaciones sociales",Factor!$B$6:$F$25,IF(F$7="Laboral",3,5),0)</f>
        <v>0.17666666666666667</v>
      </c>
      <c r="G30" s="158">
        <f>VLOOKUP("Subtotal prestaciones sociales",Factor!$B$6:$F$25,IF(G$7="Laboral",3,5),0)</f>
        <v>0.17666666666666667</v>
      </c>
      <c r="H30" s="158">
        <f>VLOOKUP("Subtotal prestaciones sociales",Factor!$B$6:$F$25,IF(H$7="Laboral",3,5),0)</f>
        <v>0.17666666666666667</v>
      </c>
      <c r="I30" s="158">
        <f>VLOOKUP("Subtotal prestaciones sociales",Factor!$B$6:$F$25,IF(I$7="Laboral",3,5),0)</f>
        <v>0.17666666666666667</v>
      </c>
      <c r="J30" s="158">
        <f>VLOOKUP("Subtotal prestaciones sociales",Factor!$B$6:$F$25,IF(J$7="Laboral",3,5),0)</f>
        <v>0.17666666666666667</v>
      </c>
      <c r="K30" s="158">
        <f>VLOOKUP("Subtotal prestaciones sociales",Factor!$B$6:$F$25,IF(K$7="Laboral",3,5),0)</f>
        <v>0.17666666666666667</v>
      </c>
      <c r="L30" s="158">
        <f>VLOOKUP("Subtotal prestaciones sociales",Factor!$B$6:$F$25,IF(L$7="Laboral",3,5),0)</f>
        <v>0.17666666666666667</v>
      </c>
      <c r="M30" s="158">
        <f>VLOOKUP("Subtotal prestaciones sociales",Factor!$B$6:$F$25,IF(M$7="Laboral",3,5),0)</f>
        <v>0.17666666666666667</v>
      </c>
      <c r="N30" s="158">
        <f>VLOOKUP("Subtotal prestaciones sociales",Factor!$B$6:$F$25,IF(N$7="Laboral",3,5),0)</f>
        <v>0.17666666666666667</v>
      </c>
      <c r="O30" s="158">
        <f>VLOOKUP("Subtotal prestaciones sociales",Factor!$B$6:$F$25,IF(O$7="Laboral",3,5),0)</f>
        <v>0.17666666666666667</v>
      </c>
      <c r="P30" s="152"/>
    </row>
    <row r="31" spans="2:16" x14ac:dyDescent="0.25">
      <c r="B31" s="1016"/>
      <c r="C31" s="1012" t="s">
        <v>238</v>
      </c>
      <c r="D31" s="1014"/>
      <c r="E31" s="158">
        <f>IF(E$7="Laboral",0,VLOOKUP("Subtotal seguridad social",Factor!$B$6:$F$25,5))</f>
        <v>0</v>
      </c>
      <c r="F31" s="158">
        <f>IF(F$7="Laboral",0,VLOOKUP("Subtotal seguridad social",Factor!$B$6:$F$25,5))</f>
        <v>0</v>
      </c>
      <c r="G31" s="158">
        <f>IF(G$7="Laboral",0,VLOOKUP("Subtotal seguridad social",Factor!$B$6:$F$25,5))</f>
        <v>0.21500000000000002</v>
      </c>
      <c r="H31" s="158">
        <f>IF(H$7="Laboral",0,VLOOKUP("Subtotal seguridad social",Factor!$B$6:$F$25,5))</f>
        <v>0.21500000000000002</v>
      </c>
      <c r="I31" s="158">
        <f>IF(I$7="Laboral",0,VLOOKUP("Subtotal seguridad social",Factor!$B$6:$F$25,5))</f>
        <v>0</v>
      </c>
      <c r="J31" s="158">
        <f>IF(J$7="Laboral",0,VLOOKUP("Subtotal seguridad social",Factor!$B$6:$F$25,5))</f>
        <v>0.21500000000000002</v>
      </c>
      <c r="K31" s="158">
        <f>IF(K$7="Laboral",0,VLOOKUP("Subtotal seguridad social",Factor!$B$6:$F$25,5))</f>
        <v>0.21500000000000002</v>
      </c>
      <c r="L31" s="158">
        <f>IF(L$7="Laboral",0,VLOOKUP("Subtotal seguridad social",Factor!$B$6:$F$25,5))</f>
        <v>0.21500000000000002</v>
      </c>
      <c r="M31" s="158">
        <f>IF(M$7="Laboral",0,VLOOKUP("Subtotal seguridad social",Factor!$B$6:$F$25,5))</f>
        <v>0</v>
      </c>
      <c r="N31" s="158">
        <f>IF(N$7="Laboral",0,VLOOKUP("Subtotal seguridad social",Factor!$B$6:$F$25,5))</f>
        <v>0</v>
      </c>
      <c r="O31" s="158">
        <f>IF(O$7="Laboral",0,VLOOKUP("Subtotal seguridad social",Factor!$B$6:$F$25,5))</f>
        <v>0</v>
      </c>
      <c r="P31" s="152"/>
    </row>
    <row r="32" spans="2:16" x14ac:dyDescent="0.25">
      <c r="B32" s="1017"/>
      <c r="C32" s="1012" t="s">
        <v>239</v>
      </c>
      <c r="D32" s="1014"/>
      <c r="E32" s="158">
        <f>SUM(E30:E31)</f>
        <v>0.17666666666666667</v>
      </c>
      <c r="F32" s="158">
        <f t="shared" ref="F32:O32" si="17">SUM(F30:F31)</f>
        <v>0.17666666666666667</v>
      </c>
      <c r="G32" s="158">
        <f t="shared" si="17"/>
        <v>0.39166666666666672</v>
      </c>
      <c r="H32" s="158">
        <f t="shared" si="17"/>
        <v>0.39166666666666672</v>
      </c>
      <c r="I32" s="158">
        <f t="shared" si="17"/>
        <v>0.17666666666666667</v>
      </c>
      <c r="J32" s="158">
        <f t="shared" si="17"/>
        <v>0.39166666666666672</v>
      </c>
      <c r="K32" s="158">
        <f t="shared" si="17"/>
        <v>0.39166666666666672</v>
      </c>
      <c r="L32" s="158">
        <f t="shared" si="17"/>
        <v>0.39166666666666672</v>
      </c>
      <c r="M32" s="158">
        <f t="shared" si="17"/>
        <v>0.17666666666666667</v>
      </c>
      <c r="N32" s="158">
        <f t="shared" si="17"/>
        <v>0.17666666666666667</v>
      </c>
      <c r="O32" s="158">
        <f t="shared" si="17"/>
        <v>0.17666666666666667</v>
      </c>
      <c r="P32" s="149"/>
    </row>
    <row r="33" spans="2:16" ht="13" thickBot="1" x14ac:dyDescent="0.3">
      <c r="B33" s="1031" t="s">
        <v>174</v>
      </c>
      <c r="C33" s="1032"/>
      <c r="D33" s="1033"/>
      <c r="E33" s="162">
        <f>ROUND(E29*(1+E32),1)</f>
        <v>14070727.699999999</v>
      </c>
      <c r="F33" s="162">
        <f t="shared" ref="F33:O33" si="18">ROUND(F29*(1+F32),1)</f>
        <v>4874312.3</v>
      </c>
      <c r="G33" s="162">
        <f t="shared" si="18"/>
        <v>4987493.3</v>
      </c>
      <c r="H33" s="162">
        <f t="shared" si="18"/>
        <v>4987493.3</v>
      </c>
      <c r="I33" s="162">
        <f t="shared" si="18"/>
        <v>4874312.3</v>
      </c>
      <c r="J33" s="162">
        <f t="shared" si="18"/>
        <v>4987493.3</v>
      </c>
      <c r="K33" s="162">
        <f t="shared" si="18"/>
        <v>4987493.3</v>
      </c>
      <c r="L33" s="162">
        <f t="shared" si="18"/>
        <v>4987493.3</v>
      </c>
      <c r="M33" s="162">
        <f t="shared" si="18"/>
        <v>4874312.3</v>
      </c>
      <c r="N33" s="162">
        <f t="shared" si="18"/>
        <v>2765296.1</v>
      </c>
      <c r="O33" s="162">
        <f t="shared" si="18"/>
        <v>1382648.1</v>
      </c>
      <c r="P33" s="159">
        <f>SUM(E33:O33)</f>
        <v>57779075.29999999</v>
      </c>
    </row>
  </sheetData>
  <mergeCells count="36">
    <mergeCell ref="B29:D29"/>
    <mergeCell ref="B33:D33"/>
    <mergeCell ref="B26:B28"/>
    <mergeCell ref="C26:D26"/>
    <mergeCell ref="B30:B32"/>
    <mergeCell ref="C30:D30"/>
    <mergeCell ref="C31:D31"/>
    <mergeCell ref="C32:D32"/>
    <mergeCell ref="P26:P27"/>
    <mergeCell ref="C27:D27"/>
    <mergeCell ref="C28:D28"/>
    <mergeCell ref="B18:B19"/>
    <mergeCell ref="C18:D18"/>
    <mergeCell ref="C19:D19"/>
    <mergeCell ref="B25:D25"/>
    <mergeCell ref="B17:D17"/>
    <mergeCell ref="B20:B24"/>
    <mergeCell ref="C20:D20"/>
    <mergeCell ref="P20:P23"/>
    <mergeCell ref="C21:D21"/>
    <mergeCell ref="C22:D22"/>
    <mergeCell ref="C23:D23"/>
    <mergeCell ref="C24:D24"/>
    <mergeCell ref="B15:B16"/>
    <mergeCell ref="C15:D15"/>
    <mergeCell ref="C16:D16"/>
    <mergeCell ref="B4:P4"/>
    <mergeCell ref="B6:D6"/>
    <mergeCell ref="B7:D7"/>
    <mergeCell ref="B8:D8"/>
    <mergeCell ref="B9:D9"/>
    <mergeCell ref="B10:D10"/>
    <mergeCell ref="B11:B14"/>
    <mergeCell ref="P11:P13"/>
    <mergeCell ref="C12:C13"/>
    <mergeCell ref="C14:D14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3:M34"/>
  <sheetViews>
    <sheetView zoomScaleNormal="100" zoomScaleSheetLayoutView="100" workbookViewId="0">
      <pane xSplit="4" ySplit="7" topLeftCell="E19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9.6328125" style="47" customWidth="1"/>
    <col min="4" max="4" width="6.08984375" style="47" bestFit="1" customWidth="1"/>
    <col min="5" max="9" width="10.6328125" style="48" customWidth="1"/>
    <col min="10" max="10" width="11.36328125" style="48" bestFit="1" customWidth="1"/>
    <col min="11" max="11" width="2.6328125" style="48" customWidth="1"/>
    <col min="12" max="12" width="11.90625" style="48" bestFit="1" customWidth="1"/>
    <col min="13" max="16384" width="11.453125" style="48"/>
  </cols>
  <sheetData>
    <row r="3" spans="1:13" ht="13.5" thickBot="1" x14ac:dyDescent="0.3">
      <c r="E3" s="144">
        <v>1</v>
      </c>
      <c r="F3" s="144">
        <v>2</v>
      </c>
      <c r="G3" s="144">
        <v>3</v>
      </c>
      <c r="H3" s="144">
        <v>10</v>
      </c>
      <c r="I3" s="144">
        <v>11</v>
      </c>
    </row>
    <row r="4" spans="1:13" ht="18.5" thickBot="1" x14ac:dyDescent="0.45">
      <c r="B4" s="979" t="str">
        <f>"Remuneración Variable Mensual Presupuestada Año "&amp;L6</f>
        <v>Remuneración Variable Mensual Presupuestada Año 2018</v>
      </c>
      <c r="C4" s="980"/>
      <c r="D4" s="980"/>
      <c r="E4" s="980"/>
      <c r="F4" s="980"/>
      <c r="G4" s="980"/>
      <c r="H4" s="980"/>
      <c r="I4" s="980"/>
      <c r="J4" s="981"/>
    </row>
    <row r="5" spans="1:13" ht="13" thickBot="1" x14ac:dyDescent="0.3"/>
    <row r="6" spans="1:13" ht="23" x14ac:dyDescent="0.3">
      <c r="B6" s="1028" t="s">
        <v>89</v>
      </c>
      <c r="C6" s="1029"/>
      <c r="D6" s="1030"/>
      <c r="E6" s="145" t="s">
        <v>93</v>
      </c>
      <c r="F6" s="145" t="s">
        <v>90</v>
      </c>
      <c r="G6" s="145" t="s">
        <v>90</v>
      </c>
      <c r="H6" s="193" t="s">
        <v>146</v>
      </c>
      <c r="I6" s="193" t="s">
        <v>92</v>
      </c>
      <c r="J6" s="166" t="s">
        <v>65</v>
      </c>
      <c r="L6" s="601">
        <f>'HC 2018'!I4</f>
        <v>2018</v>
      </c>
      <c r="M6" s="48" t="s">
        <v>71</v>
      </c>
    </row>
    <row r="7" spans="1:13" ht="13" x14ac:dyDescent="0.3">
      <c r="A7" s="48">
        <v>0</v>
      </c>
      <c r="B7" s="1085" t="s">
        <v>832</v>
      </c>
      <c r="C7" s="1083"/>
      <c r="D7" s="1084"/>
      <c r="E7" s="610">
        <v>1</v>
      </c>
      <c r="F7" s="610">
        <v>3</v>
      </c>
      <c r="G7" s="610">
        <v>5</v>
      </c>
      <c r="H7" s="610">
        <v>1</v>
      </c>
      <c r="I7" s="610">
        <v>1</v>
      </c>
      <c r="J7" s="609">
        <f>SUM(E7:I7)</f>
        <v>11</v>
      </c>
      <c r="L7" s="601"/>
    </row>
    <row r="8" spans="1:13" ht="13" x14ac:dyDescent="0.3">
      <c r="A8" s="48">
        <v>6</v>
      </c>
      <c r="B8" s="1085" t="s">
        <v>178</v>
      </c>
      <c r="C8" s="1083"/>
      <c r="D8" s="1084"/>
      <c r="E8" s="148">
        <f>HLOOKUP(E$3,'RV 2018'!$B$3:$P$33,$A8,0)</f>
        <v>20</v>
      </c>
      <c r="F8" s="148">
        <f>HLOOKUP(F$3,'RV 2018'!$B$3:$P$33,$A8,0)</f>
        <v>40</v>
      </c>
      <c r="G8" s="148">
        <f>HLOOKUP(G$3,'RV 2018'!$B$3:$P$33,$A8,0)</f>
        <v>36</v>
      </c>
      <c r="H8" s="148">
        <f>HLOOKUP(H$3,'RV 2018'!$B$3:$P$33,$A8,0)</f>
        <v>0</v>
      </c>
      <c r="I8" s="148">
        <f>HLOOKUP(I$3,'RV 2018'!$B$3:$P$33,$A8,0)</f>
        <v>0</v>
      </c>
      <c r="J8" s="605">
        <f>SUMPRODUCT($E$7:$I$7,$E8:$I8)</f>
        <v>320</v>
      </c>
      <c r="L8" s="60">
        <f>HLOOKUP($L$6,'Ing Proyect'!$B$6:$G$12,6,0)</f>
        <v>156674000</v>
      </c>
      <c r="M8" s="48" t="s">
        <v>175</v>
      </c>
    </row>
    <row r="9" spans="1:13" ht="13" x14ac:dyDescent="0.3">
      <c r="A9" s="48">
        <v>7</v>
      </c>
      <c r="B9" s="1085" t="s">
        <v>177</v>
      </c>
      <c r="C9" s="1083"/>
      <c r="D9" s="1084"/>
      <c r="E9" s="150">
        <f>HLOOKUP(E$3,'RV 2018'!$B$3:$P$33,$A9,0)</f>
        <v>6.25E-2</v>
      </c>
      <c r="F9" s="150">
        <f>HLOOKUP(F$3,'RV 2018'!$B$3:$P$33,$A9,0)</f>
        <v>0.125</v>
      </c>
      <c r="G9" s="150">
        <f>HLOOKUP(G$3,'RV 2018'!$B$3:$P$33,$A9,0)</f>
        <v>0.1125</v>
      </c>
      <c r="H9" s="150">
        <f>HLOOKUP(H$3,'RV 2018'!$B$3:$P$33,$A9,0)</f>
        <v>0</v>
      </c>
      <c r="I9" s="150">
        <f>HLOOKUP(I$3,'RV 2018'!$B$3:$P$33,$A9,0)</f>
        <v>0</v>
      </c>
      <c r="J9" s="165">
        <f>SUMPRODUCT($E$7:$I$7,$E9:$I9)</f>
        <v>1</v>
      </c>
      <c r="L9" s="60">
        <f>HLOOKUP($L$6,'Ing Proyect'!$B$6:$G$12,2,0)</f>
        <v>722000</v>
      </c>
      <c r="M9" s="48" t="s">
        <v>69</v>
      </c>
    </row>
    <row r="10" spans="1:13" x14ac:dyDescent="0.25">
      <c r="A10" s="48">
        <v>8</v>
      </c>
      <c r="B10" s="1082" t="s">
        <v>176</v>
      </c>
      <c r="C10" s="1083"/>
      <c r="D10" s="1084"/>
      <c r="E10" s="151">
        <f>HLOOKUP(E$3,'RV 2018'!$B$3:$P$33,$A10,0)</f>
        <v>9792125</v>
      </c>
      <c r="F10" s="151">
        <f>HLOOKUP(F$3,'RV 2018'!$B$3:$P$33,$A10,0)</f>
        <v>19584250</v>
      </c>
      <c r="G10" s="151">
        <f>HLOOKUP(G$3,'RV 2018'!$B$3:$P$33,$A10,0)</f>
        <v>17625825</v>
      </c>
      <c r="H10" s="151">
        <f>HLOOKUP(H$3,'RV 2018'!$B$3:$P$33,$A10,0)</f>
        <v>0</v>
      </c>
      <c r="I10" s="151">
        <f>HLOOKUP(I$3,'RV 2018'!$B$3:$P$33,$A10,0)</f>
        <v>0</v>
      </c>
      <c r="J10" s="152">
        <f>SUMPRODUCT($E$7:$I$7,$E10:$I10)</f>
        <v>156674000</v>
      </c>
    </row>
    <row r="11" spans="1:13" x14ac:dyDescent="0.25">
      <c r="A11" s="48">
        <v>9</v>
      </c>
      <c r="B11" s="1086" t="s">
        <v>163</v>
      </c>
      <c r="C11" s="611" t="s">
        <v>164</v>
      </c>
      <c r="D11" s="611"/>
      <c r="E11" s="153">
        <f>HLOOKUP(E$3,'RV 2018'!$B$3:$P$33,$A11,0)</f>
        <v>0.1</v>
      </c>
      <c r="F11" s="153">
        <f>HLOOKUP(F$3,'RV 2018'!$B$3:$P$33,$A11,0)</f>
        <v>0.1</v>
      </c>
      <c r="G11" s="153">
        <f>HLOOKUP(G$3,'RV 2018'!$B$3:$P$33,$A11,0)</f>
        <v>0.1</v>
      </c>
      <c r="H11" s="153">
        <f>HLOOKUP(H$3,'RV 2018'!$B$3:$P$33,$A11,0)</f>
        <v>0</v>
      </c>
      <c r="I11" s="153">
        <f>HLOOKUP(I$3,'RV 2018'!$B$3:$P$33,$A11,0)</f>
        <v>0</v>
      </c>
      <c r="J11" s="1034"/>
    </row>
    <row r="12" spans="1:13" ht="12.5" customHeight="1" x14ac:dyDescent="0.25">
      <c r="A12" s="48">
        <v>10</v>
      </c>
      <c r="B12" s="1087"/>
      <c r="C12" s="1089" t="s">
        <v>165</v>
      </c>
      <c r="D12" s="612" t="s">
        <v>69</v>
      </c>
      <c r="E12" s="154">
        <f>HLOOKUP(E$3,'RV 2018'!$B$3:$P$33,$A12,0)</f>
        <v>20</v>
      </c>
      <c r="F12" s="154">
        <f>HLOOKUP(F$3,'RV 2018'!$B$3:$P$33,$A12,0)</f>
        <v>20</v>
      </c>
      <c r="G12" s="154">
        <f>HLOOKUP(G$3,'RV 2018'!$B$3:$P$33,$A12,0)</f>
        <v>20</v>
      </c>
      <c r="H12" s="154">
        <f>HLOOKUP(H$3,'RV 2018'!$B$3:$P$33,$A12,0)</f>
        <v>20</v>
      </c>
      <c r="I12" s="154">
        <f>HLOOKUP(I$3,'RV 2018'!$B$3:$P$33,$A12,0)</f>
        <v>20</v>
      </c>
      <c r="J12" s="1035"/>
    </row>
    <row r="13" spans="1:13" x14ac:dyDescent="0.25">
      <c r="A13" s="48">
        <v>11</v>
      </c>
      <c r="B13" s="1087"/>
      <c r="C13" s="1089"/>
      <c r="D13" s="612" t="s">
        <v>70</v>
      </c>
      <c r="E13" s="151">
        <f>HLOOKUP(E$3,'RV 2018'!$B$3:$P$33,$A13,0)</f>
        <v>14440000</v>
      </c>
      <c r="F13" s="151">
        <f>HLOOKUP(F$3,'RV 2018'!$B$3:$P$33,$A13,0)</f>
        <v>14440000</v>
      </c>
      <c r="G13" s="151">
        <f>HLOOKUP(G$3,'RV 2018'!$B$3:$P$33,$A13,0)</f>
        <v>14440000</v>
      </c>
      <c r="H13" s="151">
        <f>HLOOKUP(H$3,'RV 2018'!$B$3:$P$33,$A13,0)</f>
        <v>14440000</v>
      </c>
      <c r="I13" s="151">
        <f>HLOOKUP(I$3,'RV 2018'!$B$3:$P$33,$A13,0)</f>
        <v>14440000</v>
      </c>
      <c r="J13" s="1036"/>
    </row>
    <row r="14" spans="1:13" x14ac:dyDescent="0.25">
      <c r="A14" s="48">
        <v>12</v>
      </c>
      <c r="B14" s="1088"/>
      <c r="C14" s="1090" t="s">
        <v>160</v>
      </c>
      <c r="D14" s="1091"/>
      <c r="E14" s="613">
        <f>HLOOKUP(E$3,'RV 2018'!$B$3:$P$33,$A14,0)</f>
        <v>979213</v>
      </c>
      <c r="F14" s="613">
        <f>HLOOKUP(F$3,'RV 2018'!$B$3:$P$33,$A14,0)</f>
        <v>1444000</v>
      </c>
      <c r="G14" s="613">
        <f>HLOOKUP(G$3,'RV 2018'!$B$3:$P$33,$A14,0)</f>
        <v>1444000</v>
      </c>
      <c r="H14" s="613">
        <f>HLOOKUP(H$3,'RV 2018'!$B$3:$P$33,$A14,0)</f>
        <v>0</v>
      </c>
      <c r="I14" s="613">
        <f>HLOOKUP(I$3,'RV 2018'!$B$3:$P$33,$A14,0)</f>
        <v>0</v>
      </c>
      <c r="J14" s="608">
        <f>SUMPRODUCT($E$7:$I$7,$E14:$I14)</f>
        <v>12531213</v>
      </c>
    </row>
    <row r="15" spans="1:13" x14ac:dyDescent="0.25">
      <c r="A15" s="48">
        <v>13</v>
      </c>
      <c r="B15" s="1086" t="s">
        <v>166</v>
      </c>
      <c r="C15" s="1090" t="s">
        <v>164</v>
      </c>
      <c r="D15" s="1092"/>
      <c r="E15" s="153">
        <f>HLOOKUP(E$3,'RV 2018'!$B$3:$P$33,$A15,0)</f>
        <v>0.2</v>
      </c>
      <c r="F15" s="153">
        <f>HLOOKUP(F$3,'RV 2018'!$B$3:$P$33,$A15,0)</f>
        <v>0.2</v>
      </c>
      <c r="G15" s="153">
        <f>HLOOKUP(G$3,'RV 2018'!$B$3:$P$33,$A15,0)</f>
        <v>0.2</v>
      </c>
      <c r="H15" s="153">
        <f>HLOOKUP(H$3,'RV 2018'!$B$3:$P$33,$A15,0)</f>
        <v>0</v>
      </c>
      <c r="I15" s="153">
        <f>HLOOKUP(I$3,'RV 2018'!$B$3:$P$33,$A15,0)</f>
        <v>0</v>
      </c>
      <c r="J15" s="149"/>
    </row>
    <row r="16" spans="1:13" x14ac:dyDescent="0.25">
      <c r="A16" s="48">
        <v>14</v>
      </c>
      <c r="B16" s="1088"/>
      <c r="C16" s="1090" t="s">
        <v>160</v>
      </c>
      <c r="D16" s="1091"/>
      <c r="E16" s="613">
        <f>HLOOKUP(E$3,'RV 2018'!$B$3:$P$33,$A16,0)</f>
        <v>0</v>
      </c>
      <c r="F16" s="613">
        <f>HLOOKUP(F$3,'RV 2018'!$B$3:$P$33,$A16,0)</f>
        <v>1028850</v>
      </c>
      <c r="G16" s="613">
        <f>HLOOKUP(G$3,'RV 2018'!$B$3:$P$33,$A16,0)</f>
        <v>637165</v>
      </c>
      <c r="H16" s="613">
        <f>HLOOKUP(H$3,'RV 2018'!$B$3:$P$33,$A16,0)</f>
        <v>0</v>
      </c>
      <c r="I16" s="613">
        <f>HLOOKUP(I$3,'RV 2018'!$B$3:$P$33,$A16,0)</f>
        <v>0</v>
      </c>
      <c r="J16" s="608">
        <f>SUMPRODUCT($E$7:$I$7,$E16:$I16)</f>
        <v>6272375</v>
      </c>
    </row>
    <row r="17" spans="1:10" ht="12.5" customHeight="1" x14ac:dyDescent="0.25">
      <c r="A17" s="48">
        <v>15</v>
      </c>
      <c r="B17" s="1093" t="s">
        <v>167</v>
      </c>
      <c r="C17" s="1094"/>
      <c r="D17" s="1095"/>
      <c r="E17" s="160">
        <f>HLOOKUP(E$3,'RV 2018'!$B$3:$P$33,$A17,0)</f>
        <v>979213</v>
      </c>
      <c r="F17" s="160">
        <f>HLOOKUP(F$3,'RV 2018'!$B$3:$P$33,$A17,0)</f>
        <v>2472850</v>
      </c>
      <c r="G17" s="160">
        <f>HLOOKUP(G$3,'RV 2018'!$B$3:$P$33,$A17,0)</f>
        <v>2081165</v>
      </c>
      <c r="H17" s="160">
        <f>HLOOKUP(H$3,'RV 2018'!$B$3:$P$33,$A17,0)</f>
        <v>0</v>
      </c>
      <c r="I17" s="160">
        <f>HLOOKUP(I$3,'RV 2018'!$B$3:$P$33,$A17,0)</f>
        <v>0</v>
      </c>
      <c r="J17" s="152">
        <f>SUMPRODUCT($E$7:$I$7,$E17:$I17)</f>
        <v>18803588</v>
      </c>
    </row>
    <row r="18" spans="1:10" ht="12.5" customHeight="1" x14ac:dyDescent="0.25">
      <c r="A18" s="48">
        <v>16</v>
      </c>
      <c r="B18" s="1086" t="s">
        <v>162</v>
      </c>
      <c r="C18" s="1096" t="s">
        <v>164</v>
      </c>
      <c r="D18" s="1097"/>
      <c r="E18" s="157">
        <f>HLOOKUP(E$3,'RV 2018'!$B$3:$P$33,$A18,0)</f>
        <v>0.1</v>
      </c>
      <c r="F18" s="157">
        <f>HLOOKUP(F$3,'RV 2018'!$B$3:$P$33,$A18,0)</f>
        <v>0</v>
      </c>
      <c r="G18" s="157">
        <f>HLOOKUP(G$3,'RV 2018'!$B$3:$P$33,$A18,0)</f>
        <v>0</v>
      </c>
      <c r="H18" s="157">
        <f>HLOOKUP(H$3,'RV 2018'!$B$3:$P$33,$A18,0)</f>
        <v>0</v>
      </c>
      <c r="I18" s="157">
        <f>HLOOKUP(I$3,'RV 2018'!$B$3:$P$33,$A18,0)</f>
        <v>0</v>
      </c>
      <c r="J18" s="163"/>
    </row>
    <row r="19" spans="1:10" x14ac:dyDescent="0.25">
      <c r="A19" s="48">
        <v>17</v>
      </c>
      <c r="B19" s="1088"/>
      <c r="C19" s="1096" t="s">
        <v>160</v>
      </c>
      <c r="D19" s="1084"/>
      <c r="E19" s="613">
        <f>HLOOKUP(E$3,'RV 2018'!$B$3:$P$33,$A19,0)</f>
        <v>2310400</v>
      </c>
      <c r="F19" s="613">
        <f>HLOOKUP(F$3,'RV 2018'!$B$3:$P$33,$A19,0)</f>
        <v>0</v>
      </c>
      <c r="G19" s="613">
        <f>HLOOKUP(G$3,'RV 2018'!$B$3:$P$33,$A19,0)</f>
        <v>0</v>
      </c>
      <c r="H19" s="613">
        <f>HLOOKUP(H$3,'RV 2018'!$B$3:$P$33,$A19,0)</f>
        <v>0</v>
      </c>
      <c r="I19" s="613">
        <f>HLOOKUP(I$3,'RV 2018'!$B$3:$P$33,$A19,0)</f>
        <v>0</v>
      </c>
      <c r="J19" s="608">
        <f>SUMPRODUCT($E$7:$I$7,$E19:$I19)</f>
        <v>2310400</v>
      </c>
    </row>
    <row r="20" spans="1:10" ht="12.5" customHeight="1" x14ac:dyDescent="0.25">
      <c r="A20" s="48">
        <v>18</v>
      </c>
      <c r="B20" s="1098" t="s">
        <v>197</v>
      </c>
      <c r="C20" s="1090" t="s">
        <v>164</v>
      </c>
      <c r="D20" s="1092"/>
      <c r="E20" s="153">
        <f>HLOOKUP(E$3,'RV 2018'!$B$3:$P$33,$A20,0)</f>
        <v>0.1</v>
      </c>
      <c r="F20" s="153">
        <f>HLOOKUP(F$3,'RV 2018'!$B$3:$P$33,$A20,0)</f>
        <v>0.1</v>
      </c>
      <c r="G20" s="153">
        <f>HLOOKUP(G$3,'RV 2018'!$B$3:$P$33,$A20,0)</f>
        <v>0.1</v>
      </c>
      <c r="H20" s="153">
        <f>HLOOKUP(H$3,'RV 2018'!$B$3:$P$33,$A20,0)</f>
        <v>0.1</v>
      </c>
      <c r="I20" s="153">
        <f>HLOOKUP(I$3,'RV 2018'!$B$3:$P$33,$A20,0)</f>
        <v>0.1</v>
      </c>
      <c r="J20" s="1034"/>
    </row>
    <row r="21" spans="1:10" ht="12.5" customHeight="1" x14ac:dyDescent="0.25">
      <c r="A21" s="48">
        <v>19</v>
      </c>
      <c r="B21" s="1099"/>
      <c r="C21" s="1090" t="s">
        <v>169</v>
      </c>
      <c r="D21" s="1091"/>
      <c r="E21" s="151">
        <f>HLOOKUP(E$3,'RV 2018'!$B$3:$P$33,$A21,0)</f>
        <v>23104000</v>
      </c>
      <c r="F21" s="151">
        <f>HLOOKUP(F$3,'RV 2018'!$B$3:$P$33,$A21,0)</f>
        <v>23104000</v>
      </c>
      <c r="G21" s="151">
        <f>HLOOKUP(G$3,'RV 2018'!$B$3:$P$33,$A21,0)</f>
        <v>23104000</v>
      </c>
      <c r="H21" s="151">
        <f>HLOOKUP(H$3,'RV 2018'!$B$3:$P$33,$A21,0)</f>
        <v>23104000</v>
      </c>
      <c r="I21" s="151">
        <f>HLOOKUP(I$3,'RV 2018'!$B$3:$P$33,$A21,0)</f>
        <v>23104000</v>
      </c>
      <c r="J21" s="1035"/>
    </row>
    <row r="22" spans="1:10" ht="12.5" customHeight="1" x14ac:dyDescent="0.25">
      <c r="A22" s="48">
        <v>20</v>
      </c>
      <c r="B22" s="1099"/>
      <c r="C22" s="1090" t="s">
        <v>170</v>
      </c>
      <c r="D22" s="1091"/>
      <c r="E22" s="151">
        <f>HLOOKUP(E$3,'RV 2018'!$B$3:$P$33,$A22,0)</f>
        <v>133570000</v>
      </c>
      <c r="F22" s="151">
        <f>HLOOKUP(F$3,'RV 2018'!$B$3:$P$33,$A22,0)</f>
        <v>133570000</v>
      </c>
      <c r="G22" s="151">
        <f>HLOOKUP(G$3,'RV 2018'!$B$3:$P$33,$A22,0)</f>
        <v>133570000</v>
      </c>
      <c r="H22" s="151">
        <f>HLOOKUP(H$3,'RV 2018'!$B$3:$P$33,$A22,0)</f>
        <v>133570000</v>
      </c>
      <c r="I22" s="151">
        <f>HLOOKUP(I$3,'RV 2018'!$B$3:$P$33,$A22,0)</f>
        <v>133570000</v>
      </c>
      <c r="J22" s="1035"/>
    </row>
    <row r="23" spans="1:10" ht="12.5" customHeight="1" x14ac:dyDescent="0.25">
      <c r="A23" s="48">
        <v>21</v>
      </c>
      <c r="B23" s="1099"/>
      <c r="C23" s="1090" t="s">
        <v>171</v>
      </c>
      <c r="D23" s="1091"/>
      <c r="E23" s="151">
        <f>HLOOKUP(E$3,'RV 2018'!$B$3:$P$33,$A23,0)</f>
        <v>8348125</v>
      </c>
      <c r="F23" s="151">
        <f>HLOOKUP(F$3,'RV 2018'!$B$3:$P$33,$A23,0)</f>
        <v>16696250</v>
      </c>
      <c r="G23" s="151">
        <f>HLOOKUP(G$3,'RV 2018'!$B$3:$P$33,$A23,0)</f>
        <v>15026625</v>
      </c>
      <c r="H23" s="151">
        <f>HLOOKUP(H$3,'RV 2018'!$B$3:$P$33,$A23,0)</f>
        <v>0</v>
      </c>
      <c r="I23" s="151">
        <f>HLOOKUP(I$3,'RV 2018'!$B$3:$P$33,$A23,0)</f>
        <v>0</v>
      </c>
      <c r="J23" s="1036"/>
    </row>
    <row r="24" spans="1:10" x14ac:dyDescent="0.25">
      <c r="A24" s="48">
        <v>22</v>
      </c>
      <c r="B24" s="1100"/>
      <c r="C24" s="1090" t="s">
        <v>160</v>
      </c>
      <c r="D24" s="1091"/>
      <c r="E24" s="613">
        <f>HLOOKUP(E$3,'RV 2018'!$B$3:$P$33,$A24,0)</f>
        <v>834812.5</v>
      </c>
      <c r="F24" s="613">
        <f>HLOOKUP(F$3,'RV 2018'!$B$3:$P$33,$A24,0)</f>
        <v>1669625</v>
      </c>
      <c r="G24" s="613">
        <f>HLOOKUP(G$3,'RV 2018'!$B$3:$P$33,$A24,0)</f>
        <v>1502662.5</v>
      </c>
      <c r="H24" s="613">
        <f>HLOOKUP(H$3,'RV 2018'!$B$3:$P$33,$A24,0)</f>
        <v>0</v>
      </c>
      <c r="I24" s="613">
        <f>HLOOKUP(I$3,'RV 2018'!$B$3:$P$33,$A24,0)</f>
        <v>0</v>
      </c>
      <c r="J24" s="608">
        <f t="shared" ref="J24:J25" si="0">SUMPRODUCT($E$7:$I$7,$E24:$I24)</f>
        <v>13357000</v>
      </c>
    </row>
    <row r="25" spans="1:10" x14ac:dyDescent="0.25">
      <c r="A25" s="48">
        <v>23</v>
      </c>
      <c r="B25" s="1093" t="s">
        <v>198</v>
      </c>
      <c r="C25" s="1094"/>
      <c r="D25" s="1095"/>
      <c r="E25" s="160">
        <f>HLOOKUP(E$3,'RV 2018'!$B$3:$P$33,$A25,0)</f>
        <v>3145212.5</v>
      </c>
      <c r="F25" s="160">
        <f>HLOOKUP(F$3,'RV 2018'!$B$3:$P$33,$A25,0)</f>
        <v>1669625</v>
      </c>
      <c r="G25" s="160">
        <f>HLOOKUP(G$3,'RV 2018'!$B$3:$P$33,$A25,0)</f>
        <v>1502662.5</v>
      </c>
      <c r="H25" s="160">
        <f>HLOOKUP(H$3,'RV 2018'!$B$3:$P$33,$A25,0)</f>
        <v>0</v>
      </c>
      <c r="I25" s="160">
        <f>HLOOKUP(I$3,'RV 2018'!$B$3:$P$33,$A25,0)</f>
        <v>0</v>
      </c>
      <c r="J25" s="152">
        <f t="shared" si="0"/>
        <v>15667400</v>
      </c>
    </row>
    <row r="26" spans="1:10" x14ac:dyDescent="0.25">
      <c r="A26" s="48">
        <v>24</v>
      </c>
      <c r="B26" s="1086" t="s">
        <v>172</v>
      </c>
      <c r="C26" s="1090" t="s">
        <v>164</v>
      </c>
      <c r="D26" s="1091"/>
      <c r="E26" s="155">
        <f>HLOOKUP(E$3,'RV 2018'!$B$3:$P$33,$A26,0)</f>
        <v>0.05</v>
      </c>
      <c r="F26" s="155">
        <f>HLOOKUP(F$3,'RV 2018'!$B$3:$P$33,$A26,0)</f>
        <v>0</v>
      </c>
      <c r="G26" s="155">
        <f>HLOOKUP(G$3,'RV 2018'!$B$3:$P$33,$A26,0)</f>
        <v>0</v>
      </c>
      <c r="H26" s="155">
        <f>HLOOKUP(H$3,'RV 2018'!$B$3:$P$33,$A26,0)</f>
        <v>1.4999999999999999E-2</v>
      </c>
      <c r="I26" s="186">
        <f>HLOOKUP(I$3,'RV 2018'!$B$3:$P$33,$A26,0)</f>
        <v>7.4999999999999997E-3</v>
      </c>
      <c r="J26" s="1034"/>
    </row>
    <row r="27" spans="1:10" ht="12.5" customHeight="1" x14ac:dyDescent="0.25">
      <c r="A27" s="48">
        <v>25</v>
      </c>
      <c r="B27" s="1087"/>
      <c r="C27" s="1090" t="s">
        <v>173</v>
      </c>
      <c r="D27" s="1091"/>
      <c r="E27" s="156">
        <f>HLOOKUP(E$3,'RV 2018'!$B$3:$P$33,$A27,0)</f>
        <v>156674000</v>
      </c>
      <c r="F27" s="156">
        <f>HLOOKUP(F$3,'RV 2018'!$B$3:$P$33,$A27,0)</f>
        <v>156674000</v>
      </c>
      <c r="G27" s="156">
        <f>HLOOKUP(G$3,'RV 2018'!$B$3:$P$33,$A27,0)</f>
        <v>156674000</v>
      </c>
      <c r="H27" s="156">
        <f>HLOOKUP(H$3,'RV 2018'!$B$3:$P$33,$A27,0)</f>
        <v>156674000</v>
      </c>
      <c r="I27" s="156">
        <f>HLOOKUP(I$3,'RV 2018'!$B$3:$P$33,$A27,0)</f>
        <v>156674000</v>
      </c>
      <c r="J27" s="1036"/>
    </row>
    <row r="28" spans="1:10" ht="12.5" customHeight="1" x14ac:dyDescent="0.25">
      <c r="A28" s="48">
        <v>26</v>
      </c>
      <c r="B28" s="1088"/>
      <c r="C28" s="1090" t="s">
        <v>160</v>
      </c>
      <c r="D28" s="1091"/>
      <c r="E28" s="614">
        <f>HLOOKUP(E$3,'RV 2018'!$B$3:$P$33,$A28,0)</f>
        <v>7833700</v>
      </c>
      <c r="F28" s="614">
        <f>HLOOKUP(F$3,'RV 2018'!$B$3:$P$33,$A28,0)</f>
        <v>0</v>
      </c>
      <c r="G28" s="614">
        <f>HLOOKUP(G$3,'RV 2018'!$B$3:$P$33,$A28,0)</f>
        <v>0</v>
      </c>
      <c r="H28" s="614">
        <f>HLOOKUP(H$3,'RV 2018'!$B$3:$P$33,$A28,0)</f>
        <v>2350110</v>
      </c>
      <c r="I28" s="614">
        <f>HLOOKUP(I$3,'RV 2018'!$B$3:$P$33,$A28,0)</f>
        <v>1175055</v>
      </c>
      <c r="J28" s="608">
        <f t="shared" ref="J28:J29" si="1">SUMPRODUCT($E$7:$I$7,$E28:$I28)</f>
        <v>11358865</v>
      </c>
    </row>
    <row r="29" spans="1:10" x14ac:dyDescent="0.25">
      <c r="A29" s="48">
        <v>27</v>
      </c>
      <c r="B29" s="1082" t="s">
        <v>161</v>
      </c>
      <c r="C29" s="1101"/>
      <c r="D29" s="1102"/>
      <c r="E29" s="160">
        <f>HLOOKUP(E$3,'RV 2018'!$B$3:$P$33,$A29,0)</f>
        <v>11958125.5</v>
      </c>
      <c r="F29" s="160">
        <f>HLOOKUP(F$3,'RV 2018'!$B$3:$P$33,$A29,0)</f>
        <v>4142475</v>
      </c>
      <c r="G29" s="160">
        <f>HLOOKUP(G$3,'RV 2018'!$B$3:$P$33,$A29,0)</f>
        <v>3583827.5</v>
      </c>
      <c r="H29" s="160">
        <f>HLOOKUP(H$3,'RV 2018'!$B$3:$P$33,$A29,0)</f>
        <v>2350110</v>
      </c>
      <c r="I29" s="160">
        <f>HLOOKUP(I$3,'RV 2018'!$B$3:$P$33,$A29,0)</f>
        <v>1175055</v>
      </c>
      <c r="J29" s="152">
        <f t="shared" si="1"/>
        <v>45829853</v>
      </c>
    </row>
    <row r="30" spans="1:10" ht="12.5" customHeight="1" x14ac:dyDescent="0.25">
      <c r="A30" s="48">
        <v>28</v>
      </c>
      <c r="B30" s="1103" t="s">
        <v>205</v>
      </c>
      <c r="C30" s="1090" t="s">
        <v>237</v>
      </c>
      <c r="D30" s="1091"/>
      <c r="E30" s="158">
        <f>HLOOKUP(E$3,'RV 2018'!$B$3:$P$33,$A30,0)</f>
        <v>0.17666666666666667</v>
      </c>
      <c r="F30" s="158">
        <f>HLOOKUP(F$3,'RV 2018'!$B$3:$P$33,$A30,0)</f>
        <v>0.17666666666666667</v>
      </c>
      <c r="G30" s="158">
        <f>HLOOKUP(G$3,'RV 2018'!$B$3:$P$33,$A30,0)</f>
        <v>0.17666666666666667</v>
      </c>
      <c r="H30" s="158">
        <f>HLOOKUP(H$3,'RV 2018'!$B$3:$P$33,$A30,0)</f>
        <v>0.17666666666666667</v>
      </c>
      <c r="I30" s="158">
        <f>HLOOKUP(I$3,'RV 2018'!$B$3:$P$33,$A30,0)</f>
        <v>0.17666666666666667</v>
      </c>
      <c r="J30" s="152"/>
    </row>
    <row r="31" spans="1:10" ht="12.5" customHeight="1" x14ac:dyDescent="0.25">
      <c r="A31" s="48">
        <v>29</v>
      </c>
      <c r="B31" s="1104"/>
      <c r="C31" s="1090" t="s">
        <v>238</v>
      </c>
      <c r="D31" s="1091"/>
      <c r="E31" s="158">
        <f>HLOOKUP(E$3,'RV 2018'!$B$3:$P$33,$A31,0)</f>
        <v>0</v>
      </c>
      <c r="F31" s="158">
        <f>HLOOKUP(F$3,'RV 2018'!$B$3:$P$33,$A31,0)</f>
        <v>0</v>
      </c>
      <c r="G31" s="158">
        <f>HLOOKUP(G$3,'RV 2018'!$B$3:$P$33,$A31,0)</f>
        <v>0.21500000000000002</v>
      </c>
      <c r="H31" s="158">
        <f>HLOOKUP(H$3,'RV 2018'!$B$3:$P$33,$A31,0)</f>
        <v>0</v>
      </c>
      <c r="I31" s="158">
        <f>HLOOKUP(I$3,'RV 2018'!$B$3:$P$33,$A31,0)</f>
        <v>0</v>
      </c>
      <c r="J31" s="152"/>
    </row>
    <row r="32" spans="1:10" ht="12.5" customHeight="1" x14ac:dyDescent="0.25">
      <c r="A32" s="48">
        <v>30</v>
      </c>
      <c r="B32" s="1105"/>
      <c r="C32" s="1090" t="s">
        <v>239</v>
      </c>
      <c r="D32" s="1091"/>
      <c r="E32" s="158">
        <f>HLOOKUP(E$3,'RV 2018'!$B$3:$P$33,$A32,0)</f>
        <v>0.17666666666666667</v>
      </c>
      <c r="F32" s="158">
        <f>HLOOKUP(F$3,'RV 2018'!$B$3:$P$33,$A32,0)</f>
        <v>0.17666666666666667</v>
      </c>
      <c r="G32" s="158">
        <f>HLOOKUP(G$3,'RV 2018'!$B$3:$P$33,$A32,0)</f>
        <v>0.39166666666666672</v>
      </c>
      <c r="H32" s="158">
        <f>HLOOKUP(H$3,'RV 2018'!$B$3:$P$33,$A32,0)</f>
        <v>0.17666666666666667</v>
      </c>
      <c r="I32" s="158">
        <f>HLOOKUP(I$3,'RV 2018'!$B$3:$P$33,$A32,0)</f>
        <v>0.17666666666666667</v>
      </c>
      <c r="J32" s="149"/>
    </row>
    <row r="33" spans="1:10" ht="13" thickBot="1" x14ac:dyDescent="0.3">
      <c r="A33" s="48">
        <v>31</v>
      </c>
      <c r="B33" s="1106" t="s">
        <v>174</v>
      </c>
      <c r="C33" s="1107"/>
      <c r="D33" s="1108"/>
      <c r="E33" s="162">
        <f>HLOOKUP(E$3,'RV 2018'!$B$3:$P$33,$A33,0)</f>
        <v>14070727.699999999</v>
      </c>
      <c r="F33" s="162">
        <f>HLOOKUP(F$3,'RV 2018'!$B$3:$P$33,$A33,0)</f>
        <v>4874312.3</v>
      </c>
      <c r="G33" s="162">
        <f>HLOOKUP(G$3,'RV 2018'!$B$3:$P$33,$A33,0)</f>
        <v>4987493.3</v>
      </c>
      <c r="H33" s="162">
        <f>HLOOKUP(H$3,'RV 2018'!$B$3:$P$33,$A33,0)</f>
        <v>2765296.1</v>
      </c>
      <c r="I33" s="162">
        <f>HLOOKUP(I$3,'RV 2018'!$B$3:$P$33,$A33,0)</f>
        <v>1382648.1</v>
      </c>
      <c r="J33" s="159">
        <f>SUMPRODUCT($E$7:$I$7,$E33:$I33)</f>
        <v>57779075.299999997</v>
      </c>
    </row>
    <row r="34" spans="1:10" x14ac:dyDescent="0.25">
      <c r="J34" s="606">
        <f>J33-'RV 2018'!P33</f>
        <v>0</v>
      </c>
    </row>
  </sheetData>
  <mergeCells count="36">
    <mergeCell ref="B30:B32"/>
    <mergeCell ref="C30:D30"/>
    <mergeCell ref="C31:D31"/>
    <mergeCell ref="C32:D32"/>
    <mergeCell ref="B33:D33"/>
    <mergeCell ref="B29:D29"/>
    <mergeCell ref="J20:J23"/>
    <mergeCell ref="C21:D21"/>
    <mergeCell ref="C22:D22"/>
    <mergeCell ref="C23:D23"/>
    <mergeCell ref="C24:D24"/>
    <mergeCell ref="B25:D25"/>
    <mergeCell ref="B26:B28"/>
    <mergeCell ref="C26:D26"/>
    <mergeCell ref="J26:J27"/>
    <mergeCell ref="C27:D27"/>
    <mergeCell ref="C28:D28"/>
    <mergeCell ref="B17:D17"/>
    <mergeCell ref="B18:B19"/>
    <mergeCell ref="C18:D18"/>
    <mergeCell ref="C19:D19"/>
    <mergeCell ref="B20:B24"/>
    <mergeCell ref="C20:D20"/>
    <mergeCell ref="B11:B14"/>
    <mergeCell ref="J11:J13"/>
    <mergeCell ref="C12:C13"/>
    <mergeCell ref="C14:D14"/>
    <mergeCell ref="B15:B16"/>
    <mergeCell ref="C15:D15"/>
    <mergeCell ref="C16:D16"/>
    <mergeCell ref="B10:D10"/>
    <mergeCell ref="B4:J4"/>
    <mergeCell ref="B6:D6"/>
    <mergeCell ref="B7:D7"/>
    <mergeCell ref="B8:D8"/>
    <mergeCell ref="B9:D9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3:I27"/>
  <sheetViews>
    <sheetView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20.6328125" style="47" customWidth="1"/>
    <col min="3" max="3" width="10.90625" style="47" customWidth="1"/>
    <col min="4" max="4" width="20.36328125" style="47" bestFit="1" customWidth="1"/>
    <col min="5" max="5" width="8.1796875" style="47" customWidth="1"/>
    <col min="6" max="6" width="8.08984375" style="47" customWidth="1"/>
    <col min="7" max="7" width="7.6328125" style="47" customWidth="1"/>
    <col min="8" max="8" width="8.08984375" style="48" bestFit="1" customWidth="1"/>
    <col min="9" max="250" width="11.453125" style="48"/>
    <col min="251" max="251" width="10" style="48" customWidth="1"/>
    <col min="252" max="252" width="50.54296875" style="48" customWidth="1"/>
    <col min="253" max="506" width="11.453125" style="48"/>
    <col min="507" max="507" width="10" style="48" customWidth="1"/>
    <col min="508" max="508" width="50.54296875" style="48" customWidth="1"/>
    <col min="509" max="762" width="11.453125" style="48"/>
    <col min="763" max="763" width="10" style="48" customWidth="1"/>
    <col min="764" max="764" width="50.54296875" style="48" customWidth="1"/>
    <col min="765" max="1018" width="11.453125" style="48"/>
    <col min="1019" max="1019" width="10" style="48" customWidth="1"/>
    <col min="1020" max="1020" width="50.54296875" style="48" customWidth="1"/>
    <col min="1021" max="1274" width="11.453125" style="48"/>
    <col min="1275" max="1275" width="10" style="48" customWidth="1"/>
    <col min="1276" max="1276" width="50.54296875" style="48" customWidth="1"/>
    <col min="1277" max="1530" width="11.453125" style="48"/>
    <col min="1531" max="1531" width="10" style="48" customWidth="1"/>
    <col min="1532" max="1532" width="50.54296875" style="48" customWidth="1"/>
    <col min="1533" max="1786" width="11.453125" style="48"/>
    <col min="1787" max="1787" width="10" style="48" customWidth="1"/>
    <col min="1788" max="1788" width="50.54296875" style="48" customWidth="1"/>
    <col min="1789" max="2042" width="11.453125" style="48"/>
    <col min="2043" max="2043" width="10" style="48" customWidth="1"/>
    <col min="2044" max="2044" width="50.54296875" style="48" customWidth="1"/>
    <col min="2045" max="2298" width="11.453125" style="48"/>
    <col min="2299" max="2299" width="10" style="48" customWidth="1"/>
    <col min="2300" max="2300" width="50.54296875" style="48" customWidth="1"/>
    <col min="2301" max="2554" width="11.453125" style="48"/>
    <col min="2555" max="2555" width="10" style="48" customWidth="1"/>
    <col min="2556" max="2556" width="50.54296875" style="48" customWidth="1"/>
    <col min="2557" max="2810" width="11.453125" style="48"/>
    <col min="2811" max="2811" width="10" style="48" customWidth="1"/>
    <col min="2812" max="2812" width="50.54296875" style="48" customWidth="1"/>
    <col min="2813" max="3066" width="11.453125" style="48"/>
    <col min="3067" max="3067" width="10" style="48" customWidth="1"/>
    <col min="3068" max="3068" width="50.54296875" style="48" customWidth="1"/>
    <col min="3069" max="3322" width="11.453125" style="48"/>
    <col min="3323" max="3323" width="10" style="48" customWidth="1"/>
    <col min="3324" max="3324" width="50.54296875" style="48" customWidth="1"/>
    <col min="3325" max="3578" width="11.453125" style="48"/>
    <col min="3579" max="3579" width="10" style="48" customWidth="1"/>
    <col min="3580" max="3580" width="50.54296875" style="48" customWidth="1"/>
    <col min="3581" max="3834" width="11.453125" style="48"/>
    <col min="3835" max="3835" width="10" style="48" customWidth="1"/>
    <col min="3836" max="3836" width="50.54296875" style="48" customWidth="1"/>
    <col min="3837" max="4090" width="11.453125" style="48"/>
    <col min="4091" max="4091" width="10" style="48" customWidth="1"/>
    <col min="4092" max="4092" width="50.54296875" style="48" customWidth="1"/>
    <col min="4093" max="4346" width="11.453125" style="48"/>
    <col min="4347" max="4347" width="10" style="48" customWidth="1"/>
    <col min="4348" max="4348" width="50.54296875" style="48" customWidth="1"/>
    <col min="4349" max="4602" width="11.453125" style="48"/>
    <col min="4603" max="4603" width="10" style="48" customWidth="1"/>
    <col min="4604" max="4604" width="50.54296875" style="48" customWidth="1"/>
    <col min="4605" max="4858" width="11.453125" style="48"/>
    <col min="4859" max="4859" width="10" style="48" customWidth="1"/>
    <col min="4860" max="4860" width="50.54296875" style="48" customWidth="1"/>
    <col min="4861" max="5114" width="11.453125" style="48"/>
    <col min="5115" max="5115" width="10" style="48" customWidth="1"/>
    <col min="5116" max="5116" width="50.54296875" style="48" customWidth="1"/>
    <col min="5117" max="5370" width="11.453125" style="48"/>
    <col min="5371" max="5371" width="10" style="48" customWidth="1"/>
    <col min="5372" max="5372" width="50.54296875" style="48" customWidth="1"/>
    <col min="5373" max="5626" width="11.453125" style="48"/>
    <col min="5627" max="5627" width="10" style="48" customWidth="1"/>
    <col min="5628" max="5628" width="50.54296875" style="48" customWidth="1"/>
    <col min="5629" max="5882" width="11.453125" style="48"/>
    <col min="5883" max="5883" width="10" style="48" customWidth="1"/>
    <col min="5884" max="5884" width="50.54296875" style="48" customWidth="1"/>
    <col min="5885" max="6138" width="11.453125" style="48"/>
    <col min="6139" max="6139" width="10" style="48" customWidth="1"/>
    <col min="6140" max="6140" width="50.54296875" style="48" customWidth="1"/>
    <col min="6141" max="6394" width="11.453125" style="48"/>
    <col min="6395" max="6395" width="10" style="48" customWidth="1"/>
    <col min="6396" max="6396" width="50.54296875" style="48" customWidth="1"/>
    <col min="6397" max="6650" width="11.453125" style="48"/>
    <col min="6651" max="6651" width="10" style="48" customWidth="1"/>
    <col min="6652" max="6652" width="50.54296875" style="48" customWidth="1"/>
    <col min="6653" max="6906" width="11.453125" style="48"/>
    <col min="6907" max="6907" width="10" style="48" customWidth="1"/>
    <col min="6908" max="6908" width="50.54296875" style="48" customWidth="1"/>
    <col min="6909" max="7162" width="11.453125" style="48"/>
    <col min="7163" max="7163" width="10" style="48" customWidth="1"/>
    <col min="7164" max="7164" width="50.54296875" style="48" customWidth="1"/>
    <col min="7165" max="7418" width="11.453125" style="48"/>
    <col min="7419" max="7419" width="10" style="48" customWidth="1"/>
    <col min="7420" max="7420" width="50.54296875" style="48" customWidth="1"/>
    <col min="7421" max="7674" width="11.453125" style="48"/>
    <col min="7675" max="7675" width="10" style="48" customWidth="1"/>
    <col min="7676" max="7676" width="50.54296875" style="48" customWidth="1"/>
    <col min="7677" max="7930" width="11.453125" style="48"/>
    <col min="7931" max="7931" width="10" style="48" customWidth="1"/>
    <col min="7932" max="7932" width="50.54296875" style="48" customWidth="1"/>
    <col min="7933" max="8186" width="11.453125" style="48"/>
    <col min="8187" max="8187" width="10" style="48" customWidth="1"/>
    <col min="8188" max="8188" width="50.54296875" style="48" customWidth="1"/>
    <col min="8189" max="8442" width="11.453125" style="48"/>
    <col min="8443" max="8443" width="10" style="48" customWidth="1"/>
    <col min="8444" max="8444" width="50.54296875" style="48" customWidth="1"/>
    <col min="8445" max="8698" width="11.453125" style="48"/>
    <col min="8699" max="8699" width="10" style="48" customWidth="1"/>
    <col min="8700" max="8700" width="50.54296875" style="48" customWidth="1"/>
    <col min="8701" max="8954" width="11.453125" style="48"/>
    <col min="8955" max="8955" width="10" style="48" customWidth="1"/>
    <col min="8956" max="8956" width="50.54296875" style="48" customWidth="1"/>
    <col min="8957" max="9210" width="11.453125" style="48"/>
    <col min="9211" max="9211" width="10" style="48" customWidth="1"/>
    <col min="9212" max="9212" width="50.54296875" style="48" customWidth="1"/>
    <col min="9213" max="9466" width="11.453125" style="48"/>
    <col min="9467" max="9467" width="10" style="48" customWidth="1"/>
    <col min="9468" max="9468" width="50.54296875" style="48" customWidth="1"/>
    <col min="9469" max="9722" width="11.453125" style="48"/>
    <col min="9723" max="9723" width="10" style="48" customWidth="1"/>
    <col min="9724" max="9724" width="50.54296875" style="48" customWidth="1"/>
    <col min="9725" max="9978" width="11.453125" style="48"/>
    <col min="9979" max="9979" width="10" style="48" customWidth="1"/>
    <col min="9980" max="9980" width="50.54296875" style="48" customWidth="1"/>
    <col min="9981" max="10234" width="11.453125" style="48"/>
    <col min="10235" max="10235" width="10" style="48" customWidth="1"/>
    <col min="10236" max="10236" width="50.54296875" style="48" customWidth="1"/>
    <col min="10237" max="10490" width="11.453125" style="48"/>
    <col min="10491" max="10491" width="10" style="48" customWidth="1"/>
    <col min="10492" max="10492" width="50.54296875" style="48" customWidth="1"/>
    <col min="10493" max="10746" width="11.453125" style="48"/>
    <col min="10747" max="10747" width="10" style="48" customWidth="1"/>
    <col min="10748" max="10748" width="50.54296875" style="48" customWidth="1"/>
    <col min="10749" max="11002" width="11.453125" style="48"/>
    <col min="11003" max="11003" width="10" style="48" customWidth="1"/>
    <col min="11004" max="11004" width="50.54296875" style="48" customWidth="1"/>
    <col min="11005" max="11258" width="11.453125" style="48"/>
    <col min="11259" max="11259" width="10" style="48" customWidth="1"/>
    <col min="11260" max="11260" width="50.54296875" style="48" customWidth="1"/>
    <col min="11261" max="11514" width="11.453125" style="48"/>
    <col min="11515" max="11515" width="10" style="48" customWidth="1"/>
    <col min="11516" max="11516" width="50.54296875" style="48" customWidth="1"/>
    <col min="11517" max="11770" width="11.453125" style="48"/>
    <col min="11771" max="11771" width="10" style="48" customWidth="1"/>
    <col min="11772" max="11772" width="50.54296875" style="48" customWidth="1"/>
    <col min="11773" max="12026" width="11.453125" style="48"/>
    <col min="12027" max="12027" width="10" style="48" customWidth="1"/>
    <col min="12028" max="12028" width="50.54296875" style="48" customWidth="1"/>
    <col min="12029" max="12282" width="11.453125" style="48"/>
    <col min="12283" max="12283" width="10" style="48" customWidth="1"/>
    <col min="12284" max="12284" width="50.54296875" style="48" customWidth="1"/>
    <col min="12285" max="12538" width="11.453125" style="48"/>
    <col min="12539" max="12539" width="10" style="48" customWidth="1"/>
    <col min="12540" max="12540" width="50.54296875" style="48" customWidth="1"/>
    <col min="12541" max="12794" width="11.453125" style="48"/>
    <col min="12795" max="12795" width="10" style="48" customWidth="1"/>
    <col min="12796" max="12796" width="50.54296875" style="48" customWidth="1"/>
    <col min="12797" max="13050" width="11.453125" style="48"/>
    <col min="13051" max="13051" width="10" style="48" customWidth="1"/>
    <col min="13052" max="13052" width="50.54296875" style="48" customWidth="1"/>
    <col min="13053" max="13306" width="11.453125" style="48"/>
    <col min="13307" max="13307" width="10" style="48" customWidth="1"/>
    <col min="13308" max="13308" width="50.54296875" style="48" customWidth="1"/>
    <col min="13309" max="13562" width="11.453125" style="48"/>
    <col min="13563" max="13563" width="10" style="48" customWidth="1"/>
    <col min="13564" max="13564" width="50.54296875" style="48" customWidth="1"/>
    <col min="13565" max="13818" width="11.453125" style="48"/>
    <col min="13819" max="13819" width="10" style="48" customWidth="1"/>
    <col min="13820" max="13820" width="50.54296875" style="48" customWidth="1"/>
    <col min="13821" max="14074" width="11.453125" style="48"/>
    <col min="14075" max="14075" width="10" style="48" customWidth="1"/>
    <col min="14076" max="14076" width="50.54296875" style="48" customWidth="1"/>
    <col min="14077" max="14330" width="11.453125" style="48"/>
    <col min="14331" max="14331" width="10" style="48" customWidth="1"/>
    <col min="14332" max="14332" width="50.54296875" style="48" customWidth="1"/>
    <col min="14333" max="14586" width="11.453125" style="48"/>
    <col min="14587" max="14587" width="10" style="48" customWidth="1"/>
    <col min="14588" max="14588" width="50.54296875" style="48" customWidth="1"/>
    <col min="14589" max="14842" width="11.453125" style="48"/>
    <col min="14843" max="14843" width="10" style="48" customWidth="1"/>
    <col min="14844" max="14844" width="50.54296875" style="48" customWidth="1"/>
    <col min="14845" max="15098" width="11.453125" style="48"/>
    <col min="15099" max="15099" width="10" style="48" customWidth="1"/>
    <col min="15100" max="15100" width="50.54296875" style="48" customWidth="1"/>
    <col min="15101" max="15354" width="11.453125" style="48"/>
    <col min="15355" max="15355" width="10" style="48" customWidth="1"/>
    <col min="15356" max="15356" width="50.54296875" style="48" customWidth="1"/>
    <col min="15357" max="15610" width="11.453125" style="48"/>
    <col min="15611" max="15611" width="10" style="48" customWidth="1"/>
    <col min="15612" max="15612" width="50.54296875" style="48" customWidth="1"/>
    <col min="15613" max="15866" width="11.453125" style="48"/>
    <col min="15867" max="15867" width="10" style="48" customWidth="1"/>
    <col min="15868" max="15868" width="50.54296875" style="48" customWidth="1"/>
    <col min="15869" max="16122" width="11.453125" style="48"/>
    <col min="16123" max="16123" width="10" style="48" customWidth="1"/>
    <col min="16124" max="16124" width="50.54296875" style="48" customWidth="1"/>
    <col min="16125" max="16384" width="11.453125" style="48"/>
  </cols>
  <sheetData>
    <row r="3" spans="1:9" s="50" customFormat="1" ht="13.5" thickBot="1" x14ac:dyDescent="0.35">
      <c r="B3" s="1001"/>
      <c r="C3" s="1001"/>
      <c r="D3" s="1001"/>
    </row>
    <row r="4" spans="1:9" s="50" customFormat="1" ht="18.5" thickBot="1" x14ac:dyDescent="0.45">
      <c r="B4" s="979" t="str">
        <f>"Horas de Trabajo Mensuales por Consultor Año "&amp;I4</f>
        <v>Horas de Trabajo Mensuales por Consultor Año 2019</v>
      </c>
      <c r="C4" s="980"/>
      <c r="D4" s="980"/>
      <c r="E4" s="980"/>
      <c r="F4" s="980"/>
      <c r="G4" s="980"/>
      <c r="H4" s="981"/>
      <c r="I4" s="50">
        <v>2019</v>
      </c>
    </row>
    <row r="5" spans="1:9" s="50" customFormat="1" ht="13.25" customHeight="1" thickBot="1" x14ac:dyDescent="0.35"/>
    <row r="6" spans="1:9" s="45" customFormat="1" ht="12" customHeight="1" x14ac:dyDescent="0.3">
      <c r="B6" s="1057" t="s">
        <v>89</v>
      </c>
      <c r="C6" s="1059" t="s">
        <v>94</v>
      </c>
      <c r="D6" s="1062" t="s">
        <v>110</v>
      </c>
      <c r="E6" s="1064" t="s">
        <v>112</v>
      </c>
      <c r="F6" s="999"/>
      <c r="G6" s="999"/>
      <c r="H6" s="1065"/>
    </row>
    <row r="7" spans="1:9" s="45" customFormat="1" ht="3" customHeight="1" x14ac:dyDescent="0.3">
      <c r="B7" s="1058"/>
      <c r="C7" s="1060"/>
      <c r="D7" s="1063"/>
      <c r="E7" s="1066"/>
      <c r="F7" s="1067"/>
      <c r="G7" s="1067"/>
      <c r="H7" s="1068"/>
    </row>
    <row r="8" spans="1:9" s="45" customFormat="1" ht="13" x14ac:dyDescent="0.3">
      <c r="B8" s="136"/>
      <c r="C8" s="1061"/>
      <c r="D8" s="134"/>
      <c r="E8" s="121" t="s">
        <v>106</v>
      </c>
      <c r="F8" s="121" t="s">
        <v>107</v>
      </c>
      <c r="G8" s="121" t="s">
        <v>108</v>
      </c>
      <c r="H8" s="133" t="s">
        <v>147</v>
      </c>
    </row>
    <row r="9" spans="1:9" s="46" customFormat="1" x14ac:dyDescent="0.35">
      <c r="A9" s="46">
        <v>1</v>
      </c>
      <c r="B9" s="52" t="s">
        <v>93</v>
      </c>
      <c r="C9" s="53">
        <v>10</v>
      </c>
      <c r="D9" s="53" t="s">
        <v>91</v>
      </c>
      <c r="E9" s="53">
        <v>0</v>
      </c>
      <c r="F9" s="53">
        <v>20</v>
      </c>
      <c r="G9" s="53">
        <f>ROUND(IF($G$26*(F9/($F$9+$F$10+$F$13+$F$17))&gt;F9,F9,$G$26*(F9/($F$9+$F$10+$F$13+$F$17))),0)</f>
        <v>20</v>
      </c>
      <c r="H9" s="138">
        <f>IF(D9="Laboral",100%,G9/F9)</f>
        <v>1</v>
      </c>
    </row>
    <row r="10" spans="1:9" s="46" customFormat="1" x14ac:dyDescent="0.35">
      <c r="A10" s="46">
        <v>2</v>
      </c>
      <c r="B10" s="52" t="s">
        <v>90</v>
      </c>
      <c r="C10" s="53">
        <v>2</v>
      </c>
      <c r="D10" s="53" t="s">
        <v>91</v>
      </c>
      <c r="E10" s="53">
        <v>20</v>
      </c>
      <c r="F10" s="53">
        <v>40</v>
      </c>
      <c r="G10" s="53">
        <f t="shared" ref="G10" si="0">ROUND(IF($G$26*(F10/($F$9+$F$10+$F$13+$F$17))&gt;F10,F10,$G$26*(F10/($F$9+$F$10+$F$13+$F$17))),0)</f>
        <v>40</v>
      </c>
      <c r="H10" s="138">
        <f t="shared" ref="H10:H17" si="1">IF(D10="Laboral",100%,G10/F10)</f>
        <v>1</v>
      </c>
    </row>
    <row r="11" spans="1:9" s="46" customFormat="1" x14ac:dyDescent="0.35">
      <c r="A11" s="46">
        <v>3</v>
      </c>
      <c r="B11" s="52" t="s">
        <v>90</v>
      </c>
      <c r="C11" s="53">
        <v>2</v>
      </c>
      <c r="D11" s="53" t="s">
        <v>145</v>
      </c>
      <c r="E11" s="53">
        <v>10</v>
      </c>
      <c r="F11" s="53">
        <v>40</v>
      </c>
      <c r="G11" s="57">
        <f>ROUND(IF(($G$26-($G$9+$G$10+$G$13+$G$17))*(F11/($F$11+$F$12+$F$14+$F$15+$F$16))&gt;F11,F11,($G$26-($G$9+$G$10+$G$13+$G$17))*(F11/($F$11+$F$12+$F$14+$F$15+$F$16))),0)</f>
        <v>39</v>
      </c>
      <c r="H11" s="138">
        <f t="shared" si="1"/>
        <v>0.97499999999999998</v>
      </c>
    </row>
    <row r="12" spans="1:9" s="46" customFormat="1" x14ac:dyDescent="0.35">
      <c r="A12" s="46">
        <v>4</v>
      </c>
      <c r="B12" s="52" t="s">
        <v>90</v>
      </c>
      <c r="C12" s="53">
        <v>3</v>
      </c>
      <c r="D12" s="53" t="s">
        <v>145</v>
      </c>
      <c r="E12" s="53">
        <v>10</v>
      </c>
      <c r="F12" s="53">
        <v>40</v>
      </c>
      <c r="G12" s="57">
        <f t="shared" ref="G12" si="2">ROUND(IF(($G$26-($G$9+$G$10+$G$13+$G$17))*(F12/($F$11+$F$12+$F$14+$F$15+$F$16))&gt;F12,F12,($G$26-($G$9+$G$10+$G$13+$G$17))*(F12/($F$11+$F$12+$F$14+$F$15+$F$16))),0)</f>
        <v>39</v>
      </c>
      <c r="H12" s="138">
        <f t="shared" si="1"/>
        <v>0.97499999999999998</v>
      </c>
    </row>
    <row r="13" spans="1:9" s="46" customFormat="1" x14ac:dyDescent="0.35">
      <c r="A13" s="46">
        <v>5</v>
      </c>
      <c r="B13" s="52" t="s">
        <v>90</v>
      </c>
      <c r="C13" s="53">
        <v>5</v>
      </c>
      <c r="D13" s="53" t="s">
        <v>91</v>
      </c>
      <c r="E13" s="53">
        <v>20</v>
      </c>
      <c r="F13" s="53">
        <v>40</v>
      </c>
      <c r="G13" s="53">
        <f>ROUND(IF($G$26*(F13/($F$9+$F$10+$F$13+$F$17))&gt;F13,F13,$G$26*(F13/($F$9+$F$10+$F$13+$F$17))),0)</f>
        <v>40</v>
      </c>
      <c r="H13" s="138">
        <f t="shared" si="1"/>
        <v>1</v>
      </c>
    </row>
    <row r="14" spans="1:9" s="46" customFormat="1" x14ac:dyDescent="0.35">
      <c r="A14" s="46">
        <v>6</v>
      </c>
      <c r="B14" s="52" t="s">
        <v>90</v>
      </c>
      <c r="C14" s="53">
        <v>2</v>
      </c>
      <c r="D14" s="53" t="s">
        <v>145</v>
      </c>
      <c r="E14" s="53">
        <v>10</v>
      </c>
      <c r="F14" s="53">
        <v>40</v>
      </c>
      <c r="G14" s="57">
        <f t="shared" ref="G14:G16" si="3">ROUND(IF(($G$26-($G$9+$G$10+$G$13+$G$17))*(F14/($F$11+$F$12+$F$14+$F$15+$F$16))&gt;F14,F14,($G$26-($G$9+$G$10+$G$13+$G$17))*(F14/($F$11+$F$12+$F$14+$F$15+$F$16))),0)</f>
        <v>39</v>
      </c>
      <c r="H14" s="138">
        <f t="shared" si="1"/>
        <v>0.97499999999999998</v>
      </c>
    </row>
    <row r="15" spans="1:9" s="46" customFormat="1" x14ac:dyDescent="0.35">
      <c r="A15" s="46">
        <v>7</v>
      </c>
      <c r="B15" s="52" t="s">
        <v>90</v>
      </c>
      <c r="C15" s="53">
        <v>2</v>
      </c>
      <c r="D15" s="53" t="s">
        <v>145</v>
      </c>
      <c r="E15" s="53">
        <v>10</v>
      </c>
      <c r="F15" s="53">
        <v>40</v>
      </c>
      <c r="G15" s="57">
        <f t="shared" si="3"/>
        <v>39</v>
      </c>
      <c r="H15" s="138">
        <f t="shared" si="1"/>
        <v>0.97499999999999998</v>
      </c>
    </row>
    <row r="16" spans="1:9" s="46" customFormat="1" x14ac:dyDescent="0.35">
      <c r="A16" s="46">
        <v>8</v>
      </c>
      <c r="B16" s="52" t="s">
        <v>90</v>
      </c>
      <c r="C16" s="53">
        <v>7</v>
      </c>
      <c r="D16" s="53" t="s">
        <v>145</v>
      </c>
      <c r="E16" s="53">
        <v>10</v>
      </c>
      <c r="F16" s="53">
        <v>40</v>
      </c>
      <c r="G16" s="57">
        <f t="shared" si="3"/>
        <v>39</v>
      </c>
      <c r="H16" s="138">
        <f t="shared" si="1"/>
        <v>0.97499999999999998</v>
      </c>
    </row>
    <row r="17" spans="1:8" s="46" customFormat="1" x14ac:dyDescent="0.35">
      <c r="A17" s="46">
        <v>9</v>
      </c>
      <c r="B17" s="52" t="s">
        <v>90</v>
      </c>
      <c r="C17" s="53">
        <v>2</v>
      </c>
      <c r="D17" s="53" t="s">
        <v>91</v>
      </c>
      <c r="E17" s="53">
        <v>20</v>
      </c>
      <c r="F17" s="53">
        <v>40</v>
      </c>
      <c r="G17" s="53">
        <f>ROUND(IF($G$26*(F17/($F$9+$F$10+$F$13+$F$17))&gt;F17,F17,$G$26*(F17/($F$9+$F$10+$F$13+$F$17))),0)</f>
        <v>40</v>
      </c>
      <c r="H17" s="138">
        <f t="shared" si="1"/>
        <v>1</v>
      </c>
    </row>
    <row r="18" spans="1:8" s="46" customFormat="1" x14ac:dyDescent="0.35">
      <c r="B18" s="122"/>
      <c r="C18" s="123"/>
      <c r="D18" s="123"/>
      <c r="E18" s="123"/>
      <c r="F18" s="123"/>
      <c r="G18" s="123"/>
      <c r="H18" s="141"/>
    </row>
    <row r="19" spans="1:8" s="46" customFormat="1" ht="13" x14ac:dyDescent="0.35">
      <c r="B19" s="73" t="s">
        <v>103</v>
      </c>
      <c r="C19" s="65"/>
      <c r="D19" s="65"/>
      <c r="E19" s="65"/>
      <c r="F19" s="66"/>
      <c r="G19" s="74">
        <f>SUM(G9:G17)</f>
        <v>335</v>
      </c>
      <c r="H19" s="139"/>
    </row>
    <row r="20" spans="1:8" s="46" customFormat="1" x14ac:dyDescent="0.35">
      <c r="B20" s="52"/>
      <c r="C20" s="53"/>
      <c r="D20" s="53"/>
      <c r="E20" s="53"/>
      <c r="F20" s="53"/>
      <c r="G20" s="53"/>
      <c r="H20" s="139"/>
    </row>
    <row r="21" spans="1:8" s="46" customFormat="1" x14ac:dyDescent="0.35">
      <c r="A21" s="46">
        <v>10</v>
      </c>
      <c r="B21" s="52" t="s">
        <v>146</v>
      </c>
      <c r="C21" s="58" t="s">
        <v>45</v>
      </c>
      <c r="D21" s="53" t="s">
        <v>91</v>
      </c>
      <c r="E21" s="53">
        <v>20</v>
      </c>
      <c r="F21" s="53">
        <v>40</v>
      </c>
      <c r="G21" s="53">
        <f>F21</f>
        <v>40</v>
      </c>
      <c r="H21" s="138">
        <f t="shared" ref="H21:H22" si="4">IF(D21="Laboral",100%,G21/F21)</f>
        <v>1</v>
      </c>
    </row>
    <row r="22" spans="1:8" s="46" customFormat="1" x14ac:dyDescent="0.35">
      <c r="A22" s="46">
        <v>11</v>
      </c>
      <c r="B22" s="52" t="s">
        <v>92</v>
      </c>
      <c r="C22" s="58" t="s">
        <v>45</v>
      </c>
      <c r="D22" s="53" t="s">
        <v>91</v>
      </c>
      <c r="E22" s="53">
        <v>20</v>
      </c>
      <c r="F22" s="53">
        <v>40</v>
      </c>
      <c r="G22" s="53">
        <f>F22</f>
        <v>40</v>
      </c>
      <c r="H22" s="138">
        <f t="shared" si="4"/>
        <v>1</v>
      </c>
    </row>
    <row r="23" spans="1:8" x14ac:dyDescent="0.25">
      <c r="B23" s="129"/>
      <c r="C23" s="130"/>
      <c r="D23" s="130"/>
      <c r="E23" s="130"/>
      <c r="F23" s="130"/>
      <c r="G23" s="130"/>
      <c r="H23" s="140"/>
    </row>
    <row r="24" spans="1:8" ht="13.5" thickBot="1" x14ac:dyDescent="0.35">
      <c r="B24" s="68" t="s">
        <v>65</v>
      </c>
      <c r="C24" s="69"/>
      <c r="D24" s="69"/>
      <c r="E24" s="69"/>
      <c r="F24" s="70"/>
      <c r="G24" s="63">
        <f>SUM(G19:G22)</f>
        <v>415</v>
      </c>
      <c r="H24" s="137"/>
    </row>
    <row r="25" spans="1:8" x14ac:dyDescent="0.25">
      <c r="G25" s="51"/>
    </row>
    <row r="26" spans="1:8" x14ac:dyDescent="0.25">
      <c r="B26" s="47" t="s">
        <v>104</v>
      </c>
      <c r="G26" s="51">
        <f>HLOOKUP($I$4,'HP Proyect'!$B$4:$F$6,2,0)</f>
        <v>334</v>
      </c>
    </row>
    <row r="27" spans="1:8" x14ac:dyDescent="0.25">
      <c r="B27" s="47" t="s">
        <v>105</v>
      </c>
      <c r="G27" s="51">
        <f>G19-G26</f>
        <v>1</v>
      </c>
    </row>
  </sheetData>
  <mergeCells count="6">
    <mergeCell ref="B3:D3"/>
    <mergeCell ref="B4:H4"/>
    <mergeCell ref="B6:B7"/>
    <mergeCell ref="C6:C8"/>
    <mergeCell ref="D6:D7"/>
    <mergeCell ref="E6:H7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3:P28"/>
  <sheetViews>
    <sheetView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6.54296875" style="47" bestFit="1" customWidth="1"/>
    <col min="4" max="4" width="8.81640625" style="47" bestFit="1" customWidth="1"/>
    <col min="5" max="5" width="5.36328125" style="48" bestFit="1" customWidth="1"/>
    <col min="6" max="6" width="6.08984375" style="48" bestFit="1" customWidth="1"/>
    <col min="7" max="7" width="8.81640625" style="48" bestFit="1" customWidth="1"/>
    <col min="8" max="8" width="5.36328125" style="48" bestFit="1" customWidth="1"/>
    <col min="9" max="9" width="10.81640625" style="48" bestFit="1" customWidth="1"/>
    <col min="10" max="10" width="6.6328125" style="48" bestFit="1" customWidth="1"/>
    <col min="11" max="14" width="6.6328125" style="48" customWidth="1"/>
    <col min="15" max="15" width="12" style="48" customWidth="1"/>
    <col min="16" max="263" width="11.453125" style="48"/>
    <col min="264" max="264" width="10" style="48" customWidth="1"/>
    <col min="265" max="265" width="50.54296875" style="48" customWidth="1"/>
    <col min="266" max="519" width="11.453125" style="48"/>
    <col min="520" max="520" width="10" style="48" customWidth="1"/>
    <col min="521" max="521" width="50.54296875" style="48" customWidth="1"/>
    <col min="522" max="775" width="11.453125" style="48"/>
    <col min="776" max="776" width="10" style="48" customWidth="1"/>
    <col min="777" max="777" width="50.54296875" style="48" customWidth="1"/>
    <col min="778" max="1031" width="11.453125" style="48"/>
    <col min="1032" max="1032" width="10" style="48" customWidth="1"/>
    <col min="1033" max="1033" width="50.54296875" style="48" customWidth="1"/>
    <col min="1034" max="1287" width="11.453125" style="48"/>
    <col min="1288" max="1288" width="10" style="48" customWidth="1"/>
    <col min="1289" max="1289" width="50.54296875" style="48" customWidth="1"/>
    <col min="1290" max="1543" width="11.453125" style="48"/>
    <col min="1544" max="1544" width="10" style="48" customWidth="1"/>
    <col min="1545" max="1545" width="50.54296875" style="48" customWidth="1"/>
    <col min="1546" max="1799" width="11.453125" style="48"/>
    <col min="1800" max="1800" width="10" style="48" customWidth="1"/>
    <col min="1801" max="1801" width="50.54296875" style="48" customWidth="1"/>
    <col min="1802" max="2055" width="11.453125" style="48"/>
    <col min="2056" max="2056" width="10" style="48" customWidth="1"/>
    <col min="2057" max="2057" width="50.54296875" style="48" customWidth="1"/>
    <col min="2058" max="2311" width="11.453125" style="48"/>
    <col min="2312" max="2312" width="10" style="48" customWidth="1"/>
    <col min="2313" max="2313" width="50.54296875" style="48" customWidth="1"/>
    <col min="2314" max="2567" width="11.453125" style="48"/>
    <col min="2568" max="2568" width="10" style="48" customWidth="1"/>
    <col min="2569" max="2569" width="50.54296875" style="48" customWidth="1"/>
    <col min="2570" max="2823" width="11.453125" style="48"/>
    <col min="2824" max="2824" width="10" style="48" customWidth="1"/>
    <col min="2825" max="2825" width="50.54296875" style="48" customWidth="1"/>
    <col min="2826" max="3079" width="11.453125" style="48"/>
    <col min="3080" max="3080" width="10" style="48" customWidth="1"/>
    <col min="3081" max="3081" width="50.54296875" style="48" customWidth="1"/>
    <col min="3082" max="3335" width="11.453125" style="48"/>
    <col min="3336" max="3336" width="10" style="48" customWidth="1"/>
    <col min="3337" max="3337" width="50.54296875" style="48" customWidth="1"/>
    <col min="3338" max="3591" width="11.453125" style="48"/>
    <col min="3592" max="3592" width="10" style="48" customWidth="1"/>
    <col min="3593" max="3593" width="50.54296875" style="48" customWidth="1"/>
    <col min="3594" max="3847" width="11.453125" style="48"/>
    <col min="3848" max="3848" width="10" style="48" customWidth="1"/>
    <col min="3849" max="3849" width="50.54296875" style="48" customWidth="1"/>
    <col min="3850" max="4103" width="11.453125" style="48"/>
    <col min="4104" max="4104" width="10" style="48" customWidth="1"/>
    <col min="4105" max="4105" width="50.54296875" style="48" customWidth="1"/>
    <col min="4106" max="4359" width="11.453125" style="48"/>
    <col min="4360" max="4360" width="10" style="48" customWidth="1"/>
    <col min="4361" max="4361" width="50.54296875" style="48" customWidth="1"/>
    <col min="4362" max="4615" width="11.453125" style="48"/>
    <col min="4616" max="4616" width="10" style="48" customWidth="1"/>
    <col min="4617" max="4617" width="50.54296875" style="48" customWidth="1"/>
    <col min="4618" max="4871" width="11.453125" style="48"/>
    <col min="4872" max="4872" width="10" style="48" customWidth="1"/>
    <col min="4873" max="4873" width="50.54296875" style="48" customWidth="1"/>
    <col min="4874" max="5127" width="11.453125" style="48"/>
    <col min="5128" max="5128" width="10" style="48" customWidth="1"/>
    <col min="5129" max="5129" width="50.54296875" style="48" customWidth="1"/>
    <col min="5130" max="5383" width="11.453125" style="48"/>
    <col min="5384" max="5384" width="10" style="48" customWidth="1"/>
    <col min="5385" max="5385" width="50.54296875" style="48" customWidth="1"/>
    <col min="5386" max="5639" width="11.453125" style="48"/>
    <col min="5640" max="5640" width="10" style="48" customWidth="1"/>
    <col min="5641" max="5641" width="50.54296875" style="48" customWidth="1"/>
    <col min="5642" max="5895" width="11.453125" style="48"/>
    <col min="5896" max="5896" width="10" style="48" customWidth="1"/>
    <col min="5897" max="5897" width="50.54296875" style="48" customWidth="1"/>
    <col min="5898" max="6151" width="11.453125" style="48"/>
    <col min="6152" max="6152" width="10" style="48" customWidth="1"/>
    <col min="6153" max="6153" width="50.54296875" style="48" customWidth="1"/>
    <col min="6154" max="6407" width="11.453125" style="48"/>
    <col min="6408" max="6408" width="10" style="48" customWidth="1"/>
    <col min="6409" max="6409" width="50.54296875" style="48" customWidth="1"/>
    <col min="6410" max="6663" width="11.453125" style="48"/>
    <col min="6664" max="6664" width="10" style="48" customWidth="1"/>
    <col min="6665" max="6665" width="50.54296875" style="48" customWidth="1"/>
    <col min="6666" max="6919" width="11.453125" style="48"/>
    <col min="6920" max="6920" width="10" style="48" customWidth="1"/>
    <col min="6921" max="6921" width="50.54296875" style="48" customWidth="1"/>
    <col min="6922" max="7175" width="11.453125" style="48"/>
    <col min="7176" max="7176" width="10" style="48" customWidth="1"/>
    <col min="7177" max="7177" width="50.54296875" style="48" customWidth="1"/>
    <col min="7178" max="7431" width="11.453125" style="48"/>
    <col min="7432" max="7432" width="10" style="48" customWidth="1"/>
    <col min="7433" max="7433" width="50.54296875" style="48" customWidth="1"/>
    <col min="7434" max="7687" width="11.453125" style="48"/>
    <col min="7688" max="7688" width="10" style="48" customWidth="1"/>
    <col min="7689" max="7689" width="50.54296875" style="48" customWidth="1"/>
    <col min="7690" max="7943" width="11.453125" style="48"/>
    <col min="7944" max="7944" width="10" style="48" customWidth="1"/>
    <col min="7945" max="7945" width="50.54296875" style="48" customWidth="1"/>
    <col min="7946" max="8199" width="11.453125" style="48"/>
    <col min="8200" max="8200" width="10" style="48" customWidth="1"/>
    <col min="8201" max="8201" width="50.54296875" style="48" customWidth="1"/>
    <col min="8202" max="8455" width="11.453125" style="48"/>
    <col min="8456" max="8456" width="10" style="48" customWidth="1"/>
    <col min="8457" max="8457" width="50.54296875" style="48" customWidth="1"/>
    <col min="8458" max="8711" width="11.453125" style="48"/>
    <col min="8712" max="8712" width="10" style="48" customWidth="1"/>
    <col min="8713" max="8713" width="50.54296875" style="48" customWidth="1"/>
    <col min="8714" max="8967" width="11.453125" style="48"/>
    <col min="8968" max="8968" width="10" style="48" customWidth="1"/>
    <col min="8969" max="8969" width="50.54296875" style="48" customWidth="1"/>
    <col min="8970" max="9223" width="11.453125" style="48"/>
    <col min="9224" max="9224" width="10" style="48" customWidth="1"/>
    <col min="9225" max="9225" width="50.54296875" style="48" customWidth="1"/>
    <col min="9226" max="9479" width="11.453125" style="48"/>
    <col min="9480" max="9480" width="10" style="48" customWidth="1"/>
    <col min="9481" max="9481" width="50.54296875" style="48" customWidth="1"/>
    <col min="9482" max="9735" width="11.453125" style="48"/>
    <col min="9736" max="9736" width="10" style="48" customWidth="1"/>
    <col min="9737" max="9737" width="50.54296875" style="48" customWidth="1"/>
    <col min="9738" max="9991" width="11.453125" style="48"/>
    <col min="9992" max="9992" width="10" style="48" customWidth="1"/>
    <col min="9993" max="9993" width="50.54296875" style="48" customWidth="1"/>
    <col min="9994" max="10247" width="11.453125" style="48"/>
    <col min="10248" max="10248" width="10" style="48" customWidth="1"/>
    <col min="10249" max="10249" width="50.54296875" style="48" customWidth="1"/>
    <col min="10250" max="10503" width="11.453125" style="48"/>
    <col min="10504" max="10504" width="10" style="48" customWidth="1"/>
    <col min="10505" max="10505" width="50.54296875" style="48" customWidth="1"/>
    <col min="10506" max="10759" width="11.453125" style="48"/>
    <col min="10760" max="10760" width="10" style="48" customWidth="1"/>
    <col min="10761" max="10761" width="50.54296875" style="48" customWidth="1"/>
    <col min="10762" max="11015" width="11.453125" style="48"/>
    <col min="11016" max="11016" width="10" style="48" customWidth="1"/>
    <col min="11017" max="11017" width="50.54296875" style="48" customWidth="1"/>
    <col min="11018" max="11271" width="11.453125" style="48"/>
    <col min="11272" max="11272" width="10" style="48" customWidth="1"/>
    <col min="11273" max="11273" width="50.54296875" style="48" customWidth="1"/>
    <col min="11274" max="11527" width="11.453125" style="48"/>
    <col min="11528" max="11528" width="10" style="48" customWidth="1"/>
    <col min="11529" max="11529" width="50.54296875" style="48" customWidth="1"/>
    <col min="11530" max="11783" width="11.453125" style="48"/>
    <col min="11784" max="11784" width="10" style="48" customWidth="1"/>
    <col min="11785" max="11785" width="50.54296875" style="48" customWidth="1"/>
    <col min="11786" max="12039" width="11.453125" style="48"/>
    <col min="12040" max="12040" width="10" style="48" customWidth="1"/>
    <col min="12041" max="12041" width="50.54296875" style="48" customWidth="1"/>
    <col min="12042" max="12295" width="11.453125" style="48"/>
    <col min="12296" max="12296" width="10" style="48" customWidth="1"/>
    <col min="12297" max="12297" width="50.54296875" style="48" customWidth="1"/>
    <col min="12298" max="12551" width="11.453125" style="48"/>
    <col min="12552" max="12552" width="10" style="48" customWidth="1"/>
    <col min="12553" max="12553" width="50.54296875" style="48" customWidth="1"/>
    <col min="12554" max="12807" width="11.453125" style="48"/>
    <col min="12808" max="12808" width="10" style="48" customWidth="1"/>
    <col min="12809" max="12809" width="50.54296875" style="48" customWidth="1"/>
    <col min="12810" max="13063" width="11.453125" style="48"/>
    <col min="13064" max="13064" width="10" style="48" customWidth="1"/>
    <col min="13065" max="13065" width="50.54296875" style="48" customWidth="1"/>
    <col min="13066" max="13319" width="11.453125" style="48"/>
    <col min="13320" max="13320" width="10" style="48" customWidth="1"/>
    <col min="13321" max="13321" width="50.54296875" style="48" customWidth="1"/>
    <col min="13322" max="13575" width="11.453125" style="48"/>
    <col min="13576" max="13576" width="10" style="48" customWidth="1"/>
    <col min="13577" max="13577" width="50.54296875" style="48" customWidth="1"/>
    <col min="13578" max="13831" width="11.453125" style="48"/>
    <col min="13832" max="13832" width="10" style="48" customWidth="1"/>
    <col min="13833" max="13833" width="50.54296875" style="48" customWidth="1"/>
    <col min="13834" max="14087" width="11.453125" style="48"/>
    <col min="14088" max="14088" width="10" style="48" customWidth="1"/>
    <col min="14089" max="14089" width="50.54296875" style="48" customWidth="1"/>
    <col min="14090" max="14343" width="11.453125" style="48"/>
    <col min="14344" max="14344" width="10" style="48" customWidth="1"/>
    <col min="14345" max="14345" width="50.54296875" style="48" customWidth="1"/>
    <col min="14346" max="14599" width="11.453125" style="48"/>
    <col min="14600" max="14600" width="10" style="48" customWidth="1"/>
    <col min="14601" max="14601" width="50.54296875" style="48" customWidth="1"/>
    <col min="14602" max="14855" width="11.453125" style="48"/>
    <col min="14856" max="14856" width="10" style="48" customWidth="1"/>
    <col min="14857" max="14857" width="50.54296875" style="48" customWidth="1"/>
    <col min="14858" max="15111" width="11.453125" style="48"/>
    <col min="15112" max="15112" width="10" style="48" customWidth="1"/>
    <col min="15113" max="15113" width="50.54296875" style="48" customWidth="1"/>
    <col min="15114" max="15367" width="11.453125" style="48"/>
    <col min="15368" max="15368" width="10" style="48" customWidth="1"/>
    <col min="15369" max="15369" width="50.54296875" style="48" customWidth="1"/>
    <col min="15370" max="15623" width="11.453125" style="48"/>
    <col min="15624" max="15624" width="10" style="48" customWidth="1"/>
    <col min="15625" max="15625" width="50.54296875" style="48" customWidth="1"/>
    <col min="15626" max="15879" width="11.453125" style="48"/>
    <col min="15880" max="15880" width="10" style="48" customWidth="1"/>
    <col min="15881" max="15881" width="50.54296875" style="48" customWidth="1"/>
    <col min="15882" max="16135" width="11.453125" style="48"/>
    <col min="16136" max="16136" width="10" style="48" customWidth="1"/>
    <col min="16137" max="16137" width="50.54296875" style="48" customWidth="1"/>
    <col min="16138" max="16384" width="11.453125" style="48"/>
  </cols>
  <sheetData>
    <row r="3" spans="1:16" s="50" customFormat="1" ht="13.5" thickBot="1" x14ac:dyDescent="0.35">
      <c r="B3" s="1001"/>
      <c r="C3" s="1001"/>
      <c r="D3" s="1001"/>
      <c r="L3" s="195"/>
      <c r="M3" s="195"/>
    </row>
    <row r="4" spans="1:16" s="50" customFormat="1" ht="18.5" thickBot="1" x14ac:dyDescent="0.45">
      <c r="B4" s="979" t="str">
        <f>"Remuneración Fija Mensual Presupuestada Año "&amp;P4</f>
        <v>Remuneración Fija Mensual Presupuestada Año 2019</v>
      </c>
      <c r="C4" s="980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1"/>
      <c r="P4" s="50">
        <f>'HC 2019'!I4</f>
        <v>2019</v>
      </c>
    </row>
    <row r="5" spans="1:16" s="50" customFormat="1" ht="13.5" thickBot="1" x14ac:dyDescent="0.35">
      <c r="L5" s="195"/>
      <c r="M5" s="195"/>
    </row>
    <row r="6" spans="1:16" s="45" customFormat="1" ht="12" customHeight="1" x14ac:dyDescent="0.3">
      <c r="B6" s="1057" t="s">
        <v>89</v>
      </c>
      <c r="C6" s="1059" t="s">
        <v>833</v>
      </c>
      <c r="D6" s="1062" t="s">
        <v>110</v>
      </c>
      <c r="E6" s="1072" t="s">
        <v>95</v>
      </c>
      <c r="F6" s="1072"/>
      <c r="G6" s="1072"/>
      <c r="H6" s="1072"/>
      <c r="I6" s="1072"/>
      <c r="J6" s="1072"/>
      <c r="K6" s="1073"/>
      <c r="L6" s="1073"/>
      <c r="M6" s="1073"/>
      <c r="N6" s="1073"/>
      <c r="O6" s="1074"/>
      <c r="P6" s="60">
        <f>HLOOKUP($P$4,'Ing Proyect'!$B$6:$G$12,2,0)</f>
        <v>751000</v>
      </c>
    </row>
    <row r="7" spans="1:16" s="45" customFormat="1" ht="13.75" customHeight="1" x14ac:dyDescent="0.3">
      <c r="B7" s="1058"/>
      <c r="C7" s="1060"/>
      <c r="D7" s="1063"/>
      <c r="E7" s="1069" t="s">
        <v>144</v>
      </c>
      <c r="F7" s="1070"/>
      <c r="G7" s="1070"/>
      <c r="H7" s="1070"/>
      <c r="I7" s="1070"/>
      <c r="J7" s="1070"/>
      <c r="K7" s="1070"/>
      <c r="L7" s="1070"/>
      <c r="M7" s="1070"/>
      <c r="N7" s="1071"/>
      <c r="O7" s="1079" t="s">
        <v>148</v>
      </c>
      <c r="P7" s="135"/>
    </row>
    <row r="8" spans="1:16" s="45" customFormat="1" ht="13" customHeight="1" x14ac:dyDescent="0.3">
      <c r="B8" s="1058"/>
      <c r="C8" s="1060"/>
      <c r="D8" s="1063"/>
      <c r="E8" s="221" t="s">
        <v>96</v>
      </c>
      <c r="F8" s="221" t="s">
        <v>113</v>
      </c>
      <c r="G8" s="221" t="s">
        <v>97</v>
      </c>
      <c r="H8" s="221" t="s">
        <v>65</v>
      </c>
      <c r="I8" s="222" t="s">
        <v>102</v>
      </c>
      <c r="J8" s="222" t="s">
        <v>101</v>
      </c>
      <c r="K8" s="1075" t="s">
        <v>205</v>
      </c>
      <c r="L8" s="1076"/>
      <c r="M8" s="1076"/>
      <c r="N8" s="1077" t="s">
        <v>206</v>
      </c>
      <c r="O8" s="1080"/>
      <c r="P8" s="135"/>
    </row>
    <row r="9" spans="1:16" s="45" customFormat="1" ht="13" x14ac:dyDescent="0.3">
      <c r="B9" s="196"/>
      <c r="C9" s="194"/>
      <c r="D9" s="197"/>
      <c r="E9" s="223"/>
      <c r="F9" s="223"/>
      <c r="G9" s="223"/>
      <c r="H9" s="223"/>
      <c r="I9" s="224"/>
      <c r="J9" s="224"/>
      <c r="K9" s="191" t="s">
        <v>203</v>
      </c>
      <c r="L9" s="191" t="s">
        <v>204</v>
      </c>
      <c r="M9" s="191" t="s">
        <v>65</v>
      </c>
      <c r="N9" s="1078"/>
      <c r="O9" s="1081"/>
      <c r="P9" s="220"/>
    </row>
    <row r="10" spans="1:16" s="46" customFormat="1" x14ac:dyDescent="0.25">
      <c r="A10" s="46">
        <v>1</v>
      </c>
      <c r="B10" s="52" t="s">
        <v>93</v>
      </c>
      <c r="C10" s="53">
        <f>'RF 2018'!C10+1</f>
        <v>14</v>
      </c>
      <c r="D10" s="53" t="s">
        <v>91</v>
      </c>
      <c r="E10" s="54">
        <v>4</v>
      </c>
      <c r="F10" s="55">
        <f t="shared" ref="F10:F18" si="0">IF(C10=2,1,IF(C10=3,1.5,2))</f>
        <v>2</v>
      </c>
      <c r="G10" s="54">
        <v>6</v>
      </c>
      <c r="H10" s="54">
        <f>SUM(E10:G10)</f>
        <v>12</v>
      </c>
      <c r="I10" s="56">
        <f>VLOOKUP($A10,'HC 2019'!$A$9:$H$24,8,0)</f>
        <v>1</v>
      </c>
      <c r="J10" s="61">
        <f>H10*I10</f>
        <v>12</v>
      </c>
      <c r="K10" s="82">
        <f>VLOOKUP("Subtotal prestaciones sociales",Factor!$B$6:$F$25,IF($D10="Laboral",3,5),0)</f>
        <v>0.17666666666666667</v>
      </c>
      <c r="L10" s="82">
        <f>IF($D10="Laboral",0,VLOOKUP("Subtotal seguridad social",Factor!$B$6:$F$25,5))</f>
        <v>0</v>
      </c>
      <c r="M10" s="82">
        <f>SUM(K10:L10)</f>
        <v>0.17666666666666667</v>
      </c>
      <c r="N10" s="80">
        <f>ROUND(J10*(1+M10),1)</f>
        <v>14.1</v>
      </c>
      <c r="O10" s="62">
        <f t="shared" ref="O10:O18" si="1">N10*$P$6</f>
        <v>10589100</v>
      </c>
    </row>
    <row r="11" spans="1:16" s="46" customFormat="1" x14ac:dyDescent="0.25">
      <c r="A11" s="46">
        <v>2</v>
      </c>
      <c r="B11" s="52" t="s">
        <v>90</v>
      </c>
      <c r="C11" s="53">
        <f>'RF 2018'!C11+1</f>
        <v>6</v>
      </c>
      <c r="D11" s="53" t="s">
        <v>91</v>
      </c>
      <c r="E11" s="54">
        <v>4</v>
      </c>
      <c r="F11" s="55">
        <f t="shared" si="0"/>
        <v>2</v>
      </c>
      <c r="G11" s="54">
        <v>0</v>
      </c>
      <c r="H11" s="54">
        <f t="shared" ref="H11:H18" si="2">SUM(E11:G11)</f>
        <v>6</v>
      </c>
      <c r="I11" s="56">
        <f>VLOOKUP($A11,'HC 2019'!$A$9:$H$24,8,0)</f>
        <v>1</v>
      </c>
      <c r="J11" s="61">
        <f t="shared" ref="J11:J18" si="3">H11*I11</f>
        <v>6</v>
      </c>
      <c r="K11" s="82">
        <f>VLOOKUP("Subtotal prestaciones sociales",Factor!$B$6:$F$25,IF($D11="Laboral",3,5),0)</f>
        <v>0.17666666666666667</v>
      </c>
      <c r="L11" s="82">
        <f>IF($D11="Laboral",0,VLOOKUP("Subtotal seguridad social",Factor!$B$6:$F$25,5))</f>
        <v>0</v>
      </c>
      <c r="M11" s="82">
        <f t="shared" ref="M11:M18" si="4">SUM(K11:L11)</f>
        <v>0.17666666666666667</v>
      </c>
      <c r="N11" s="80">
        <f t="shared" ref="N11:N18" si="5">ROUND(J11*(1+M11),1)</f>
        <v>7.1</v>
      </c>
      <c r="O11" s="62">
        <f t="shared" si="1"/>
        <v>5332100</v>
      </c>
    </row>
    <row r="12" spans="1:16" s="46" customFormat="1" x14ac:dyDescent="0.25">
      <c r="A12" s="46">
        <v>3</v>
      </c>
      <c r="B12" s="52" t="s">
        <v>90</v>
      </c>
      <c r="C12" s="53">
        <f>'RF 2018'!C12+1</f>
        <v>6</v>
      </c>
      <c r="D12" s="53" t="s">
        <v>109</v>
      </c>
      <c r="E12" s="54">
        <v>4</v>
      </c>
      <c r="F12" s="55">
        <f t="shared" si="0"/>
        <v>2</v>
      </c>
      <c r="G12" s="54">
        <v>0</v>
      </c>
      <c r="H12" s="54">
        <f t="shared" si="2"/>
        <v>6</v>
      </c>
      <c r="I12" s="56">
        <f>VLOOKUP($A12,'HC 2019'!$A$9:$H$24,8,0)</f>
        <v>0.97499999999999998</v>
      </c>
      <c r="J12" s="61">
        <f t="shared" si="3"/>
        <v>5.85</v>
      </c>
      <c r="K12" s="82">
        <f>VLOOKUP("Subtotal prestaciones sociales",Factor!$B$6:$F$25,IF($D12="Laboral",3,5),0)</f>
        <v>0.17666666666666667</v>
      </c>
      <c r="L12" s="82">
        <f>IF($D12="Laboral",0,VLOOKUP("Subtotal seguridad social",Factor!$B$6:$F$25,5))</f>
        <v>0.21500000000000002</v>
      </c>
      <c r="M12" s="82">
        <f t="shared" si="4"/>
        <v>0.39166666666666672</v>
      </c>
      <c r="N12" s="80">
        <f t="shared" si="5"/>
        <v>8.1</v>
      </c>
      <c r="O12" s="62">
        <f t="shared" si="1"/>
        <v>6083100</v>
      </c>
    </row>
    <row r="13" spans="1:16" s="46" customFormat="1" x14ac:dyDescent="0.25">
      <c r="A13" s="46">
        <v>4</v>
      </c>
      <c r="B13" s="52" t="s">
        <v>90</v>
      </c>
      <c r="C13" s="53">
        <f>'RF 2018'!C13+1</f>
        <v>7</v>
      </c>
      <c r="D13" s="53" t="s">
        <v>109</v>
      </c>
      <c r="E13" s="54">
        <v>4</v>
      </c>
      <c r="F13" s="55">
        <f t="shared" si="0"/>
        <v>2</v>
      </c>
      <c r="G13" s="54">
        <v>0</v>
      </c>
      <c r="H13" s="54">
        <f t="shared" si="2"/>
        <v>6</v>
      </c>
      <c r="I13" s="56">
        <f>VLOOKUP($A13,'HC 2019'!$A$9:$H$24,8,0)</f>
        <v>0.97499999999999998</v>
      </c>
      <c r="J13" s="61">
        <f t="shared" si="3"/>
        <v>5.85</v>
      </c>
      <c r="K13" s="82">
        <f>VLOOKUP("Subtotal prestaciones sociales",Factor!$B$6:$F$25,IF($D13="Laboral",3,5),0)</f>
        <v>0.17666666666666667</v>
      </c>
      <c r="L13" s="82">
        <f>IF($D13="Laboral",0,VLOOKUP("Subtotal seguridad social",Factor!$B$6:$F$25,5))</f>
        <v>0.21500000000000002</v>
      </c>
      <c r="M13" s="82">
        <f t="shared" si="4"/>
        <v>0.39166666666666672</v>
      </c>
      <c r="N13" s="80">
        <f t="shared" si="5"/>
        <v>8.1</v>
      </c>
      <c r="O13" s="62">
        <f t="shared" si="1"/>
        <v>6083100</v>
      </c>
    </row>
    <row r="14" spans="1:16" s="46" customFormat="1" x14ac:dyDescent="0.25">
      <c r="A14" s="46">
        <v>5</v>
      </c>
      <c r="B14" s="52" t="s">
        <v>90</v>
      </c>
      <c r="C14" s="53">
        <f>'RF 2018'!C14+1</f>
        <v>9</v>
      </c>
      <c r="D14" s="53" t="s">
        <v>91</v>
      </c>
      <c r="E14" s="54">
        <v>4</v>
      </c>
      <c r="F14" s="55">
        <f t="shared" si="0"/>
        <v>2</v>
      </c>
      <c r="G14" s="54">
        <v>0</v>
      </c>
      <c r="H14" s="54">
        <f t="shared" si="2"/>
        <v>6</v>
      </c>
      <c r="I14" s="56">
        <f>VLOOKUP($A14,'HC 2019'!$A$9:$H$24,8,0)</f>
        <v>1</v>
      </c>
      <c r="J14" s="61">
        <f t="shared" si="3"/>
        <v>6</v>
      </c>
      <c r="K14" s="82">
        <f>VLOOKUP("Subtotal prestaciones sociales",Factor!$B$6:$F$25,IF($D14="Laboral",3,5),0)</f>
        <v>0.17666666666666667</v>
      </c>
      <c r="L14" s="82">
        <f>IF($D14="Laboral",0,VLOOKUP("Subtotal seguridad social",Factor!$B$6:$F$25,5))</f>
        <v>0</v>
      </c>
      <c r="M14" s="82">
        <f t="shared" si="4"/>
        <v>0.17666666666666667</v>
      </c>
      <c r="N14" s="80">
        <f t="shared" si="5"/>
        <v>7.1</v>
      </c>
      <c r="O14" s="62">
        <f t="shared" si="1"/>
        <v>5332100</v>
      </c>
    </row>
    <row r="15" spans="1:16" s="46" customFormat="1" x14ac:dyDescent="0.25">
      <c r="A15" s="46">
        <v>6</v>
      </c>
      <c r="B15" s="52" t="s">
        <v>90</v>
      </c>
      <c r="C15" s="53">
        <f>'RF 2018'!C15+1</f>
        <v>6</v>
      </c>
      <c r="D15" s="53" t="s">
        <v>109</v>
      </c>
      <c r="E15" s="54">
        <v>4</v>
      </c>
      <c r="F15" s="55">
        <f t="shared" si="0"/>
        <v>2</v>
      </c>
      <c r="G15" s="54">
        <v>0</v>
      </c>
      <c r="H15" s="54">
        <f t="shared" si="2"/>
        <v>6</v>
      </c>
      <c r="I15" s="56">
        <f>VLOOKUP($A15,'HC 2019'!$A$9:$H$24,8,0)</f>
        <v>0.97499999999999998</v>
      </c>
      <c r="J15" s="61">
        <f t="shared" si="3"/>
        <v>5.85</v>
      </c>
      <c r="K15" s="82">
        <f>VLOOKUP("Subtotal prestaciones sociales",Factor!$B$6:$F$25,IF($D15="Laboral",3,5),0)</f>
        <v>0.17666666666666667</v>
      </c>
      <c r="L15" s="82">
        <f>IF($D15="Laboral",0,VLOOKUP("Subtotal seguridad social",Factor!$B$6:$F$25,5))</f>
        <v>0.21500000000000002</v>
      </c>
      <c r="M15" s="82">
        <f t="shared" si="4"/>
        <v>0.39166666666666672</v>
      </c>
      <c r="N15" s="80">
        <f t="shared" si="5"/>
        <v>8.1</v>
      </c>
      <c r="O15" s="62">
        <f t="shared" si="1"/>
        <v>6083100</v>
      </c>
    </row>
    <row r="16" spans="1:16" s="46" customFormat="1" x14ac:dyDescent="0.25">
      <c r="A16" s="46">
        <v>7</v>
      </c>
      <c r="B16" s="52" t="s">
        <v>90</v>
      </c>
      <c r="C16" s="53">
        <f>'RF 2018'!C16+1</f>
        <v>6</v>
      </c>
      <c r="D16" s="53" t="s">
        <v>109</v>
      </c>
      <c r="E16" s="54">
        <v>4</v>
      </c>
      <c r="F16" s="55">
        <f t="shared" si="0"/>
        <v>2</v>
      </c>
      <c r="G16" s="54">
        <v>0</v>
      </c>
      <c r="H16" s="54">
        <f t="shared" si="2"/>
        <v>6</v>
      </c>
      <c r="I16" s="56">
        <f>VLOOKUP($A16,'HC 2019'!$A$9:$H$24,8,0)</f>
        <v>0.97499999999999998</v>
      </c>
      <c r="J16" s="61">
        <f t="shared" si="3"/>
        <v>5.85</v>
      </c>
      <c r="K16" s="82">
        <f>VLOOKUP("Subtotal prestaciones sociales",Factor!$B$6:$F$25,IF($D16="Laboral",3,5),0)</f>
        <v>0.17666666666666667</v>
      </c>
      <c r="L16" s="82">
        <f>IF($D16="Laboral",0,VLOOKUP("Subtotal seguridad social",Factor!$B$6:$F$25,5))</f>
        <v>0.21500000000000002</v>
      </c>
      <c r="M16" s="82">
        <f t="shared" si="4"/>
        <v>0.39166666666666672</v>
      </c>
      <c r="N16" s="80">
        <f t="shared" si="5"/>
        <v>8.1</v>
      </c>
      <c r="O16" s="62">
        <f t="shared" si="1"/>
        <v>6083100</v>
      </c>
    </row>
    <row r="17" spans="1:16" s="46" customFormat="1" x14ac:dyDescent="0.25">
      <c r="A17" s="46">
        <v>8</v>
      </c>
      <c r="B17" s="52" t="s">
        <v>90</v>
      </c>
      <c r="C17" s="53">
        <f>'RF 2018'!C17+1</f>
        <v>11</v>
      </c>
      <c r="D17" s="53" t="s">
        <v>109</v>
      </c>
      <c r="E17" s="54">
        <v>4</v>
      </c>
      <c r="F17" s="55">
        <f t="shared" si="0"/>
        <v>2</v>
      </c>
      <c r="G17" s="54">
        <v>0</v>
      </c>
      <c r="H17" s="54">
        <f t="shared" si="2"/>
        <v>6</v>
      </c>
      <c r="I17" s="56">
        <f>VLOOKUP($A17,'HC 2019'!$A$9:$H$24,8,0)</f>
        <v>0.97499999999999998</v>
      </c>
      <c r="J17" s="61">
        <f t="shared" si="3"/>
        <v>5.85</v>
      </c>
      <c r="K17" s="82">
        <f>VLOOKUP("Subtotal prestaciones sociales",Factor!$B$6:$F$25,IF($D17="Laboral",3,5),0)</f>
        <v>0.17666666666666667</v>
      </c>
      <c r="L17" s="82">
        <f>IF($D17="Laboral",0,VLOOKUP("Subtotal seguridad social",Factor!$B$6:$F$25,5))</f>
        <v>0.21500000000000002</v>
      </c>
      <c r="M17" s="82">
        <f t="shared" si="4"/>
        <v>0.39166666666666672</v>
      </c>
      <c r="N17" s="80">
        <f t="shared" si="5"/>
        <v>8.1</v>
      </c>
      <c r="O17" s="62">
        <f t="shared" si="1"/>
        <v>6083100</v>
      </c>
    </row>
    <row r="18" spans="1:16" s="46" customFormat="1" x14ac:dyDescent="0.25">
      <c r="A18" s="46">
        <v>9</v>
      </c>
      <c r="B18" s="52" t="s">
        <v>90</v>
      </c>
      <c r="C18" s="53">
        <f>'RF 2018'!C18+1</f>
        <v>6</v>
      </c>
      <c r="D18" s="53" t="s">
        <v>91</v>
      </c>
      <c r="E18" s="54">
        <v>4</v>
      </c>
      <c r="F18" s="55">
        <f t="shared" si="0"/>
        <v>2</v>
      </c>
      <c r="G18" s="54">
        <v>0</v>
      </c>
      <c r="H18" s="54">
        <f t="shared" si="2"/>
        <v>6</v>
      </c>
      <c r="I18" s="56">
        <f>VLOOKUP($A18,'HC 2019'!$A$9:$H$24,8,0)</f>
        <v>1</v>
      </c>
      <c r="J18" s="61">
        <f t="shared" si="3"/>
        <v>6</v>
      </c>
      <c r="K18" s="82">
        <f>VLOOKUP("Subtotal prestaciones sociales",Factor!$B$6:$F$25,IF($D18="Laboral",3,5),0)</f>
        <v>0.17666666666666667</v>
      </c>
      <c r="L18" s="82">
        <f>IF($D18="Laboral",0,VLOOKUP("Subtotal seguridad social",Factor!$B$6:$F$25,5))</f>
        <v>0</v>
      </c>
      <c r="M18" s="82">
        <f t="shared" si="4"/>
        <v>0.17666666666666667</v>
      </c>
      <c r="N18" s="80">
        <f t="shared" si="5"/>
        <v>7.1</v>
      </c>
      <c r="O18" s="62">
        <f t="shared" si="1"/>
        <v>5332100</v>
      </c>
    </row>
    <row r="19" spans="1:16" s="46" customFormat="1" x14ac:dyDescent="0.35">
      <c r="B19" s="122"/>
      <c r="C19" s="123"/>
      <c r="D19" s="123"/>
      <c r="E19" s="124"/>
      <c r="F19" s="125"/>
      <c r="G19" s="124"/>
      <c r="H19" s="124"/>
      <c r="I19" s="126"/>
      <c r="J19" s="127"/>
      <c r="K19" s="127"/>
      <c r="L19" s="127"/>
      <c r="M19" s="127"/>
      <c r="N19" s="127"/>
      <c r="O19" s="128"/>
    </row>
    <row r="20" spans="1:16" s="46" customFormat="1" ht="13" x14ac:dyDescent="0.3">
      <c r="B20" s="73" t="s">
        <v>103</v>
      </c>
      <c r="C20" s="65"/>
      <c r="D20" s="65"/>
      <c r="E20" s="75"/>
      <c r="F20" s="76"/>
      <c r="G20" s="77"/>
      <c r="H20" s="77"/>
      <c r="I20" s="78"/>
      <c r="J20" s="74">
        <f>SUM(J10:J18)</f>
        <v>59.250000000000007</v>
      </c>
      <c r="K20" s="81"/>
      <c r="L20" s="81"/>
      <c r="M20" s="81"/>
      <c r="N20" s="229">
        <f>SUM(N10:N18)</f>
        <v>75.899999999999991</v>
      </c>
      <c r="O20" s="79">
        <f>SUM(O10:O18)</f>
        <v>57000900</v>
      </c>
    </row>
    <row r="21" spans="1:16" s="46" customFormat="1" x14ac:dyDescent="0.35">
      <c r="B21" s="52"/>
      <c r="C21" s="53"/>
      <c r="D21" s="53"/>
      <c r="E21" s="54"/>
      <c r="F21" s="55"/>
      <c r="G21" s="54"/>
      <c r="H21" s="54"/>
      <c r="I21" s="56"/>
      <c r="J21" s="61"/>
      <c r="K21" s="80"/>
      <c r="L21" s="80"/>
      <c r="M21" s="80"/>
      <c r="N21" s="80"/>
      <c r="O21" s="59"/>
    </row>
    <row r="22" spans="1:16" s="46" customFormat="1" x14ac:dyDescent="0.25">
      <c r="A22" s="46">
        <v>10</v>
      </c>
      <c r="B22" s="52" t="s">
        <v>111</v>
      </c>
      <c r="C22" s="58" t="s">
        <v>45</v>
      </c>
      <c r="D22" s="53" t="s">
        <v>91</v>
      </c>
      <c r="E22" s="54">
        <v>3</v>
      </c>
      <c r="F22" s="55">
        <v>0</v>
      </c>
      <c r="G22" s="54">
        <v>0</v>
      </c>
      <c r="H22" s="54">
        <f t="shared" ref="H22:H23" si="6">SUM(E22:G22)</f>
        <v>3</v>
      </c>
      <c r="I22" s="56">
        <f>VLOOKUP($A22,'HC 2019'!$A$9:$H$24,8,0)</f>
        <v>1</v>
      </c>
      <c r="J22" s="61">
        <f t="shared" ref="J22:J23" si="7">H22*I22</f>
        <v>3</v>
      </c>
      <c r="K22" s="82">
        <f>VLOOKUP("Subtotal prestaciones sociales",Factor!$B$6:$F$25,IF($D22="Laboral",3,5),0)*0</f>
        <v>0</v>
      </c>
      <c r="L22" s="82">
        <f>IF($D22="Laboral",0,VLOOKUP("Subtotal seguridad social",Factor!$B$6:$F$25,5))</f>
        <v>0</v>
      </c>
      <c r="M22" s="82">
        <f t="shared" ref="M22:M23" si="8">SUM(K22:L22)</f>
        <v>0</v>
      </c>
      <c r="N22" s="80">
        <f t="shared" ref="N22:N23" si="9">ROUND(J22*(1+M22),1)</f>
        <v>3</v>
      </c>
      <c r="O22" s="62">
        <f t="shared" ref="O22:O23" si="10">N22*$P$6</f>
        <v>2253000</v>
      </c>
    </row>
    <row r="23" spans="1:16" s="46" customFormat="1" x14ac:dyDescent="0.25">
      <c r="A23" s="46">
        <v>11</v>
      </c>
      <c r="B23" s="52" t="s">
        <v>92</v>
      </c>
      <c r="C23" s="58" t="s">
        <v>45</v>
      </c>
      <c r="D23" s="53" t="s">
        <v>91</v>
      </c>
      <c r="E23" s="54">
        <v>1.5</v>
      </c>
      <c r="F23" s="55">
        <v>0</v>
      </c>
      <c r="G23" s="54">
        <v>0</v>
      </c>
      <c r="H23" s="54">
        <f t="shared" si="6"/>
        <v>1.5</v>
      </c>
      <c r="I23" s="56">
        <f>VLOOKUP($A23,'HC 2019'!$A$9:$H$24,8,0)</f>
        <v>1</v>
      </c>
      <c r="J23" s="61">
        <f t="shared" si="7"/>
        <v>1.5</v>
      </c>
      <c r="K23" s="82">
        <f>VLOOKUP("Subtotal prestaciones sociales",Factor!$B$6:$F$25,IF($D23="Laboral",3,5),0)*0</f>
        <v>0</v>
      </c>
      <c r="L23" s="82">
        <f>IF($D23="Laboral",0,VLOOKUP("Subtotal seguridad social",Factor!$B$6:$F$25,5))</f>
        <v>0</v>
      </c>
      <c r="M23" s="82">
        <f t="shared" si="8"/>
        <v>0</v>
      </c>
      <c r="N23" s="80">
        <f t="shared" si="9"/>
        <v>1.5</v>
      </c>
      <c r="O23" s="62">
        <f t="shared" si="10"/>
        <v>1126500</v>
      </c>
    </row>
    <row r="24" spans="1:16" x14ac:dyDescent="0.25">
      <c r="B24" s="129"/>
      <c r="C24" s="130"/>
      <c r="D24" s="130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2"/>
    </row>
    <row r="25" spans="1:16" ht="13.5" thickBot="1" x14ac:dyDescent="0.35">
      <c r="B25" s="68" t="s">
        <v>65</v>
      </c>
      <c r="C25" s="69"/>
      <c r="D25" s="69"/>
      <c r="E25" s="71"/>
      <c r="F25" s="71"/>
      <c r="G25" s="71"/>
      <c r="H25" s="71"/>
      <c r="I25" s="72"/>
      <c r="J25" s="63">
        <f>SUM(J20:J23)</f>
        <v>63.750000000000007</v>
      </c>
      <c r="K25" s="67"/>
      <c r="L25" s="67"/>
      <c r="M25" s="67"/>
      <c r="N25" s="227">
        <f>SUM(N20:N23)</f>
        <v>80.399999999999991</v>
      </c>
      <c r="O25" s="64">
        <f>SUM(O20:O23)</f>
        <v>60380400</v>
      </c>
      <c r="P25" s="228">
        <f>O25/N25-P6</f>
        <v>0</v>
      </c>
    </row>
    <row r="27" spans="1:16" x14ac:dyDescent="0.25">
      <c r="B27" s="47" t="s">
        <v>104</v>
      </c>
    </row>
    <row r="28" spans="1:16" x14ac:dyDescent="0.25">
      <c r="B28" s="47" t="s">
        <v>105</v>
      </c>
    </row>
  </sheetData>
  <mergeCells count="10">
    <mergeCell ref="E7:N7"/>
    <mergeCell ref="B3:D3"/>
    <mergeCell ref="B4:O4"/>
    <mergeCell ref="B6:B8"/>
    <mergeCell ref="C6:C8"/>
    <mergeCell ref="D6:D8"/>
    <mergeCell ref="E6:O6"/>
    <mergeCell ref="K8:M8"/>
    <mergeCell ref="N8:N9"/>
    <mergeCell ref="O7:O9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3:S33"/>
  <sheetViews>
    <sheetView zoomScaleNormal="100" zoomScaleSheetLayoutView="100" workbookViewId="0">
      <pane xSplit="4" ySplit="7" topLeftCell="E8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9.6328125" style="47" customWidth="1"/>
    <col min="4" max="4" width="6.08984375" style="47" bestFit="1" customWidth="1"/>
    <col min="5" max="15" width="10.6328125" style="48" customWidth="1"/>
    <col min="16" max="16" width="11.36328125" style="48" bestFit="1" customWidth="1"/>
    <col min="17" max="17" width="2.6328125" style="48" customWidth="1"/>
    <col min="18" max="18" width="11.90625" style="48" bestFit="1" customWidth="1"/>
    <col min="19" max="16384" width="11.453125" style="48"/>
  </cols>
  <sheetData>
    <row r="3" spans="2:19" ht="13.5" thickBot="1" x14ac:dyDescent="0.3">
      <c r="E3" s="144">
        <v>1</v>
      </c>
      <c r="F3" s="144">
        <v>2</v>
      </c>
      <c r="G3" s="144">
        <v>3</v>
      </c>
      <c r="H3" s="144">
        <v>4</v>
      </c>
      <c r="I3" s="144">
        <v>5</v>
      </c>
      <c r="J3" s="144">
        <v>6</v>
      </c>
      <c r="K3" s="144">
        <v>7</v>
      </c>
      <c r="L3" s="144">
        <v>8</v>
      </c>
      <c r="M3" s="144">
        <v>9</v>
      </c>
      <c r="N3" s="144">
        <v>10</v>
      </c>
      <c r="O3" s="144">
        <v>11</v>
      </c>
    </row>
    <row r="4" spans="2:19" ht="18.5" thickBot="1" x14ac:dyDescent="0.45">
      <c r="B4" s="979" t="str">
        <f>"Remuneración Variable Mensual Presupuestada Año "&amp;R6</f>
        <v>Remuneración Variable Mensual Presupuestada Año 2019</v>
      </c>
      <c r="C4" s="980"/>
      <c r="D4" s="980"/>
      <c r="E4" s="980"/>
      <c r="F4" s="980"/>
      <c r="G4" s="980"/>
      <c r="H4" s="980"/>
      <c r="I4" s="980"/>
      <c r="J4" s="980"/>
      <c r="K4" s="980"/>
      <c r="L4" s="980"/>
      <c r="M4" s="980"/>
      <c r="N4" s="980"/>
      <c r="O4" s="980"/>
      <c r="P4" s="981"/>
    </row>
    <row r="5" spans="2:19" ht="13" thickBot="1" x14ac:dyDescent="0.3"/>
    <row r="6" spans="2:19" ht="23" x14ac:dyDescent="0.3">
      <c r="B6" s="1028" t="s">
        <v>89</v>
      </c>
      <c r="C6" s="1029"/>
      <c r="D6" s="1030"/>
      <c r="E6" s="167" t="s">
        <v>93</v>
      </c>
      <c r="F6" s="167" t="s">
        <v>90</v>
      </c>
      <c r="G6" s="167" t="s">
        <v>90</v>
      </c>
      <c r="H6" s="167" t="s">
        <v>90</v>
      </c>
      <c r="I6" s="167" t="s">
        <v>90</v>
      </c>
      <c r="J6" s="167" t="s">
        <v>90</v>
      </c>
      <c r="K6" s="167" t="s">
        <v>90</v>
      </c>
      <c r="L6" s="167" t="s">
        <v>90</v>
      </c>
      <c r="M6" s="167" t="s">
        <v>90</v>
      </c>
      <c r="N6" s="167" t="s">
        <v>111</v>
      </c>
      <c r="O6" s="167" t="s">
        <v>92</v>
      </c>
      <c r="P6" s="166" t="s">
        <v>65</v>
      </c>
      <c r="R6" s="143">
        <v>2019</v>
      </c>
      <c r="S6" s="48" t="s">
        <v>71</v>
      </c>
    </row>
    <row r="7" spans="2:19" ht="13" x14ac:dyDescent="0.3">
      <c r="B7" s="1006" t="s">
        <v>110</v>
      </c>
      <c r="C7" s="1007"/>
      <c r="D7" s="1008"/>
      <c r="E7" s="168" t="s">
        <v>91</v>
      </c>
      <c r="F7" s="168" t="s">
        <v>91</v>
      </c>
      <c r="G7" s="168" t="s">
        <v>109</v>
      </c>
      <c r="H7" s="168" t="s">
        <v>109</v>
      </c>
      <c r="I7" s="168" t="s">
        <v>91</v>
      </c>
      <c r="J7" s="168" t="s">
        <v>109</v>
      </c>
      <c r="K7" s="168" t="s">
        <v>109</v>
      </c>
      <c r="L7" s="168" t="s">
        <v>109</v>
      </c>
      <c r="M7" s="168" t="s">
        <v>91</v>
      </c>
      <c r="N7" s="168" t="s">
        <v>91</v>
      </c>
      <c r="O7" s="168" t="s">
        <v>91</v>
      </c>
      <c r="P7" s="169"/>
      <c r="R7" s="143"/>
    </row>
    <row r="8" spans="2:19" ht="13" x14ac:dyDescent="0.3">
      <c r="B8" s="1006" t="s">
        <v>178</v>
      </c>
      <c r="C8" s="1007"/>
      <c r="D8" s="1008"/>
      <c r="E8" s="148">
        <f>VLOOKUP(E3,'HC 2019'!$A$9:$H$24,7,0)</f>
        <v>20</v>
      </c>
      <c r="F8" s="148">
        <f>VLOOKUP(F3,'HC 2019'!$A$9:$H$24,7,0)</f>
        <v>40</v>
      </c>
      <c r="G8" s="148">
        <f>VLOOKUP(G3,'HC 2019'!$A$9:$H$24,7,0)</f>
        <v>39</v>
      </c>
      <c r="H8" s="148">
        <f>VLOOKUP(H3,'HC 2019'!$A$9:$H$24,7,0)</f>
        <v>39</v>
      </c>
      <c r="I8" s="148">
        <f>VLOOKUP(I3,'HC 2019'!$A$9:$H$24,7,0)</f>
        <v>40</v>
      </c>
      <c r="J8" s="148">
        <f>VLOOKUP(J3,'HC 2019'!$A$9:$H$24,7,0)</f>
        <v>39</v>
      </c>
      <c r="K8" s="148">
        <f>VLOOKUP(K3,'HC 2019'!$A$9:$H$24,7,0)</f>
        <v>39</v>
      </c>
      <c r="L8" s="148">
        <f>VLOOKUP(L3,'HC 2019'!$A$9:$H$24,7,0)</f>
        <v>39</v>
      </c>
      <c r="M8" s="148">
        <f>VLOOKUP(M3,'HC 2019'!$A$9:$H$24,7,0)</f>
        <v>40</v>
      </c>
      <c r="N8" s="148">
        <v>0</v>
      </c>
      <c r="O8" s="148">
        <v>0</v>
      </c>
      <c r="P8" s="164"/>
      <c r="R8" s="60">
        <f>HLOOKUP($R$6,'Ing Proyect'!$B$6:$G$12,6,0)</f>
        <v>171228000</v>
      </c>
      <c r="S8" s="48" t="s">
        <v>175</v>
      </c>
    </row>
    <row r="9" spans="2:19" ht="13" x14ac:dyDescent="0.3">
      <c r="B9" s="1006" t="s">
        <v>177</v>
      </c>
      <c r="C9" s="1007"/>
      <c r="D9" s="1008"/>
      <c r="E9" s="150">
        <f t="shared" ref="E9:L9" si="0">E8/SUM($E$8:$O$8)</f>
        <v>5.9701492537313432E-2</v>
      </c>
      <c r="F9" s="150">
        <f t="shared" si="0"/>
        <v>0.11940298507462686</v>
      </c>
      <c r="G9" s="150">
        <f t="shared" si="0"/>
        <v>0.11641791044776119</v>
      </c>
      <c r="H9" s="150">
        <f t="shared" si="0"/>
        <v>0.11641791044776119</v>
      </c>
      <c r="I9" s="150">
        <f t="shared" si="0"/>
        <v>0.11940298507462686</v>
      </c>
      <c r="J9" s="150">
        <f t="shared" si="0"/>
        <v>0.11641791044776119</v>
      </c>
      <c r="K9" s="150">
        <f t="shared" si="0"/>
        <v>0.11641791044776119</v>
      </c>
      <c r="L9" s="150">
        <f t="shared" si="0"/>
        <v>0.11641791044776119</v>
      </c>
      <c r="M9" s="150">
        <f>M8/SUM($E$8:$O$8)</f>
        <v>0.11940298507462686</v>
      </c>
      <c r="N9" s="150">
        <f t="shared" ref="N9:O9" si="1">N8/SUM($E$8:$O$8)</f>
        <v>0</v>
      </c>
      <c r="O9" s="150">
        <f t="shared" si="1"/>
        <v>0</v>
      </c>
      <c r="P9" s="165">
        <f>SUM(E9:O9)</f>
        <v>0.99999999999999989</v>
      </c>
      <c r="R9" s="60">
        <f>HLOOKUP($R$6,'Ing Proyect'!$B$6:$G$12,2,0)</f>
        <v>751000</v>
      </c>
      <c r="S9" s="48" t="s">
        <v>69</v>
      </c>
    </row>
    <row r="10" spans="2:19" x14ac:dyDescent="0.25">
      <c r="B10" s="1006" t="s">
        <v>176</v>
      </c>
      <c r="C10" s="1007"/>
      <c r="D10" s="1008"/>
      <c r="E10" s="151">
        <f t="shared" ref="E10:O10" si="2">ROUND(E9*$R$8,0)</f>
        <v>10222567</v>
      </c>
      <c r="F10" s="151">
        <f t="shared" si="2"/>
        <v>20445134</v>
      </c>
      <c r="G10" s="151">
        <f t="shared" si="2"/>
        <v>19934006</v>
      </c>
      <c r="H10" s="151">
        <f t="shared" si="2"/>
        <v>19934006</v>
      </c>
      <c r="I10" s="151">
        <f t="shared" si="2"/>
        <v>20445134</v>
      </c>
      <c r="J10" s="151">
        <f t="shared" si="2"/>
        <v>19934006</v>
      </c>
      <c r="K10" s="151">
        <f t="shared" si="2"/>
        <v>19934006</v>
      </c>
      <c r="L10" s="151">
        <f t="shared" si="2"/>
        <v>19934006</v>
      </c>
      <c r="M10" s="151">
        <f t="shared" si="2"/>
        <v>20445134</v>
      </c>
      <c r="N10" s="151">
        <f t="shared" si="2"/>
        <v>0</v>
      </c>
      <c r="O10" s="151">
        <f t="shared" si="2"/>
        <v>0</v>
      </c>
      <c r="P10" s="152">
        <f>SUM(E10:O10)</f>
        <v>171227999</v>
      </c>
    </row>
    <row r="11" spans="2:19" x14ac:dyDescent="0.25">
      <c r="B11" s="1018" t="s">
        <v>163</v>
      </c>
      <c r="C11" s="146" t="s">
        <v>164</v>
      </c>
      <c r="D11" s="146"/>
      <c r="E11" s="153">
        <v>0.1</v>
      </c>
      <c r="F11" s="153">
        <v>0.1</v>
      </c>
      <c r="G11" s="153">
        <v>0.1</v>
      </c>
      <c r="H11" s="153">
        <v>0.1</v>
      </c>
      <c r="I11" s="153">
        <v>0.1</v>
      </c>
      <c r="J11" s="153">
        <v>0.1</v>
      </c>
      <c r="K11" s="153">
        <v>0.1</v>
      </c>
      <c r="L11" s="153">
        <v>0.1</v>
      </c>
      <c r="M11" s="153">
        <v>0.1</v>
      </c>
      <c r="N11" s="153">
        <v>0</v>
      </c>
      <c r="O11" s="153">
        <v>0</v>
      </c>
      <c r="P11" s="1034"/>
    </row>
    <row r="12" spans="2:19" x14ac:dyDescent="0.25">
      <c r="B12" s="1020"/>
      <c r="C12" s="1027" t="s">
        <v>165</v>
      </c>
      <c r="D12" s="147" t="s">
        <v>69</v>
      </c>
      <c r="E12" s="154">
        <v>20</v>
      </c>
      <c r="F12" s="154">
        <v>20</v>
      </c>
      <c r="G12" s="154">
        <v>20</v>
      </c>
      <c r="H12" s="154">
        <v>20</v>
      </c>
      <c r="I12" s="154">
        <v>20</v>
      </c>
      <c r="J12" s="154">
        <v>20</v>
      </c>
      <c r="K12" s="154">
        <v>20</v>
      </c>
      <c r="L12" s="154">
        <v>20</v>
      </c>
      <c r="M12" s="154">
        <v>20</v>
      </c>
      <c r="N12" s="154">
        <v>20</v>
      </c>
      <c r="O12" s="154">
        <v>20</v>
      </c>
      <c r="P12" s="1035"/>
    </row>
    <row r="13" spans="2:19" x14ac:dyDescent="0.25">
      <c r="B13" s="1020"/>
      <c r="C13" s="1027"/>
      <c r="D13" s="147" t="s">
        <v>70</v>
      </c>
      <c r="E13" s="151">
        <f t="shared" ref="E13:O13" si="3">E12*$R$9</f>
        <v>15020000</v>
      </c>
      <c r="F13" s="151">
        <f t="shared" si="3"/>
        <v>15020000</v>
      </c>
      <c r="G13" s="151">
        <f t="shared" si="3"/>
        <v>15020000</v>
      </c>
      <c r="H13" s="151">
        <f t="shared" si="3"/>
        <v>15020000</v>
      </c>
      <c r="I13" s="151">
        <f t="shared" si="3"/>
        <v>15020000</v>
      </c>
      <c r="J13" s="151">
        <f t="shared" si="3"/>
        <v>15020000</v>
      </c>
      <c r="K13" s="151">
        <f t="shared" si="3"/>
        <v>15020000</v>
      </c>
      <c r="L13" s="151">
        <f t="shared" si="3"/>
        <v>15020000</v>
      </c>
      <c r="M13" s="151">
        <f t="shared" si="3"/>
        <v>15020000</v>
      </c>
      <c r="N13" s="151">
        <f t="shared" si="3"/>
        <v>15020000</v>
      </c>
      <c r="O13" s="151">
        <f t="shared" si="3"/>
        <v>15020000</v>
      </c>
      <c r="P13" s="1036"/>
    </row>
    <row r="14" spans="2:19" x14ac:dyDescent="0.25">
      <c r="B14" s="1019"/>
      <c r="C14" s="1012" t="s">
        <v>160</v>
      </c>
      <c r="D14" s="1014"/>
      <c r="E14" s="160">
        <f t="shared" ref="E14" si="4">ROUND(IF(E10&gt;E13,(E11*E13),(E11*E10)),0)</f>
        <v>1022257</v>
      </c>
      <c r="F14" s="160">
        <f>ROUND(IF(F10&gt;F13,(F11*F13),(F11*F10)),0)</f>
        <v>1502000</v>
      </c>
      <c r="G14" s="160">
        <f t="shared" ref="G14:O14" si="5">ROUND(IF(G10&gt;G13,(G11*G13),(G11*G10)),0)</f>
        <v>1502000</v>
      </c>
      <c r="H14" s="160">
        <f t="shared" si="5"/>
        <v>1502000</v>
      </c>
      <c r="I14" s="160">
        <f t="shared" si="5"/>
        <v>1502000</v>
      </c>
      <c r="J14" s="160">
        <f t="shared" si="5"/>
        <v>1502000</v>
      </c>
      <c r="K14" s="160">
        <f t="shared" si="5"/>
        <v>1502000</v>
      </c>
      <c r="L14" s="160">
        <f t="shared" si="5"/>
        <v>1502000</v>
      </c>
      <c r="M14" s="160">
        <f t="shared" si="5"/>
        <v>1502000</v>
      </c>
      <c r="N14" s="160">
        <f t="shared" si="5"/>
        <v>0</v>
      </c>
      <c r="O14" s="160">
        <f t="shared" si="5"/>
        <v>0</v>
      </c>
      <c r="P14" s="152">
        <f>SUM(E14:O14)</f>
        <v>13038257</v>
      </c>
    </row>
    <row r="15" spans="2:19" x14ac:dyDescent="0.25">
      <c r="B15" s="1018" t="s">
        <v>166</v>
      </c>
      <c r="C15" s="1012" t="s">
        <v>164</v>
      </c>
      <c r="D15" s="1013"/>
      <c r="E15" s="153">
        <v>0.2</v>
      </c>
      <c r="F15" s="153">
        <v>0.2</v>
      </c>
      <c r="G15" s="153">
        <v>0.2</v>
      </c>
      <c r="H15" s="153">
        <v>0.2</v>
      </c>
      <c r="I15" s="153">
        <v>0.2</v>
      </c>
      <c r="J15" s="153">
        <v>0.2</v>
      </c>
      <c r="K15" s="153">
        <v>0.2</v>
      </c>
      <c r="L15" s="153">
        <v>0.2</v>
      </c>
      <c r="M15" s="153">
        <v>0.2</v>
      </c>
      <c r="N15" s="153">
        <v>0</v>
      </c>
      <c r="O15" s="153">
        <v>0</v>
      </c>
      <c r="P15" s="149"/>
    </row>
    <row r="16" spans="2:19" x14ac:dyDescent="0.25">
      <c r="B16" s="1019"/>
      <c r="C16" s="1012" t="s">
        <v>160</v>
      </c>
      <c r="D16" s="1014"/>
      <c r="E16" s="160">
        <f t="shared" ref="E16:O16" si="6">ROUND(IF(E10&gt;E13,E15*(E10-E13),0),0)</f>
        <v>0</v>
      </c>
      <c r="F16" s="160">
        <f t="shared" si="6"/>
        <v>1085027</v>
      </c>
      <c r="G16" s="160">
        <f t="shared" si="6"/>
        <v>982801</v>
      </c>
      <c r="H16" s="160">
        <f t="shared" si="6"/>
        <v>982801</v>
      </c>
      <c r="I16" s="160">
        <f t="shared" si="6"/>
        <v>1085027</v>
      </c>
      <c r="J16" s="160">
        <f t="shared" si="6"/>
        <v>982801</v>
      </c>
      <c r="K16" s="160">
        <f t="shared" si="6"/>
        <v>982801</v>
      </c>
      <c r="L16" s="160">
        <f t="shared" si="6"/>
        <v>982801</v>
      </c>
      <c r="M16" s="160">
        <f t="shared" si="6"/>
        <v>1085027</v>
      </c>
      <c r="N16" s="160">
        <f t="shared" si="6"/>
        <v>0</v>
      </c>
      <c r="O16" s="160">
        <f t="shared" si="6"/>
        <v>0</v>
      </c>
      <c r="P16" s="152">
        <f>SUM(E16:O16)</f>
        <v>8169086</v>
      </c>
    </row>
    <row r="17" spans="2:16" x14ac:dyDescent="0.25">
      <c r="B17" s="1109" t="s">
        <v>167</v>
      </c>
      <c r="C17" s="1110"/>
      <c r="D17" s="1013"/>
      <c r="E17" s="160">
        <f t="shared" ref="E17:O17" si="7">E14+E16</f>
        <v>1022257</v>
      </c>
      <c r="F17" s="160">
        <f t="shared" si="7"/>
        <v>2587027</v>
      </c>
      <c r="G17" s="160">
        <f t="shared" si="7"/>
        <v>2484801</v>
      </c>
      <c r="H17" s="160">
        <f t="shared" si="7"/>
        <v>2484801</v>
      </c>
      <c r="I17" s="160">
        <f t="shared" si="7"/>
        <v>2587027</v>
      </c>
      <c r="J17" s="160">
        <f t="shared" si="7"/>
        <v>2484801</v>
      </c>
      <c r="K17" s="160">
        <f t="shared" si="7"/>
        <v>2484801</v>
      </c>
      <c r="L17" s="160">
        <f t="shared" si="7"/>
        <v>2484801</v>
      </c>
      <c r="M17" s="160">
        <f t="shared" si="7"/>
        <v>2587027</v>
      </c>
      <c r="N17" s="160">
        <f t="shared" si="7"/>
        <v>0</v>
      </c>
      <c r="O17" s="160">
        <f t="shared" si="7"/>
        <v>0</v>
      </c>
      <c r="P17" s="152">
        <f>SUM(E17:O17)</f>
        <v>21207343</v>
      </c>
    </row>
    <row r="18" spans="2:16" x14ac:dyDescent="0.25">
      <c r="B18" s="1024" t="s">
        <v>162</v>
      </c>
      <c r="C18" s="1037" t="s">
        <v>164</v>
      </c>
      <c r="D18" s="1038"/>
      <c r="E18" s="157">
        <v>0.1</v>
      </c>
      <c r="F18" s="157">
        <v>0</v>
      </c>
      <c r="G18" s="157">
        <v>0</v>
      </c>
      <c r="H18" s="157">
        <v>0</v>
      </c>
      <c r="I18" s="157">
        <v>0</v>
      </c>
      <c r="J18" s="157">
        <v>0</v>
      </c>
      <c r="K18" s="157">
        <v>0</v>
      </c>
      <c r="L18" s="157">
        <v>0</v>
      </c>
      <c r="M18" s="157">
        <v>0</v>
      </c>
      <c r="N18" s="157">
        <v>0</v>
      </c>
      <c r="O18" s="157">
        <v>0</v>
      </c>
      <c r="P18" s="163"/>
    </row>
    <row r="19" spans="2:16" x14ac:dyDescent="0.25">
      <c r="B19" s="1026"/>
      <c r="C19" s="1037" t="s">
        <v>160</v>
      </c>
      <c r="D19" s="1008"/>
      <c r="E19" s="160">
        <f t="shared" ref="E19:O19" si="8">E21*E18</f>
        <v>2403200</v>
      </c>
      <c r="F19" s="160">
        <f t="shared" si="8"/>
        <v>0</v>
      </c>
      <c r="G19" s="160">
        <f t="shared" si="8"/>
        <v>0</v>
      </c>
      <c r="H19" s="160">
        <f t="shared" si="8"/>
        <v>0</v>
      </c>
      <c r="I19" s="160">
        <f t="shared" si="8"/>
        <v>0</v>
      </c>
      <c r="J19" s="160">
        <f t="shared" si="8"/>
        <v>0</v>
      </c>
      <c r="K19" s="160">
        <f t="shared" si="8"/>
        <v>0</v>
      </c>
      <c r="L19" s="160">
        <f t="shared" si="8"/>
        <v>0</v>
      </c>
      <c r="M19" s="160">
        <f t="shared" si="8"/>
        <v>0</v>
      </c>
      <c r="N19" s="160">
        <f t="shared" si="8"/>
        <v>0</v>
      </c>
      <c r="O19" s="160">
        <f t="shared" si="8"/>
        <v>0</v>
      </c>
      <c r="P19" s="152">
        <f>SUM(E19:O19)</f>
        <v>2403200</v>
      </c>
    </row>
    <row r="20" spans="2:16" x14ac:dyDescent="0.25">
      <c r="B20" s="1018" t="s">
        <v>168</v>
      </c>
      <c r="C20" s="1012" t="s">
        <v>164</v>
      </c>
      <c r="D20" s="1013"/>
      <c r="E20" s="153">
        <v>0.1</v>
      </c>
      <c r="F20" s="153">
        <v>0.1</v>
      </c>
      <c r="G20" s="153">
        <v>0.1</v>
      </c>
      <c r="H20" s="153">
        <v>0.1</v>
      </c>
      <c r="I20" s="153">
        <v>0.1</v>
      </c>
      <c r="J20" s="153">
        <v>0.1</v>
      </c>
      <c r="K20" s="153">
        <v>0.1</v>
      </c>
      <c r="L20" s="153">
        <v>0.1</v>
      </c>
      <c r="M20" s="153">
        <v>0.1</v>
      </c>
      <c r="N20" s="153">
        <v>0.1</v>
      </c>
      <c r="O20" s="153">
        <v>0.1</v>
      </c>
      <c r="P20" s="1034"/>
    </row>
    <row r="21" spans="2:16" x14ac:dyDescent="0.25">
      <c r="B21" s="1020"/>
      <c r="C21" s="1012" t="s">
        <v>169</v>
      </c>
      <c r="D21" s="1014"/>
      <c r="E21" s="151">
        <f t="shared" ref="E21:O21" si="9">8*4*$R$9</f>
        <v>24032000</v>
      </c>
      <c r="F21" s="151">
        <f t="shared" si="9"/>
        <v>24032000</v>
      </c>
      <c r="G21" s="151">
        <f t="shared" si="9"/>
        <v>24032000</v>
      </c>
      <c r="H21" s="151">
        <f t="shared" si="9"/>
        <v>24032000</v>
      </c>
      <c r="I21" s="151">
        <f t="shared" si="9"/>
        <v>24032000</v>
      </c>
      <c r="J21" s="151">
        <f t="shared" si="9"/>
        <v>24032000</v>
      </c>
      <c r="K21" s="151">
        <f t="shared" si="9"/>
        <v>24032000</v>
      </c>
      <c r="L21" s="151">
        <f t="shared" si="9"/>
        <v>24032000</v>
      </c>
      <c r="M21" s="151">
        <f t="shared" si="9"/>
        <v>24032000</v>
      </c>
      <c r="N21" s="151">
        <f t="shared" si="9"/>
        <v>24032000</v>
      </c>
      <c r="O21" s="151">
        <f t="shared" si="9"/>
        <v>24032000</v>
      </c>
      <c r="P21" s="1035"/>
    </row>
    <row r="22" spans="2:16" x14ac:dyDescent="0.25">
      <c r="B22" s="1020"/>
      <c r="C22" s="1012" t="s">
        <v>170</v>
      </c>
      <c r="D22" s="1014"/>
      <c r="E22" s="151">
        <f t="shared" ref="E22:O22" si="10">$P$10-E21</f>
        <v>147195999</v>
      </c>
      <c r="F22" s="151">
        <f t="shared" si="10"/>
        <v>147195999</v>
      </c>
      <c r="G22" s="151">
        <f t="shared" si="10"/>
        <v>147195999</v>
      </c>
      <c r="H22" s="151">
        <f t="shared" si="10"/>
        <v>147195999</v>
      </c>
      <c r="I22" s="151">
        <f t="shared" si="10"/>
        <v>147195999</v>
      </c>
      <c r="J22" s="151">
        <f t="shared" si="10"/>
        <v>147195999</v>
      </c>
      <c r="K22" s="151">
        <f t="shared" si="10"/>
        <v>147195999</v>
      </c>
      <c r="L22" s="151">
        <f t="shared" si="10"/>
        <v>147195999</v>
      </c>
      <c r="M22" s="151">
        <f t="shared" si="10"/>
        <v>147195999</v>
      </c>
      <c r="N22" s="151">
        <f t="shared" si="10"/>
        <v>147195999</v>
      </c>
      <c r="O22" s="151">
        <f t="shared" si="10"/>
        <v>147195999</v>
      </c>
      <c r="P22" s="1035"/>
    </row>
    <row r="23" spans="2:16" x14ac:dyDescent="0.25">
      <c r="B23" s="1020"/>
      <c r="C23" s="1012" t="s">
        <v>171</v>
      </c>
      <c r="D23" s="1014"/>
      <c r="E23" s="151">
        <f t="shared" ref="E23:O23" si="11">E22*E9</f>
        <v>8787820.8358208947</v>
      </c>
      <c r="F23" s="151">
        <f t="shared" si="11"/>
        <v>17575641.671641789</v>
      </c>
      <c r="G23" s="151">
        <f t="shared" si="11"/>
        <v>17136250.629850745</v>
      </c>
      <c r="H23" s="151">
        <f t="shared" si="11"/>
        <v>17136250.629850745</v>
      </c>
      <c r="I23" s="151">
        <f t="shared" si="11"/>
        <v>17575641.671641789</v>
      </c>
      <c r="J23" s="151">
        <f t="shared" si="11"/>
        <v>17136250.629850745</v>
      </c>
      <c r="K23" s="151">
        <f t="shared" si="11"/>
        <v>17136250.629850745</v>
      </c>
      <c r="L23" s="151">
        <f t="shared" si="11"/>
        <v>17136250.629850745</v>
      </c>
      <c r="M23" s="151">
        <f t="shared" si="11"/>
        <v>17575641.671641789</v>
      </c>
      <c r="N23" s="151">
        <f t="shared" si="11"/>
        <v>0</v>
      </c>
      <c r="O23" s="151">
        <f t="shared" si="11"/>
        <v>0</v>
      </c>
      <c r="P23" s="1036"/>
    </row>
    <row r="24" spans="2:16" x14ac:dyDescent="0.25">
      <c r="B24" s="1019"/>
      <c r="C24" s="1012" t="s">
        <v>160</v>
      </c>
      <c r="D24" s="1014"/>
      <c r="E24" s="160">
        <f t="shared" ref="E24:O24" si="12">E20*E23</f>
        <v>878782.08358208952</v>
      </c>
      <c r="F24" s="160">
        <f t="shared" si="12"/>
        <v>1757564.167164179</v>
      </c>
      <c r="G24" s="160">
        <f t="shared" si="12"/>
        <v>1713625.0629850747</v>
      </c>
      <c r="H24" s="160">
        <f t="shared" si="12"/>
        <v>1713625.0629850747</v>
      </c>
      <c r="I24" s="160">
        <f t="shared" si="12"/>
        <v>1757564.167164179</v>
      </c>
      <c r="J24" s="160">
        <f t="shared" si="12"/>
        <v>1713625.0629850747</v>
      </c>
      <c r="K24" s="160">
        <f t="shared" si="12"/>
        <v>1713625.0629850747</v>
      </c>
      <c r="L24" s="160">
        <f t="shared" si="12"/>
        <v>1713625.0629850747</v>
      </c>
      <c r="M24" s="160">
        <f t="shared" si="12"/>
        <v>1757564.167164179</v>
      </c>
      <c r="N24" s="160">
        <f t="shared" si="12"/>
        <v>0</v>
      </c>
      <c r="O24" s="160">
        <f t="shared" si="12"/>
        <v>0</v>
      </c>
      <c r="P24" s="152">
        <f>SUM(E24:O24)</f>
        <v>14719599.899999997</v>
      </c>
    </row>
    <row r="25" spans="2:16" x14ac:dyDescent="0.25">
      <c r="B25" s="1009" t="s">
        <v>198</v>
      </c>
      <c r="C25" s="1010"/>
      <c r="D25" s="1011"/>
      <c r="E25" s="160">
        <f>E19+E24</f>
        <v>3281982.0835820893</v>
      </c>
      <c r="F25" s="160">
        <f t="shared" ref="F25:O25" si="13">F19+F24</f>
        <v>1757564.167164179</v>
      </c>
      <c r="G25" s="160">
        <f t="shared" si="13"/>
        <v>1713625.0629850747</v>
      </c>
      <c r="H25" s="160">
        <f t="shared" si="13"/>
        <v>1713625.0629850747</v>
      </c>
      <c r="I25" s="160">
        <f t="shared" si="13"/>
        <v>1757564.167164179</v>
      </c>
      <c r="J25" s="160">
        <f t="shared" si="13"/>
        <v>1713625.0629850747</v>
      </c>
      <c r="K25" s="160">
        <f t="shared" si="13"/>
        <v>1713625.0629850747</v>
      </c>
      <c r="L25" s="160">
        <f t="shared" si="13"/>
        <v>1713625.0629850747</v>
      </c>
      <c r="M25" s="160">
        <f t="shared" si="13"/>
        <v>1757564.167164179</v>
      </c>
      <c r="N25" s="160">
        <f t="shared" si="13"/>
        <v>0</v>
      </c>
      <c r="O25" s="160">
        <f t="shared" si="13"/>
        <v>0</v>
      </c>
      <c r="P25" s="152">
        <f>SUM(E25:O25)</f>
        <v>17122799.899999999</v>
      </c>
    </row>
    <row r="26" spans="2:16" x14ac:dyDescent="0.25">
      <c r="B26" s="1024" t="s">
        <v>172</v>
      </c>
      <c r="C26" s="1012" t="s">
        <v>164</v>
      </c>
      <c r="D26" s="1014"/>
      <c r="E26" s="155">
        <v>0.05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1.4999999999999999E-2</v>
      </c>
      <c r="O26" s="155">
        <v>7.4999999999999997E-3</v>
      </c>
      <c r="P26" s="1034"/>
    </row>
    <row r="27" spans="2:16" x14ac:dyDescent="0.25">
      <c r="B27" s="1025"/>
      <c r="C27" s="1012" t="s">
        <v>173</v>
      </c>
      <c r="D27" s="1014"/>
      <c r="E27" s="156">
        <f t="shared" ref="E27:O27" si="14">$P$10</f>
        <v>171227999</v>
      </c>
      <c r="F27" s="156">
        <f t="shared" si="14"/>
        <v>171227999</v>
      </c>
      <c r="G27" s="156">
        <f t="shared" si="14"/>
        <v>171227999</v>
      </c>
      <c r="H27" s="156">
        <f t="shared" si="14"/>
        <v>171227999</v>
      </c>
      <c r="I27" s="156">
        <f t="shared" si="14"/>
        <v>171227999</v>
      </c>
      <c r="J27" s="156">
        <f t="shared" si="14"/>
        <v>171227999</v>
      </c>
      <c r="K27" s="156">
        <f t="shared" si="14"/>
        <v>171227999</v>
      </c>
      <c r="L27" s="156">
        <f t="shared" si="14"/>
        <v>171227999</v>
      </c>
      <c r="M27" s="156">
        <f t="shared" si="14"/>
        <v>171227999</v>
      </c>
      <c r="N27" s="156">
        <f t="shared" si="14"/>
        <v>171227999</v>
      </c>
      <c r="O27" s="156">
        <f t="shared" si="14"/>
        <v>171227999</v>
      </c>
      <c r="P27" s="1036"/>
    </row>
    <row r="28" spans="2:16" x14ac:dyDescent="0.25">
      <c r="B28" s="1026"/>
      <c r="C28" s="1012" t="s">
        <v>160</v>
      </c>
      <c r="D28" s="1014"/>
      <c r="E28" s="161">
        <f t="shared" ref="E28:O28" si="15">E26*E27</f>
        <v>8561399.9500000011</v>
      </c>
      <c r="F28" s="161">
        <f t="shared" si="15"/>
        <v>0</v>
      </c>
      <c r="G28" s="161">
        <f t="shared" si="15"/>
        <v>0</v>
      </c>
      <c r="H28" s="161">
        <f t="shared" si="15"/>
        <v>0</v>
      </c>
      <c r="I28" s="161">
        <f t="shared" si="15"/>
        <v>0</v>
      </c>
      <c r="J28" s="161">
        <f t="shared" si="15"/>
        <v>0</v>
      </c>
      <c r="K28" s="161">
        <f t="shared" si="15"/>
        <v>0</v>
      </c>
      <c r="L28" s="161">
        <f t="shared" si="15"/>
        <v>0</v>
      </c>
      <c r="M28" s="161">
        <f t="shared" si="15"/>
        <v>0</v>
      </c>
      <c r="N28" s="161">
        <f t="shared" si="15"/>
        <v>2568419.9849999999</v>
      </c>
      <c r="O28" s="161">
        <f t="shared" si="15"/>
        <v>1284209.9924999999</v>
      </c>
      <c r="P28" s="152">
        <f>SUM(E28:O28)</f>
        <v>12414029.9275</v>
      </c>
    </row>
    <row r="29" spans="2:16" x14ac:dyDescent="0.25">
      <c r="B29" s="1039" t="s">
        <v>161</v>
      </c>
      <c r="C29" s="1040"/>
      <c r="D29" s="1041"/>
      <c r="E29" s="160">
        <f>E17+E25+E28</f>
        <v>12865639.033582091</v>
      </c>
      <c r="F29" s="160">
        <f t="shared" ref="F29:O29" si="16">F17+F25+F28</f>
        <v>4344591.1671641786</v>
      </c>
      <c r="G29" s="160">
        <f t="shared" si="16"/>
        <v>4198426.0629850747</v>
      </c>
      <c r="H29" s="160">
        <f t="shared" si="16"/>
        <v>4198426.0629850747</v>
      </c>
      <c r="I29" s="160">
        <f t="shared" si="16"/>
        <v>4344591.1671641786</v>
      </c>
      <c r="J29" s="160">
        <f t="shared" si="16"/>
        <v>4198426.0629850747</v>
      </c>
      <c r="K29" s="160">
        <f t="shared" si="16"/>
        <v>4198426.0629850747</v>
      </c>
      <c r="L29" s="160">
        <f t="shared" si="16"/>
        <v>4198426.0629850747</v>
      </c>
      <c r="M29" s="160">
        <f t="shared" si="16"/>
        <v>4344591.1671641786</v>
      </c>
      <c r="N29" s="160">
        <f t="shared" si="16"/>
        <v>2568419.9849999999</v>
      </c>
      <c r="O29" s="160">
        <f t="shared" si="16"/>
        <v>1284209.9924999999</v>
      </c>
      <c r="P29" s="152">
        <f>SUM(E29:O29)</f>
        <v>50744172.827500001</v>
      </c>
    </row>
    <row r="30" spans="2:16" ht="12.5" customHeight="1" x14ac:dyDescent="0.25">
      <c r="B30" s="1111" t="s">
        <v>205</v>
      </c>
      <c r="C30" s="1012" t="s">
        <v>237</v>
      </c>
      <c r="D30" s="1013"/>
      <c r="E30" s="158">
        <f>VLOOKUP("Subtotal prestaciones sociales",Factor!$B$6:$F$25,IF(E$7="Laboral",3,5),0)</f>
        <v>0.17666666666666667</v>
      </c>
      <c r="F30" s="158">
        <f>VLOOKUP("Subtotal prestaciones sociales",Factor!$B$6:$F$25,IF(F$7="Laboral",3,5),0)</f>
        <v>0.17666666666666667</v>
      </c>
      <c r="G30" s="158">
        <f>VLOOKUP("Subtotal prestaciones sociales",Factor!$B$6:$F$25,IF(G$7="Laboral",3,5),0)</f>
        <v>0.17666666666666667</v>
      </c>
      <c r="H30" s="158">
        <f>VLOOKUP("Subtotal prestaciones sociales",Factor!$B$6:$F$25,IF(H$7="Laboral",3,5),0)</f>
        <v>0.17666666666666667</v>
      </c>
      <c r="I30" s="158">
        <f>VLOOKUP("Subtotal prestaciones sociales",Factor!$B$6:$F$25,IF(I$7="Laboral",3,5),0)</f>
        <v>0.17666666666666667</v>
      </c>
      <c r="J30" s="158">
        <f>VLOOKUP("Subtotal prestaciones sociales",Factor!$B$6:$F$25,IF(J$7="Laboral",3,5),0)</f>
        <v>0.17666666666666667</v>
      </c>
      <c r="K30" s="158">
        <f>VLOOKUP("Subtotal prestaciones sociales",Factor!$B$6:$F$25,IF(K$7="Laboral",3,5),0)</f>
        <v>0.17666666666666667</v>
      </c>
      <c r="L30" s="158">
        <f>VLOOKUP("Subtotal prestaciones sociales",Factor!$B$6:$F$25,IF(L$7="Laboral",3,5),0)</f>
        <v>0.17666666666666667</v>
      </c>
      <c r="M30" s="158">
        <f>VLOOKUP("Subtotal prestaciones sociales",Factor!$B$6:$F$25,IF(M$7="Laboral",3,5),0)</f>
        <v>0.17666666666666667</v>
      </c>
      <c r="N30" s="158">
        <f>VLOOKUP("Subtotal prestaciones sociales",Factor!$B$6:$F$25,IF(N$7="Laboral",3,5),0)</f>
        <v>0.17666666666666667</v>
      </c>
      <c r="O30" s="158">
        <f>VLOOKUP("Subtotal prestaciones sociales",Factor!$B$6:$F$25,IF(O$7="Laboral",3,5),0)</f>
        <v>0.17666666666666667</v>
      </c>
      <c r="P30" s="152"/>
    </row>
    <row r="31" spans="2:16" ht="12.5" customHeight="1" x14ac:dyDescent="0.25">
      <c r="B31" s="1112"/>
      <c r="C31" s="1012" t="s">
        <v>238</v>
      </c>
      <c r="D31" s="1013"/>
      <c r="E31" s="158">
        <f>IF(E$7="Laboral",0,VLOOKUP("Subtotal seguridad social",Factor!$B$6:$F$25,5))</f>
        <v>0</v>
      </c>
      <c r="F31" s="158">
        <f>IF(F$7="Laboral",0,VLOOKUP("Subtotal seguridad social",Factor!$B$6:$F$25,5))</f>
        <v>0</v>
      </c>
      <c r="G31" s="158">
        <f>IF(G$7="Laboral",0,VLOOKUP("Subtotal seguridad social",Factor!$B$6:$F$25,5))</f>
        <v>0.21500000000000002</v>
      </c>
      <c r="H31" s="158">
        <f>IF(H$7="Laboral",0,VLOOKUP("Subtotal seguridad social",Factor!$B$6:$F$25,5))</f>
        <v>0.21500000000000002</v>
      </c>
      <c r="I31" s="158">
        <f>IF(I$7="Laboral",0,VLOOKUP("Subtotal seguridad social",Factor!$B$6:$F$25,5))</f>
        <v>0</v>
      </c>
      <c r="J31" s="158">
        <f>IF(J$7="Laboral",0,VLOOKUP("Subtotal seguridad social",Factor!$B$6:$F$25,5))</f>
        <v>0.21500000000000002</v>
      </c>
      <c r="K31" s="158">
        <f>IF(K$7="Laboral",0,VLOOKUP("Subtotal seguridad social",Factor!$B$6:$F$25,5))</f>
        <v>0.21500000000000002</v>
      </c>
      <c r="L31" s="158">
        <f>IF(L$7="Laboral",0,VLOOKUP("Subtotal seguridad social",Factor!$B$6:$F$25,5))</f>
        <v>0.21500000000000002</v>
      </c>
      <c r="M31" s="158">
        <f>IF(M$7="Laboral",0,VLOOKUP("Subtotal seguridad social",Factor!$B$6:$F$25,5))</f>
        <v>0</v>
      </c>
      <c r="N31" s="158">
        <f>IF(N$7="Laboral",0,VLOOKUP("Subtotal seguridad social",Factor!$B$6:$F$25,5))</f>
        <v>0</v>
      </c>
      <c r="O31" s="158">
        <f>IF(O$7="Laboral",0,VLOOKUP("Subtotal seguridad social",Factor!$B$6:$F$25,5))</f>
        <v>0</v>
      </c>
      <c r="P31" s="152"/>
    </row>
    <row r="32" spans="2:16" x14ac:dyDescent="0.25">
      <c r="B32" s="1113"/>
      <c r="C32" s="1012" t="s">
        <v>239</v>
      </c>
      <c r="D32" s="1013"/>
      <c r="E32" s="158">
        <f>SUM(E30:E31)</f>
        <v>0.17666666666666667</v>
      </c>
      <c r="F32" s="158">
        <f t="shared" ref="F32:O32" si="17">SUM(F30:F31)</f>
        <v>0.17666666666666667</v>
      </c>
      <c r="G32" s="158">
        <f t="shared" si="17"/>
        <v>0.39166666666666672</v>
      </c>
      <c r="H32" s="158">
        <f t="shared" si="17"/>
        <v>0.39166666666666672</v>
      </c>
      <c r="I32" s="158">
        <f t="shared" si="17"/>
        <v>0.17666666666666667</v>
      </c>
      <c r="J32" s="158">
        <f t="shared" si="17"/>
        <v>0.39166666666666672</v>
      </c>
      <c r="K32" s="158">
        <f t="shared" si="17"/>
        <v>0.39166666666666672</v>
      </c>
      <c r="L32" s="158">
        <f t="shared" si="17"/>
        <v>0.39166666666666672</v>
      </c>
      <c r="M32" s="158">
        <f t="shared" si="17"/>
        <v>0.17666666666666667</v>
      </c>
      <c r="N32" s="158">
        <f t="shared" si="17"/>
        <v>0.17666666666666667</v>
      </c>
      <c r="O32" s="158">
        <f t="shared" si="17"/>
        <v>0.17666666666666667</v>
      </c>
      <c r="P32" s="149"/>
    </row>
    <row r="33" spans="2:16" ht="13" thickBot="1" x14ac:dyDescent="0.3">
      <c r="B33" s="1031" t="s">
        <v>174</v>
      </c>
      <c r="C33" s="1032"/>
      <c r="D33" s="1033"/>
      <c r="E33" s="162">
        <f>ROUND(E29*(1+E32),1)</f>
        <v>15138568.6</v>
      </c>
      <c r="F33" s="162">
        <f t="shared" ref="F33:O33" si="18">ROUND(F29*(1+F32),1)</f>
        <v>5112135.5999999996</v>
      </c>
      <c r="G33" s="162">
        <f t="shared" si="18"/>
        <v>5842809.5999999996</v>
      </c>
      <c r="H33" s="162">
        <f t="shared" si="18"/>
        <v>5842809.5999999996</v>
      </c>
      <c r="I33" s="162">
        <f t="shared" si="18"/>
        <v>5112135.5999999996</v>
      </c>
      <c r="J33" s="162">
        <f t="shared" si="18"/>
        <v>5842809.5999999996</v>
      </c>
      <c r="K33" s="162">
        <f t="shared" si="18"/>
        <v>5842809.5999999996</v>
      </c>
      <c r="L33" s="162">
        <f t="shared" si="18"/>
        <v>5842809.5999999996</v>
      </c>
      <c r="M33" s="162">
        <f t="shared" si="18"/>
        <v>5112135.5999999996</v>
      </c>
      <c r="N33" s="162">
        <f t="shared" si="18"/>
        <v>3022174.2</v>
      </c>
      <c r="O33" s="162">
        <f t="shared" si="18"/>
        <v>1511087.1</v>
      </c>
      <c r="P33" s="159">
        <f>SUM(E33:O33)</f>
        <v>64222284.70000001</v>
      </c>
    </row>
  </sheetData>
  <mergeCells count="36">
    <mergeCell ref="B29:D29"/>
    <mergeCell ref="B33:D33"/>
    <mergeCell ref="B26:B28"/>
    <mergeCell ref="C26:D26"/>
    <mergeCell ref="B30:B32"/>
    <mergeCell ref="C30:D30"/>
    <mergeCell ref="C31:D31"/>
    <mergeCell ref="C32:D32"/>
    <mergeCell ref="P26:P27"/>
    <mergeCell ref="C27:D27"/>
    <mergeCell ref="C28:D28"/>
    <mergeCell ref="B18:B19"/>
    <mergeCell ref="C18:D18"/>
    <mergeCell ref="C19:D19"/>
    <mergeCell ref="B25:D25"/>
    <mergeCell ref="B17:D17"/>
    <mergeCell ref="B20:B24"/>
    <mergeCell ref="C20:D20"/>
    <mergeCell ref="P20:P23"/>
    <mergeCell ref="C21:D21"/>
    <mergeCell ref="C22:D22"/>
    <mergeCell ref="C23:D23"/>
    <mergeCell ref="C24:D24"/>
    <mergeCell ref="B15:B16"/>
    <mergeCell ref="C15:D15"/>
    <mergeCell ref="C16:D16"/>
    <mergeCell ref="B4:P4"/>
    <mergeCell ref="B6:D6"/>
    <mergeCell ref="B7:D7"/>
    <mergeCell ref="B8:D8"/>
    <mergeCell ref="B9:D9"/>
    <mergeCell ref="B10:D10"/>
    <mergeCell ref="B11:B14"/>
    <mergeCell ref="P11:P13"/>
    <mergeCell ref="C12:C13"/>
    <mergeCell ref="C14:D14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3:M34"/>
  <sheetViews>
    <sheetView zoomScaleNormal="100" zoomScaleSheetLayoutView="100" workbookViewId="0">
      <pane xSplit="4" ySplit="7" topLeftCell="E19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9.6328125" style="47" customWidth="1"/>
    <col min="4" max="4" width="6.08984375" style="47" bestFit="1" customWidth="1"/>
    <col min="5" max="9" width="10.6328125" style="48" customWidth="1"/>
    <col min="10" max="10" width="11.36328125" style="48" bestFit="1" customWidth="1"/>
    <col min="11" max="11" width="2.6328125" style="48" customWidth="1"/>
    <col min="12" max="12" width="11.90625" style="48" bestFit="1" customWidth="1"/>
    <col min="13" max="16384" width="11.453125" style="48"/>
  </cols>
  <sheetData>
    <row r="3" spans="1:13" ht="13.5" thickBot="1" x14ac:dyDescent="0.3">
      <c r="E3" s="144">
        <v>1</v>
      </c>
      <c r="F3" s="144">
        <v>2</v>
      </c>
      <c r="G3" s="144">
        <v>3</v>
      </c>
      <c r="H3" s="144">
        <v>10</v>
      </c>
      <c r="I3" s="144">
        <v>11</v>
      </c>
    </row>
    <row r="4" spans="1:13" ht="18.5" thickBot="1" x14ac:dyDescent="0.45">
      <c r="B4" s="979" t="str">
        <f>"Remuneración Variable Mensual Presupuestada Año "&amp;L6</f>
        <v>Remuneración Variable Mensual Presupuestada Año 2019</v>
      </c>
      <c r="C4" s="980"/>
      <c r="D4" s="980"/>
      <c r="E4" s="980"/>
      <c r="F4" s="980"/>
      <c r="G4" s="980"/>
      <c r="H4" s="980"/>
      <c r="I4" s="980"/>
      <c r="J4" s="981"/>
    </row>
    <row r="5" spans="1:13" ht="13" thickBot="1" x14ac:dyDescent="0.3"/>
    <row r="6" spans="1:13" ht="23" x14ac:dyDescent="0.3">
      <c r="B6" s="1028" t="s">
        <v>89</v>
      </c>
      <c r="C6" s="1029"/>
      <c r="D6" s="1030"/>
      <c r="E6" s="145" t="s">
        <v>93</v>
      </c>
      <c r="F6" s="145" t="s">
        <v>90</v>
      </c>
      <c r="G6" s="145" t="s">
        <v>90</v>
      </c>
      <c r="H6" s="193" t="s">
        <v>146</v>
      </c>
      <c r="I6" s="193" t="s">
        <v>92</v>
      </c>
      <c r="J6" s="166" t="s">
        <v>65</v>
      </c>
      <c r="L6" s="601">
        <f>'HC 2019'!I4</f>
        <v>2019</v>
      </c>
      <c r="M6" s="48" t="s">
        <v>71</v>
      </c>
    </row>
    <row r="7" spans="1:13" ht="13" x14ac:dyDescent="0.3">
      <c r="A7" s="48">
        <v>0</v>
      </c>
      <c r="B7" s="1085" t="s">
        <v>832</v>
      </c>
      <c r="C7" s="1083"/>
      <c r="D7" s="1084"/>
      <c r="E7" s="610">
        <v>1</v>
      </c>
      <c r="F7" s="610">
        <v>3</v>
      </c>
      <c r="G7" s="610">
        <v>5</v>
      </c>
      <c r="H7" s="610">
        <v>1</v>
      </c>
      <c r="I7" s="610">
        <v>1</v>
      </c>
      <c r="J7" s="609">
        <f>SUM(E7:I7)</f>
        <v>11</v>
      </c>
      <c r="L7" s="601"/>
    </row>
    <row r="8" spans="1:13" ht="13" x14ac:dyDescent="0.3">
      <c r="A8" s="48">
        <v>6</v>
      </c>
      <c r="B8" s="1085" t="s">
        <v>178</v>
      </c>
      <c r="C8" s="1083"/>
      <c r="D8" s="1084"/>
      <c r="E8" s="148">
        <f>HLOOKUP(E$3,'RV 2019'!$B$3:$P$33,$A8,0)</f>
        <v>20</v>
      </c>
      <c r="F8" s="148">
        <f>HLOOKUP(F$3,'RV 2019'!$B$3:$P$33,$A8,0)</f>
        <v>40</v>
      </c>
      <c r="G8" s="148">
        <f>HLOOKUP(G$3,'RV 2019'!$B$3:$P$33,$A8,0)</f>
        <v>39</v>
      </c>
      <c r="H8" s="148">
        <f>HLOOKUP(H$3,'RV 2019'!$B$3:$P$33,$A8,0)</f>
        <v>0</v>
      </c>
      <c r="I8" s="148">
        <f>HLOOKUP(I$3,'RV 2019'!$B$3:$P$33,$A8,0)</f>
        <v>0</v>
      </c>
      <c r="J8" s="605">
        <f>SUMPRODUCT($E$7:$I$7,$E8:$I8)</f>
        <v>335</v>
      </c>
      <c r="L8" s="60">
        <f>HLOOKUP($L$6,'Ing Proyect'!$B$6:$G$12,6,0)</f>
        <v>171228000</v>
      </c>
      <c r="M8" s="48" t="s">
        <v>175</v>
      </c>
    </row>
    <row r="9" spans="1:13" ht="13" x14ac:dyDescent="0.3">
      <c r="A9" s="48">
        <v>7</v>
      </c>
      <c r="B9" s="1085" t="s">
        <v>177</v>
      </c>
      <c r="C9" s="1083"/>
      <c r="D9" s="1084"/>
      <c r="E9" s="150">
        <f>HLOOKUP(E$3,'RV 2019'!$B$3:$P$33,$A9,0)</f>
        <v>5.9701492537313432E-2</v>
      </c>
      <c r="F9" s="150">
        <f>HLOOKUP(F$3,'RV 2019'!$B$3:$P$33,$A9,0)</f>
        <v>0.11940298507462686</v>
      </c>
      <c r="G9" s="150">
        <f>HLOOKUP(G$3,'RV 2019'!$B$3:$P$33,$A9,0)</f>
        <v>0.11641791044776119</v>
      </c>
      <c r="H9" s="150">
        <f>HLOOKUP(H$3,'RV 2019'!$B$3:$P$33,$A9,0)</f>
        <v>0</v>
      </c>
      <c r="I9" s="150">
        <f>HLOOKUP(I$3,'RV 2019'!$B$3:$P$33,$A9,0)</f>
        <v>0</v>
      </c>
      <c r="J9" s="165">
        <f>SUMPRODUCT($E$7:$I$7,$E9:$I9)</f>
        <v>1</v>
      </c>
      <c r="L9" s="60">
        <f>HLOOKUP($L$6,'Ing Proyect'!$B$6:$G$12,2,0)</f>
        <v>751000</v>
      </c>
      <c r="M9" s="48" t="s">
        <v>69</v>
      </c>
    </row>
    <row r="10" spans="1:13" x14ac:dyDescent="0.25">
      <c r="A10" s="48">
        <v>8</v>
      </c>
      <c r="B10" s="1082" t="s">
        <v>176</v>
      </c>
      <c r="C10" s="1083"/>
      <c r="D10" s="1084"/>
      <c r="E10" s="151">
        <f>HLOOKUP(E$3,'RV 2019'!$B$3:$P$33,$A10,0)</f>
        <v>10222567</v>
      </c>
      <c r="F10" s="151">
        <f>HLOOKUP(F$3,'RV 2019'!$B$3:$P$33,$A10,0)</f>
        <v>20445134</v>
      </c>
      <c r="G10" s="151">
        <f>HLOOKUP(G$3,'RV 2019'!$B$3:$P$33,$A10,0)</f>
        <v>19934006</v>
      </c>
      <c r="H10" s="151">
        <f>HLOOKUP(H$3,'RV 2019'!$B$3:$P$33,$A10,0)</f>
        <v>0</v>
      </c>
      <c r="I10" s="151">
        <f>HLOOKUP(I$3,'RV 2019'!$B$3:$P$33,$A10,0)</f>
        <v>0</v>
      </c>
      <c r="J10" s="152">
        <f>SUMPRODUCT($E$7:$I$7,$E10:$I10)</f>
        <v>171227999</v>
      </c>
    </row>
    <row r="11" spans="1:13" x14ac:dyDescent="0.25">
      <c r="A11" s="48">
        <v>9</v>
      </c>
      <c r="B11" s="1086" t="s">
        <v>163</v>
      </c>
      <c r="C11" s="611" t="s">
        <v>164</v>
      </c>
      <c r="D11" s="611"/>
      <c r="E11" s="153">
        <f>HLOOKUP(E$3,'RV 2019'!$B$3:$P$33,$A11,0)</f>
        <v>0.1</v>
      </c>
      <c r="F11" s="153">
        <f>HLOOKUP(F$3,'RV 2019'!$B$3:$P$33,$A11,0)</f>
        <v>0.1</v>
      </c>
      <c r="G11" s="153">
        <f>HLOOKUP(G$3,'RV 2019'!$B$3:$P$33,$A11,0)</f>
        <v>0.1</v>
      </c>
      <c r="H11" s="153">
        <f>HLOOKUP(H$3,'RV 2019'!$B$3:$P$33,$A11,0)</f>
        <v>0</v>
      </c>
      <c r="I11" s="153">
        <f>HLOOKUP(I$3,'RV 2019'!$B$3:$P$33,$A11,0)</f>
        <v>0</v>
      </c>
      <c r="J11" s="1034"/>
    </row>
    <row r="12" spans="1:13" ht="12.5" customHeight="1" x14ac:dyDescent="0.25">
      <c r="A12" s="48">
        <v>10</v>
      </c>
      <c r="B12" s="1087"/>
      <c r="C12" s="1089" t="s">
        <v>165</v>
      </c>
      <c r="D12" s="612" t="s">
        <v>69</v>
      </c>
      <c r="E12" s="154">
        <f>HLOOKUP(E$3,'RV 2019'!$B$3:$P$33,$A12,0)</f>
        <v>20</v>
      </c>
      <c r="F12" s="154">
        <f>HLOOKUP(F$3,'RV 2019'!$B$3:$P$33,$A12,0)</f>
        <v>20</v>
      </c>
      <c r="G12" s="154">
        <f>HLOOKUP(G$3,'RV 2019'!$B$3:$P$33,$A12,0)</f>
        <v>20</v>
      </c>
      <c r="H12" s="154">
        <f>HLOOKUP(H$3,'RV 2019'!$B$3:$P$33,$A12,0)</f>
        <v>20</v>
      </c>
      <c r="I12" s="154">
        <f>HLOOKUP(I$3,'RV 2019'!$B$3:$P$33,$A12,0)</f>
        <v>20</v>
      </c>
      <c r="J12" s="1035"/>
    </row>
    <row r="13" spans="1:13" x14ac:dyDescent="0.25">
      <c r="A13" s="48">
        <v>11</v>
      </c>
      <c r="B13" s="1087"/>
      <c r="C13" s="1089"/>
      <c r="D13" s="612" t="s">
        <v>70</v>
      </c>
      <c r="E13" s="151">
        <f>HLOOKUP(E$3,'RV 2019'!$B$3:$P$33,$A13,0)</f>
        <v>15020000</v>
      </c>
      <c r="F13" s="151">
        <f>HLOOKUP(F$3,'RV 2019'!$B$3:$P$33,$A13,0)</f>
        <v>15020000</v>
      </c>
      <c r="G13" s="151">
        <f>HLOOKUP(G$3,'RV 2019'!$B$3:$P$33,$A13,0)</f>
        <v>15020000</v>
      </c>
      <c r="H13" s="151">
        <f>HLOOKUP(H$3,'RV 2019'!$B$3:$P$33,$A13,0)</f>
        <v>15020000</v>
      </c>
      <c r="I13" s="151">
        <f>HLOOKUP(I$3,'RV 2019'!$B$3:$P$33,$A13,0)</f>
        <v>15020000</v>
      </c>
      <c r="J13" s="1036"/>
    </row>
    <row r="14" spans="1:13" x14ac:dyDescent="0.25">
      <c r="A14" s="48">
        <v>12</v>
      </c>
      <c r="B14" s="1088"/>
      <c r="C14" s="1090" t="s">
        <v>160</v>
      </c>
      <c r="D14" s="1091"/>
      <c r="E14" s="613">
        <f>HLOOKUP(E$3,'RV 2019'!$B$3:$P$33,$A14,0)</f>
        <v>1022257</v>
      </c>
      <c r="F14" s="613">
        <f>HLOOKUP(F$3,'RV 2019'!$B$3:$P$33,$A14,0)</f>
        <v>1502000</v>
      </c>
      <c r="G14" s="613">
        <f>HLOOKUP(G$3,'RV 2019'!$B$3:$P$33,$A14,0)</f>
        <v>1502000</v>
      </c>
      <c r="H14" s="613">
        <f>HLOOKUP(H$3,'RV 2019'!$B$3:$P$33,$A14,0)</f>
        <v>0</v>
      </c>
      <c r="I14" s="613">
        <f>HLOOKUP(I$3,'RV 2019'!$B$3:$P$33,$A14,0)</f>
        <v>0</v>
      </c>
      <c r="J14" s="608">
        <f>SUMPRODUCT($E$7:$I$7,$E14:$I14)</f>
        <v>13038257</v>
      </c>
    </row>
    <row r="15" spans="1:13" x14ac:dyDescent="0.25">
      <c r="A15" s="48">
        <v>13</v>
      </c>
      <c r="B15" s="1086" t="s">
        <v>166</v>
      </c>
      <c r="C15" s="1090" t="s">
        <v>164</v>
      </c>
      <c r="D15" s="1092"/>
      <c r="E15" s="153">
        <f>HLOOKUP(E$3,'RV 2019'!$B$3:$P$33,$A15,0)</f>
        <v>0.2</v>
      </c>
      <c r="F15" s="153">
        <f>HLOOKUP(F$3,'RV 2019'!$B$3:$P$33,$A15,0)</f>
        <v>0.2</v>
      </c>
      <c r="G15" s="153">
        <f>HLOOKUP(G$3,'RV 2019'!$B$3:$P$33,$A15,0)</f>
        <v>0.2</v>
      </c>
      <c r="H15" s="153">
        <f>HLOOKUP(H$3,'RV 2019'!$B$3:$P$33,$A15,0)</f>
        <v>0</v>
      </c>
      <c r="I15" s="153">
        <f>HLOOKUP(I$3,'RV 2019'!$B$3:$P$33,$A15,0)</f>
        <v>0</v>
      </c>
      <c r="J15" s="149"/>
    </row>
    <row r="16" spans="1:13" x14ac:dyDescent="0.25">
      <c r="A16" s="48">
        <v>14</v>
      </c>
      <c r="B16" s="1088"/>
      <c r="C16" s="1090" t="s">
        <v>160</v>
      </c>
      <c r="D16" s="1091"/>
      <c r="E16" s="613">
        <f>HLOOKUP(E$3,'RV 2019'!$B$3:$P$33,$A16,0)</f>
        <v>0</v>
      </c>
      <c r="F16" s="613">
        <f>HLOOKUP(F$3,'RV 2019'!$B$3:$P$33,$A16,0)</f>
        <v>1085027</v>
      </c>
      <c r="G16" s="613">
        <f>HLOOKUP(G$3,'RV 2019'!$B$3:$P$33,$A16,0)</f>
        <v>982801</v>
      </c>
      <c r="H16" s="613">
        <f>HLOOKUP(H$3,'RV 2019'!$B$3:$P$33,$A16,0)</f>
        <v>0</v>
      </c>
      <c r="I16" s="613">
        <f>HLOOKUP(I$3,'RV 2019'!$B$3:$P$33,$A16,0)</f>
        <v>0</v>
      </c>
      <c r="J16" s="608">
        <f>SUMPRODUCT($E$7:$I$7,$E16:$I16)</f>
        <v>8169086</v>
      </c>
    </row>
    <row r="17" spans="1:10" ht="12.5" customHeight="1" x14ac:dyDescent="0.25">
      <c r="A17" s="48">
        <v>15</v>
      </c>
      <c r="B17" s="1093" t="s">
        <v>167</v>
      </c>
      <c r="C17" s="1094"/>
      <c r="D17" s="1095"/>
      <c r="E17" s="160">
        <f>HLOOKUP(E$3,'RV 2019'!$B$3:$P$33,$A17,0)</f>
        <v>1022257</v>
      </c>
      <c r="F17" s="160">
        <f>HLOOKUP(F$3,'RV 2019'!$B$3:$P$33,$A17,0)</f>
        <v>2587027</v>
      </c>
      <c r="G17" s="160">
        <f>HLOOKUP(G$3,'RV 2019'!$B$3:$P$33,$A17,0)</f>
        <v>2484801</v>
      </c>
      <c r="H17" s="160">
        <f>HLOOKUP(H$3,'RV 2019'!$B$3:$P$33,$A17,0)</f>
        <v>0</v>
      </c>
      <c r="I17" s="160">
        <f>HLOOKUP(I$3,'RV 2019'!$B$3:$P$33,$A17,0)</f>
        <v>0</v>
      </c>
      <c r="J17" s="152">
        <f>SUMPRODUCT($E$7:$I$7,$E17:$I17)</f>
        <v>21207343</v>
      </c>
    </row>
    <row r="18" spans="1:10" ht="12.5" customHeight="1" x14ac:dyDescent="0.25">
      <c r="A18" s="48">
        <v>16</v>
      </c>
      <c r="B18" s="1086" t="s">
        <v>162</v>
      </c>
      <c r="C18" s="1096" t="s">
        <v>164</v>
      </c>
      <c r="D18" s="1097"/>
      <c r="E18" s="157">
        <f>HLOOKUP(E$3,'RV 2019'!$B$3:$P$33,$A18,0)</f>
        <v>0.1</v>
      </c>
      <c r="F18" s="157">
        <f>HLOOKUP(F$3,'RV 2019'!$B$3:$P$33,$A18,0)</f>
        <v>0</v>
      </c>
      <c r="G18" s="157">
        <f>HLOOKUP(G$3,'RV 2019'!$B$3:$P$33,$A18,0)</f>
        <v>0</v>
      </c>
      <c r="H18" s="157">
        <f>HLOOKUP(H$3,'RV 2019'!$B$3:$P$33,$A18,0)</f>
        <v>0</v>
      </c>
      <c r="I18" s="157">
        <f>HLOOKUP(I$3,'RV 2019'!$B$3:$P$33,$A18,0)</f>
        <v>0</v>
      </c>
      <c r="J18" s="163"/>
    </row>
    <row r="19" spans="1:10" x14ac:dyDescent="0.25">
      <c r="A19" s="48">
        <v>17</v>
      </c>
      <c r="B19" s="1088"/>
      <c r="C19" s="1096" t="s">
        <v>160</v>
      </c>
      <c r="D19" s="1084"/>
      <c r="E19" s="613">
        <f>HLOOKUP(E$3,'RV 2019'!$B$3:$P$33,$A19,0)</f>
        <v>2403200</v>
      </c>
      <c r="F19" s="613">
        <f>HLOOKUP(F$3,'RV 2019'!$B$3:$P$33,$A19,0)</f>
        <v>0</v>
      </c>
      <c r="G19" s="613">
        <f>HLOOKUP(G$3,'RV 2019'!$B$3:$P$33,$A19,0)</f>
        <v>0</v>
      </c>
      <c r="H19" s="613">
        <f>HLOOKUP(H$3,'RV 2019'!$B$3:$P$33,$A19,0)</f>
        <v>0</v>
      </c>
      <c r="I19" s="613">
        <f>HLOOKUP(I$3,'RV 2019'!$B$3:$P$33,$A19,0)</f>
        <v>0</v>
      </c>
      <c r="J19" s="608">
        <f>SUMPRODUCT($E$7:$I$7,$E19:$I19)</f>
        <v>2403200</v>
      </c>
    </row>
    <row r="20" spans="1:10" ht="12.5" customHeight="1" x14ac:dyDescent="0.25">
      <c r="A20" s="48">
        <v>18</v>
      </c>
      <c r="B20" s="1098" t="s">
        <v>197</v>
      </c>
      <c r="C20" s="1090" t="s">
        <v>164</v>
      </c>
      <c r="D20" s="1092"/>
      <c r="E20" s="153">
        <f>HLOOKUP(E$3,'RV 2019'!$B$3:$P$33,$A20,0)</f>
        <v>0.1</v>
      </c>
      <c r="F20" s="153">
        <f>HLOOKUP(F$3,'RV 2019'!$B$3:$P$33,$A20,0)</f>
        <v>0.1</v>
      </c>
      <c r="G20" s="153">
        <f>HLOOKUP(G$3,'RV 2019'!$B$3:$P$33,$A20,0)</f>
        <v>0.1</v>
      </c>
      <c r="H20" s="153">
        <f>HLOOKUP(H$3,'RV 2019'!$B$3:$P$33,$A20,0)</f>
        <v>0.1</v>
      </c>
      <c r="I20" s="153">
        <f>HLOOKUP(I$3,'RV 2019'!$B$3:$P$33,$A20,0)</f>
        <v>0.1</v>
      </c>
      <c r="J20" s="1034"/>
    </row>
    <row r="21" spans="1:10" ht="12.5" customHeight="1" x14ac:dyDescent="0.25">
      <c r="A21" s="48">
        <v>19</v>
      </c>
      <c r="B21" s="1099"/>
      <c r="C21" s="1090" t="s">
        <v>169</v>
      </c>
      <c r="D21" s="1091"/>
      <c r="E21" s="151">
        <f>HLOOKUP(E$3,'RV 2019'!$B$3:$P$33,$A21,0)</f>
        <v>24032000</v>
      </c>
      <c r="F21" s="151">
        <f>HLOOKUP(F$3,'RV 2019'!$B$3:$P$33,$A21,0)</f>
        <v>24032000</v>
      </c>
      <c r="G21" s="151">
        <f>HLOOKUP(G$3,'RV 2019'!$B$3:$P$33,$A21,0)</f>
        <v>24032000</v>
      </c>
      <c r="H21" s="151">
        <f>HLOOKUP(H$3,'RV 2019'!$B$3:$P$33,$A21,0)</f>
        <v>24032000</v>
      </c>
      <c r="I21" s="151">
        <f>HLOOKUP(I$3,'RV 2019'!$B$3:$P$33,$A21,0)</f>
        <v>24032000</v>
      </c>
      <c r="J21" s="1035"/>
    </row>
    <row r="22" spans="1:10" ht="12.5" customHeight="1" x14ac:dyDescent="0.25">
      <c r="A22" s="48">
        <v>20</v>
      </c>
      <c r="B22" s="1099"/>
      <c r="C22" s="1090" t="s">
        <v>170</v>
      </c>
      <c r="D22" s="1091"/>
      <c r="E22" s="151">
        <f>HLOOKUP(E$3,'RV 2019'!$B$3:$P$33,$A22,0)</f>
        <v>147195999</v>
      </c>
      <c r="F22" s="151">
        <f>HLOOKUP(F$3,'RV 2019'!$B$3:$P$33,$A22,0)</f>
        <v>147195999</v>
      </c>
      <c r="G22" s="151">
        <f>HLOOKUP(G$3,'RV 2019'!$B$3:$P$33,$A22,0)</f>
        <v>147195999</v>
      </c>
      <c r="H22" s="151">
        <f>HLOOKUP(H$3,'RV 2019'!$B$3:$P$33,$A22,0)</f>
        <v>147195999</v>
      </c>
      <c r="I22" s="151">
        <f>HLOOKUP(I$3,'RV 2019'!$B$3:$P$33,$A22,0)</f>
        <v>147195999</v>
      </c>
      <c r="J22" s="1035"/>
    </row>
    <row r="23" spans="1:10" ht="12.5" customHeight="1" x14ac:dyDescent="0.25">
      <c r="A23" s="48">
        <v>21</v>
      </c>
      <c r="B23" s="1099"/>
      <c r="C23" s="1090" t="s">
        <v>171</v>
      </c>
      <c r="D23" s="1091"/>
      <c r="E23" s="151">
        <f>HLOOKUP(E$3,'RV 2019'!$B$3:$P$33,$A23,0)</f>
        <v>8787820.8358208947</v>
      </c>
      <c r="F23" s="151">
        <f>HLOOKUP(F$3,'RV 2019'!$B$3:$P$33,$A23,0)</f>
        <v>17575641.671641789</v>
      </c>
      <c r="G23" s="151">
        <f>HLOOKUP(G$3,'RV 2019'!$B$3:$P$33,$A23,0)</f>
        <v>17136250.629850745</v>
      </c>
      <c r="H23" s="151">
        <f>HLOOKUP(H$3,'RV 2019'!$B$3:$P$33,$A23,0)</f>
        <v>0</v>
      </c>
      <c r="I23" s="151">
        <f>HLOOKUP(I$3,'RV 2019'!$B$3:$P$33,$A23,0)</f>
        <v>0</v>
      </c>
      <c r="J23" s="1036"/>
    </row>
    <row r="24" spans="1:10" x14ac:dyDescent="0.25">
      <c r="A24" s="48">
        <v>22</v>
      </c>
      <c r="B24" s="1100"/>
      <c r="C24" s="1090" t="s">
        <v>160</v>
      </c>
      <c r="D24" s="1091"/>
      <c r="E24" s="613">
        <f>HLOOKUP(E$3,'RV 2019'!$B$3:$P$33,$A24,0)</f>
        <v>878782.08358208952</v>
      </c>
      <c r="F24" s="613">
        <f>HLOOKUP(F$3,'RV 2019'!$B$3:$P$33,$A24,0)</f>
        <v>1757564.167164179</v>
      </c>
      <c r="G24" s="613">
        <f>HLOOKUP(G$3,'RV 2019'!$B$3:$P$33,$A24,0)</f>
        <v>1713625.0629850747</v>
      </c>
      <c r="H24" s="613">
        <f>HLOOKUP(H$3,'RV 2019'!$B$3:$P$33,$A24,0)</f>
        <v>0</v>
      </c>
      <c r="I24" s="613">
        <f>HLOOKUP(I$3,'RV 2019'!$B$3:$P$33,$A24,0)</f>
        <v>0</v>
      </c>
      <c r="J24" s="608">
        <f t="shared" ref="J24:J25" si="0">SUMPRODUCT($E$7:$I$7,$E24:$I24)</f>
        <v>14719599.899999999</v>
      </c>
    </row>
    <row r="25" spans="1:10" x14ac:dyDescent="0.25">
      <c r="A25" s="48">
        <v>23</v>
      </c>
      <c r="B25" s="1093" t="s">
        <v>198</v>
      </c>
      <c r="C25" s="1094"/>
      <c r="D25" s="1095"/>
      <c r="E25" s="160">
        <f>HLOOKUP(E$3,'RV 2019'!$B$3:$P$33,$A25,0)</f>
        <v>3281982.0835820893</v>
      </c>
      <c r="F25" s="160">
        <f>HLOOKUP(F$3,'RV 2019'!$B$3:$P$33,$A25,0)</f>
        <v>1757564.167164179</v>
      </c>
      <c r="G25" s="160">
        <f>HLOOKUP(G$3,'RV 2019'!$B$3:$P$33,$A25,0)</f>
        <v>1713625.0629850747</v>
      </c>
      <c r="H25" s="160">
        <f>HLOOKUP(H$3,'RV 2019'!$B$3:$P$33,$A25,0)</f>
        <v>0</v>
      </c>
      <c r="I25" s="160">
        <f>HLOOKUP(I$3,'RV 2019'!$B$3:$P$33,$A25,0)</f>
        <v>0</v>
      </c>
      <c r="J25" s="152">
        <f t="shared" si="0"/>
        <v>17122799.899999999</v>
      </c>
    </row>
    <row r="26" spans="1:10" x14ac:dyDescent="0.25">
      <c r="A26" s="48">
        <v>24</v>
      </c>
      <c r="B26" s="1086" t="s">
        <v>172</v>
      </c>
      <c r="C26" s="1090" t="s">
        <v>164</v>
      </c>
      <c r="D26" s="1091"/>
      <c r="E26" s="155">
        <f>HLOOKUP(E$3,'RV 2019'!$B$3:$P$33,$A26,0)</f>
        <v>0.05</v>
      </c>
      <c r="F26" s="155">
        <f>HLOOKUP(F$3,'RV 2019'!$B$3:$P$33,$A26,0)</f>
        <v>0</v>
      </c>
      <c r="G26" s="155">
        <f>HLOOKUP(G$3,'RV 2019'!$B$3:$P$33,$A26,0)</f>
        <v>0</v>
      </c>
      <c r="H26" s="155">
        <f>HLOOKUP(H$3,'RV 2019'!$B$3:$P$33,$A26,0)</f>
        <v>1.4999999999999999E-2</v>
      </c>
      <c r="I26" s="186">
        <f>HLOOKUP(I$3,'RV 2019'!$B$3:$P$33,$A26,0)</f>
        <v>7.4999999999999997E-3</v>
      </c>
      <c r="J26" s="1034"/>
    </row>
    <row r="27" spans="1:10" ht="12.5" customHeight="1" x14ac:dyDescent="0.25">
      <c r="A27" s="48">
        <v>25</v>
      </c>
      <c r="B27" s="1087"/>
      <c r="C27" s="1090" t="s">
        <v>173</v>
      </c>
      <c r="D27" s="1091"/>
      <c r="E27" s="156">
        <f>HLOOKUP(E$3,'RV 2019'!$B$3:$P$33,$A27,0)</f>
        <v>171227999</v>
      </c>
      <c r="F27" s="156">
        <f>HLOOKUP(F$3,'RV 2019'!$B$3:$P$33,$A27,0)</f>
        <v>171227999</v>
      </c>
      <c r="G27" s="156">
        <f>HLOOKUP(G$3,'RV 2019'!$B$3:$P$33,$A27,0)</f>
        <v>171227999</v>
      </c>
      <c r="H27" s="156">
        <f>HLOOKUP(H$3,'RV 2019'!$B$3:$P$33,$A27,0)</f>
        <v>171227999</v>
      </c>
      <c r="I27" s="156">
        <f>HLOOKUP(I$3,'RV 2019'!$B$3:$P$33,$A27,0)</f>
        <v>171227999</v>
      </c>
      <c r="J27" s="1036"/>
    </row>
    <row r="28" spans="1:10" ht="12.5" customHeight="1" x14ac:dyDescent="0.25">
      <c r="A28" s="48">
        <v>26</v>
      </c>
      <c r="B28" s="1088"/>
      <c r="C28" s="1090" t="s">
        <v>160</v>
      </c>
      <c r="D28" s="1091"/>
      <c r="E28" s="614">
        <f>HLOOKUP(E$3,'RV 2019'!$B$3:$P$33,$A28,0)</f>
        <v>8561399.9500000011</v>
      </c>
      <c r="F28" s="614">
        <f>HLOOKUP(F$3,'RV 2019'!$B$3:$P$33,$A28,0)</f>
        <v>0</v>
      </c>
      <c r="G28" s="614">
        <f>HLOOKUP(G$3,'RV 2019'!$B$3:$P$33,$A28,0)</f>
        <v>0</v>
      </c>
      <c r="H28" s="614">
        <f>HLOOKUP(H$3,'RV 2019'!$B$3:$P$33,$A28,0)</f>
        <v>2568419.9849999999</v>
      </c>
      <c r="I28" s="614">
        <f>HLOOKUP(I$3,'RV 2019'!$B$3:$P$33,$A28,0)</f>
        <v>1284209.9924999999</v>
      </c>
      <c r="J28" s="608">
        <f t="shared" ref="J28:J29" si="1">SUMPRODUCT($E$7:$I$7,$E28:$I28)</f>
        <v>12414029.9275</v>
      </c>
    </row>
    <row r="29" spans="1:10" x14ac:dyDescent="0.25">
      <c r="A29" s="48">
        <v>27</v>
      </c>
      <c r="B29" s="1082" t="s">
        <v>161</v>
      </c>
      <c r="C29" s="1101"/>
      <c r="D29" s="1102"/>
      <c r="E29" s="160">
        <f>HLOOKUP(E$3,'RV 2019'!$B$3:$P$33,$A29,0)</f>
        <v>12865639.033582091</v>
      </c>
      <c r="F29" s="160">
        <f>HLOOKUP(F$3,'RV 2019'!$B$3:$P$33,$A29,0)</f>
        <v>4344591.1671641786</v>
      </c>
      <c r="G29" s="160">
        <f>HLOOKUP(G$3,'RV 2019'!$B$3:$P$33,$A29,0)</f>
        <v>4198426.0629850747</v>
      </c>
      <c r="H29" s="160">
        <f>HLOOKUP(H$3,'RV 2019'!$B$3:$P$33,$A29,0)</f>
        <v>2568419.9849999999</v>
      </c>
      <c r="I29" s="160">
        <f>HLOOKUP(I$3,'RV 2019'!$B$3:$P$33,$A29,0)</f>
        <v>1284209.9924999999</v>
      </c>
      <c r="J29" s="152">
        <f t="shared" si="1"/>
        <v>50744172.827500001</v>
      </c>
    </row>
    <row r="30" spans="1:10" ht="12.5" customHeight="1" x14ac:dyDescent="0.25">
      <c r="A30" s="48">
        <v>28</v>
      </c>
      <c r="B30" s="1103" t="s">
        <v>205</v>
      </c>
      <c r="C30" s="1090" t="s">
        <v>237</v>
      </c>
      <c r="D30" s="1091"/>
      <c r="E30" s="158">
        <f>HLOOKUP(E$3,'RV 2019'!$B$3:$P$33,$A30,0)</f>
        <v>0.17666666666666667</v>
      </c>
      <c r="F30" s="158">
        <f>HLOOKUP(F$3,'RV 2019'!$B$3:$P$33,$A30,0)</f>
        <v>0.17666666666666667</v>
      </c>
      <c r="G30" s="158">
        <f>HLOOKUP(G$3,'RV 2019'!$B$3:$P$33,$A30,0)</f>
        <v>0.17666666666666667</v>
      </c>
      <c r="H30" s="158">
        <f>HLOOKUP(H$3,'RV 2019'!$B$3:$P$33,$A30,0)</f>
        <v>0.17666666666666667</v>
      </c>
      <c r="I30" s="158">
        <f>HLOOKUP(I$3,'RV 2019'!$B$3:$P$33,$A30,0)</f>
        <v>0.17666666666666667</v>
      </c>
      <c r="J30" s="152"/>
    </row>
    <row r="31" spans="1:10" ht="12.5" customHeight="1" x14ac:dyDescent="0.25">
      <c r="A31" s="48">
        <v>29</v>
      </c>
      <c r="B31" s="1104"/>
      <c r="C31" s="1090" t="s">
        <v>238</v>
      </c>
      <c r="D31" s="1091"/>
      <c r="E31" s="158">
        <f>HLOOKUP(E$3,'RV 2019'!$B$3:$P$33,$A31,0)</f>
        <v>0</v>
      </c>
      <c r="F31" s="158">
        <f>HLOOKUP(F$3,'RV 2019'!$B$3:$P$33,$A31,0)</f>
        <v>0</v>
      </c>
      <c r="G31" s="158">
        <f>HLOOKUP(G$3,'RV 2019'!$B$3:$P$33,$A31,0)</f>
        <v>0.21500000000000002</v>
      </c>
      <c r="H31" s="158">
        <f>HLOOKUP(H$3,'RV 2019'!$B$3:$P$33,$A31,0)</f>
        <v>0</v>
      </c>
      <c r="I31" s="158">
        <f>HLOOKUP(I$3,'RV 2019'!$B$3:$P$33,$A31,0)</f>
        <v>0</v>
      </c>
      <c r="J31" s="152"/>
    </row>
    <row r="32" spans="1:10" ht="12.5" customHeight="1" x14ac:dyDescent="0.25">
      <c r="A32" s="48">
        <v>30</v>
      </c>
      <c r="B32" s="1105"/>
      <c r="C32" s="1090" t="s">
        <v>239</v>
      </c>
      <c r="D32" s="1091"/>
      <c r="E32" s="158">
        <f>HLOOKUP(E$3,'RV 2019'!$B$3:$P$33,$A32,0)</f>
        <v>0.17666666666666667</v>
      </c>
      <c r="F32" s="158">
        <f>HLOOKUP(F$3,'RV 2019'!$B$3:$P$33,$A32,0)</f>
        <v>0.17666666666666667</v>
      </c>
      <c r="G32" s="158">
        <f>HLOOKUP(G$3,'RV 2019'!$B$3:$P$33,$A32,0)</f>
        <v>0.39166666666666672</v>
      </c>
      <c r="H32" s="158">
        <f>HLOOKUP(H$3,'RV 2019'!$B$3:$P$33,$A32,0)</f>
        <v>0.17666666666666667</v>
      </c>
      <c r="I32" s="158">
        <f>HLOOKUP(I$3,'RV 2019'!$B$3:$P$33,$A32,0)</f>
        <v>0.17666666666666667</v>
      </c>
      <c r="J32" s="149"/>
    </row>
    <row r="33" spans="1:10" ht="13" thickBot="1" x14ac:dyDescent="0.3">
      <c r="A33" s="48">
        <v>31</v>
      </c>
      <c r="B33" s="1106" t="s">
        <v>174</v>
      </c>
      <c r="C33" s="1107"/>
      <c r="D33" s="1108"/>
      <c r="E33" s="162">
        <f>HLOOKUP(E$3,'RV 2019'!$B$3:$P$33,$A33,0)</f>
        <v>15138568.6</v>
      </c>
      <c r="F33" s="162">
        <f>HLOOKUP(F$3,'RV 2019'!$B$3:$P$33,$A33,0)</f>
        <v>5112135.5999999996</v>
      </c>
      <c r="G33" s="162">
        <f>HLOOKUP(G$3,'RV 2019'!$B$3:$P$33,$A33,0)</f>
        <v>5842809.5999999996</v>
      </c>
      <c r="H33" s="162">
        <f>HLOOKUP(H$3,'RV 2019'!$B$3:$P$33,$A33,0)</f>
        <v>3022174.2</v>
      </c>
      <c r="I33" s="162">
        <f>HLOOKUP(I$3,'RV 2019'!$B$3:$P$33,$A33,0)</f>
        <v>1511087.1</v>
      </c>
      <c r="J33" s="159">
        <f>SUMPRODUCT($E$7:$I$7,$E33:$I33)</f>
        <v>64222284.700000003</v>
      </c>
    </row>
    <row r="34" spans="1:10" x14ac:dyDescent="0.25">
      <c r="J34" s="606">
        <f>J33-'RV 2019'!P33</f>
        <v>0</v>
      </c>
    </row>
  </sheetData>
  <mergeCells count="36">
    <mergeCell ref="B30:B32"/>
    <mergeCell ref="C30:D30"/>
    <mergeCell ref="C31:D31"/>
    <mergeCell ref="C32:D32"/>
    <mergeCell ref="B33:D33"/>
    <mergeCell ref="B29:D29"/>
    <mergeCell ref="J20:J23"/>
    <mergeCell ref="C21:D21"/>
    <mergeCell ref="C22:D22"/>
    <mergeCell ref="C23:D23"/>
    <mergeCell ref="C24:D24"/>
    <mergeCell ref="B25:D25"/>
    <mergeCell ref="B26:B28"/>
    <mergeCell ref="C26:D26"/>
    <mergeCell ref="J26:J27"/>
    <mergeCell ref="C27:D27"/>
    <mergeCell ref="C28:D28"/>
    <mergeCell ref="B17:D17"/>
    <mergeCell ref="B18:B19"/>
    <mergeCell ref="C18:D18"/>
    <mergeCell ref="C19:D19"/>
    <mergeCell ref="B20:B24"/>
    <mergeCell ref="C20:D20"/>
    <mergeCell ref="B11:B14"/>
    <mergeCell ref="J11:J13"/>
    <mergeCell ref="C12:C13"/>
    <mergeCell ref="C14:D14"/>
    <mergeCell ref="B15:B16"/>
    <mergeCell ref="C15:D15"/>
    <mergeCell ref="C16:D16"/>
    <mergeCell ref="B10:D10"/>
    <mergeCell ref="B4:J4"/>
    <mergeCell ref="B6:D6"/>
    <mergeCell ref="B7:D7"/>
    <mergeCell ref="B8:D8"/>
    <mergeCell ref="B9:D9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3:T16"/>
  <sheetViews>
    <sheetView showGridLines="0" workbookViewId="0">
      <pane xSplit="1" ySplit="4" topLeftCell="B5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1" x14ac:dyDescent="0.35"/>
  <cols>
    <col min="1" max="1" width="36.08984375" customWidth="1" outlineLevel="1"/>
    <col min="2" max="2" width="8.90625" customWidth="1" outlineLevel="1"/>
    <col min="3" max="3" width="12.453125" bestFit="1" customWidth="1" outlineLevel="1"/>
    <col min="4" max="4" width="14" bestFit="1" customWidth="1"/>
  </cols>
  <sheetData>
    <row r="3" spans="1:20" ht="15" thickBot="1" x14ac:dyDescent="0.4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x14ac:dyDescent="0.35">
      <c r="A4" s="663" t="s">
        <v>57</v>
      </c>
      <c r="B4" s="663" t="s">
        <v>58</v>
      </c>
      <c r="C4" s="663" t="s">
        <v>59</v>
      </c>
      <c r="D4" s="664" t="s">
        <v>86</v>
      </c>
    </row>
    <row r="5" spans="1:20" x14ac:dyDescent="0.35">
      <c r="A5" s="734" t="s">
        <v>78</v>
      </c>
      <c r="B5" s="666">
        <v>1</v>
      </c>
      <c r="C5" s="667">
        <v>5000000</v>
      </c>
      <c r="D5" s="668">
        <f>B5*C5</f>
        <v>5000000</v>
      </c>
    </row>
    <row r="6" spans="1:20" x14ac:dyDescent="0.35">
      <c r="A6" s="735" t="s">
        <v>79</v>
      </c>
      <c r="B6" s="666">
        <v>1</v>
      </c>
      <c r="C6" s="670">
        <v>1000000</v>
      </c>
      <c r="D6" s="668">
        <f t="shared" ref="D6:D12" si="0">B6*C6</f>
        <v>1000000</v>
      </c>
    </row>
    <row r="7" spans="1:20" x14ac:dyDescent="0.35">
      <c r="A7" s="735" t="s">
        <v>82</v>
      </c>
      <c r="B7" s="666">
        <v>1</v>
      </c>
      <c r="C7" s="670">
        <f>150000</f>
        <v>150000</v>
      </c>
      <c r="D7" s="668">
        <f t="shared" si="0"/>
        <v>150000</v>
      </c>
    </row>
    <row r="8" spans="1:20" x14ac:dyDescent="0.35">
      <c r="A8" s="735" t="s">
        <v>83</v>
      </c>
      <c r="B8" s="666">
        <v>9</v>
      </c>
      <c r="C8" s="670">
        <v>50000</v>
      </c>
      <c r="D8" s="668">
        <f t="shared" si="0"/>
        <v>450000</v>
      </c>
    </row>
    <row r="9" spans="1:20" x14ac:dyDescent="0.35">
      <c r="A9" s="735" t="s">
        <v>80</v>
      </c>
      <c r="B9" s="666">
        <v>1</v>
      </c>
      <c r="C9" s="670">
        <v>350000</v>
      </c>
      <c r="D9" s="668">
        <f t="shared" si="0"/>
        <v>350000</v>
      </c>
    </row>
    <row r="10" spans="1:20" x14ac:dyDescent="0.35">
      <c r="A10" s="735" t="s">
        <v>81</v>
      </c>
      <c r="B10" s="666">
        <v>11</v>
      </c>
      <c r="C10" s="670">
        <v>75000</v>
      </c>
      <c r="D10" s="668">
        <f t="shared" si="0"/>
        <v>825000</v>
      </c>
    </row>
    <row r="11" spans="1:20" x14ac:dyDescent="0.35">
      <c r="A11" s="735" t="s">
        <v>84</v>
      </c>
      <c r="B11" s="666">
        <v>1</v>
      </c>
      <c r="C11" s="670">
        <v>800000</v>
      </c>
      <c r="D11" s="668">
        <f t="shared" si="0"/>
        <v>800000</v>
      </c>
    </row>
    <row r="12" spans="1:20" x14ac:dyDescent="0.35">
      <c r="A12" s="735" t="s">
        <v>85</v>
      </c>
      <c r="B12" s="666">
        <v>1</v>
      </c>
      <c r="C12" s="670">
        <v>300000</v>
      </c>
      <c r="D12" s="668">
        <f t="shared" si="0"/>
        <v>300000</v>
      </c>
    </row>
    <row r="13" spans="1:20" x14ac:dyDescent="0.35">
      <c r="A13" s="735" t="s">
        <v>256</v>
      </c>
      <c r="B13" s="666">
        <v>1</v>
      </c>
      <c r="C13" s="670">
        <v>500000</v>
      </c>
      <c r="D13" s="668">
        <f t="shared" ref="D13:D15" si="1">B13*C13</f>
        <v>500000</v>
      </c>
    </row>
    <row r="14" spans="1:20" x14ac:dyDescent="0.35">
      <c r="A14" s="735" t="s">
        <v>257</v>
      </c>
      <c r="B14" s="666">
        <v>1</v>
      </c>
      <c r="C14" s="670">
        <v>616000</v>
      </c>
      <c r="D14" s="668">
        <f t="shared" si="1"/>
        <v>616000</v>
      </c>
    </row>
    <row r="15" spans="1:20" x14ac:dyDescent="0.35">
      <c r="A15" s="735" t="s">
        <v>182</v>
      </c>
      <c r="B15" s="666">
        <v>1</v>
      </c>
      <c r="C15" s="670">
        <v>1500000</v>
      </c>
      <c r="D15" s="668">
        <f t="shared" si="1"/>
        <v>1500000</v>
      </c>
      <c r="E15" t="s">
        <v>258</v>
      </c>
    </row>
    <row r="16" spans="1:20" ht="15" thickBot="1" x14ac:dyDescent="0.4">
      <c r="A16" s="671" t="s">
        <v>88</v>
      </c>
      <c r="B16" s="672"/>
      <c r="C16" s="673"/>
      <c r="D16" s="674">
        <f>SUM(D5:D15)</f>
        <v>11491000</v>
      </c>
      <c r="E16" t="s">
        <v>259</v>
      </c>
    </row>
  </sheetData>
  <printOptions horizontalCentered="1" verticalCentered="1"/>
  <pageMargins left="0.31496062992125984" right="0.11811023622047245" top="0.15748031496062992" bottom="0.35433070866141736" header="0.31496062992125984" footer="0.31496062992125984"/>
  <pageSetup scale="60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BF8F"/>
  </sheetPr>
  <dimension ref="A3:R17"/>
  <sheetViews>
    <sheetView showGridLines="0" workbookViewId="0">
      <pane xSplit="1" ySplit="4" topLeftCell="B5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outlineLevelCol="1" x14ac:dyDescent="0.35"/>
  <cols>
    <col min="1" max="1" width="36.08984375" customWidth="1" outlineLevel="1"/>
    <col min="2" max="2" width="14" bestFit="1" customWidth="1"/>
  </cols>
  <sheetData>
    <row r="3" spans="1:18" ht="15" thickBot="1" x14ac:dyDescent="0.4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35">
      <c r="A4" s="663" t="s">
        <v>57</v>
      </c>
      <c r="B4" s="664">
        <v>2015</v>
      </c>
      <c r="C4" s="664">
        <f>B4+1</f>
        <v>2016</v>
      </c>
      <c r="D4" s="664">
        <f t="shared" ref="D4:F4" si="0">C4+1</f>
        <v>2017</v>
      </c>
      <c r="E4" s="664">
        <f t="shared" si="0"/>
        <v>2018</v>
      </c>
      <c r="F4" s="664">
        <f t="shared" si="0"/>
        <v>2019</v>
      </c>
    </row>
    <row r="5" spans="1:18" ht="16.5" x14ac:dyDescent="0.35">
      <c r="A5" s="736" t="s">
        <v>87</v>
      </c>
      <c r="B5" s="737" t="s">
        <v>45</v>
      </c>
      <c r="C5" s="738">
        <v>0.03</v>
      </c>
      <c r="D5" s="738">
        <v>0.03</v>
      </c>
      <c r="E5" s="738">
        <v>0.03</v>
      </c>
      <c r="F5" s="738">
        <v>0.03</v>
      </c>
    </row>
    <row r="6" spans="1:18" x14ac:dyDescent="0.35">
      <c r="A6" s="734" t="s">
        <v>78</v>
      </c>
      <c r="B6" s="739">
        <f>VLOOKUP($A6,'Gastos Grales'!$A$5:$D$16,4,0)</f>
        <v>5000000</v>
      </c>
      <c r="C6" s="739">
        <f>ROUND(B6*(1+C$5),-3)</f>
        <v>5150000</v>
      </c>
      <c r="D6" s="739">
        <f>IF(Variables!$B$51=1,0,ROUND(C6*(1+D$5),-3))</f>
        <v>5305000</v>
      </c>
      <c r="E6" s="739">
        <f t="shared" ref="E6:F6" si="1">ROUND(D6*(1+E$5),-3)</f>
        <v>5464000</v>
      </c>
      <c r="F6" s="739">
        <f t="shared" si="1"/>
        <v>5628000</v>
      </c>
    </row>
    <row r="7" spans="1:18" x14ac:dyDescent="0.35">
      <c r="A7" s="735" t="s">
        <v>79</v>
      </c>
      <c r="B7" s="739">
        <f>VLOOKUP($A7,'Gastos Grales'!$A$5:$D$16,4,0)</f>
        <v>1000000</v>
      </c>
      <c r="C7" s="739">
        <f t="shared" ref="C7:F7" si="2">ROUND(B7*(1+C$5),-3)</f>
        <v>1030000</v>
      </c>
      <c r="D7" s="739">
        <f t="shared" si="2"/>
        <v>1061000</v>
      </c>
      <c r="E7" s="739">
        <f t="shared" si="2"/>
        <v>1093000</v>
      </c>
      <c r="F7" s="739">
        <f t="shared" si="2"/>
        <v>1126000</v>
      </c>
    </row>
    <row r="8" spans="1:18" x14ac:dyDescent="0.35">
      <c r="A8" s="735" t="s">
        <v>82</v>
      </c>
      <c r="B8" s="739">
        <f>VLOOKUP($A8,'Gastos Grales'!$A$5:$D$16,4,0)</f>
        <v>150000</v>
      </c>
      <c r="C8" s="739">
        <f t="shared" ref="C8:F8" si="3">ROUND(B8*(1+C$5),-3)</f>
        <v>155000</v>
      </c>
      <c r="D8" s="739">
        <f t="shared" si="3"/>
        <v>160000</v>
      </c>
      <c r="E8" s="739">
        <f t="shared" si="3"/>
        <v>165000</v>
      </c>
      <c r="F8" s="739">
        <f t="shared" si="3"/>
        <v>170000</v>
      </c>
    </row>
    <row r="9" spans="1:18" x14ac:dyDescent="0.35">
      <c r="A9" s="735" t="s">
        <v>83</v>
      </c>
      <c r="B9" s="739">
        <f>VLOOKUP($A9,'Gastos Grales'!$A$5:$D$16,4,0)</f>
        <v>450000</v>
      </c>
      <c r="C9" s="739">
        <f t="shared" ref="C9:F9" si="4">ROUND(B9*(1+C$5),-3)</f>
        <v>464000</v>
      </c>
      <c r="D9" s="739">
        <f t="shared" si="4"/>
        <v>478000</v>
      </c>
      <c r="E9" s="739">
        <f t="shared" si="4"/>
        <v>492000</v>
      </c>
      <c r="F9" s="739">
        <f t="shared" si="4"/>
        <v>507000</v>
      </c>
    </row>
    <row r="10" spans="1:18" x14ac:dyDescent="0.35">
      <c r="A10" s="735" t="s">
        <v>80</v>
      </c>
      <c r="B10" s="739">
        <f>VLOOKUP($A10,'Gastos Grales'!$A$5:$D$16,4,0)</f>
        <v>350000</v>
      </c>
      <c r="C10" s="739">
        <f t="shared" ref="C10:F10" si="5">ROUND(B10*(1+C$5),-3)</f>
        <v>361000</v>
      </c>
      <c r="D10" s="739">
        <f t="shared" si="5"/>
        <v>372000</v>
      </c>
      <c r="E10" s="739">
        <f t="shared" si="5"/>
        <v>383000</v>
      </c>
      <c r="F10" s="739">
        <f t="shared" si="5"/>
        <v>394000</v>
      </c>
    </row>
    <row r="11" spans="1:18" x14ac:dyDescent="0.35">
      <c r="A11" s="735" t="s">
        <v>81</v>
      </c>
      <c r="B11" s="739">
        <f>VLOOKUP($A11,'Gastos Grales'!$A$5:$D$16,4,0)</f>
        <v>825000</v>
      </c>
      <c r="C11" s="739">
        <f t="shared" ref="C11:F11" si="6">ROUND(B11*(1+C$5),-3)</f>
        <v>850000</v>
      </c>
      <c r="D11" s="739">
        <f t="shared" si="6"/>
        <v>876000</v>
      </c>
      <c r="E11" s="739">
        <f t="shared" si="6"/>
        <v>902000</v>
      </c>
      <c r="F11" s="739">
        <f t="shared" si="6"/>
        <v>929000</v>
      </c>
    </row>
    <row r="12" spans="1:18" x14ac:dyDescent="0.35">
      <c r="A12" s="735" t="s">
        <v>84</v>
      </c>
      <c r="B12" s="739">
        <f>VLOOKUP($A12,'Gastos Grales'!$A$5:$D$16,4,0)</f>
        <v>800000</v>
      </c>
      <c r="C12" s="739">
        <f t="shared" ref="C12:F12" si="7">ROUND(B12*(1+C$5),-3)</f>
        <v>824000</v>
      </c>
      <c r="D12" s="739">
        <f t="shared" si="7"/>
        <v>849000</v>
      </c>
      <c r="E12" s="739">
        <f t="shared" si="7"/>
        <v>874000</v>
      </c>
      <c r="F12" s="739">
        <f t="shared" si="7"/>
        <v>900000</v>
      </c>
    </row>
    <row r="13" spans="1:18" x14ac:dyDescent="0.35">
      <c r="A13" s="735" t="s">
        <v>85</v>
      </c>
      <c r="B13" s="739">
        <f>VLOOKUP($A13,'Gastos Grales'!$A$5:$D$16,4,0)</f>
        <v>300000</v>
      </c>
      <c r="C13" s="739">
        <f t="shared" ref="C13:F13" si="8">ROUND(B13*(1+C$5),-3)</f>
        <v>309000</v>
      </c>
      <c r="D13" s="739">
        <f t="shared" si="8"/>
        <v>318000</v>
      </c>
      <c r="E13" s="739">
        <f t="shared" si="8"/>
        <v>328000</v>
      </c>
      <c r="F13" s="739">
        <f t="shared" si="8"/>
        <v>338000</v>
      </c>
    </row>
    <row r="14" spans="1:18" x14ac:dyDescent="0.35">
      <c r="A14" s="735" t="s">
        <v>256</v>
      </c>
      <c r="B14" s="739">
        <f>VLOOKUP($A14,'Gastos Grales'!$A$5:$D$16,4,0)</f>
        <v>500000</v>
      </c>
      <c r="C14" s="739">
        <f t="shared" ref="C14:C16" si="9">ROUND(B14*(1+C$5),-3)</f>
        <v>515000</v>
      </c>
      <c r="D14" s="739">
        <f t="shared" ref="D14:D16" si="10">ROUND(C14*(1+D$5),-3)</f>
        <v>530000</v>
      </c>
      <c r="E14" s="739">
        <f t="shared" ref="E14:E16" si="11">ROUND(D14*(1+E$5),-3)</f>
        <v>546000</v>
      </c>
      <c r="F14" s="739">
        <f t="shared" ref="F14:F16" si="12">ROUND(E14*(1+F$5),-3)</f>
        <v>562000</v>
      </c>
    </row>
    <row r="15" spans="1:18" x14ac:dyDescent="0.35">
      <c r="A15" s="735" t="s">
        <v>257</v>
      </c>
      <c r="B15" s="739">
        <f>VLOOKUP($A15,'Gastos Grales'!$A$5:$D$16,4,0)</f>
        <v>616000</v>
      </c>
      <c r="C15" s="739">
        <f t="shared" si="9"/>
        <v>634000</v>
      </c>
      <c r="D15" s="739">
        <f t="shared" si="10"/>
        <v>653000</v>
      </c>
      <c r="E15" s="739">
        <f t="shared" si="11"/>
        <v>673000</v>
      </c>
      <c r="F15" s="739">
        <f t="shared" si="12"/>
        <v>693000</v>
      </c>
    </row>
    <row r="16" spans="1:18" x14ac:dyDescent="0.35">
      <c r="A16" s="735" t="s">
        <v>182</v>
      </c>
      <c r="B16" s="739">
        <f>VLOOKUP($A16,'Gastos Grales'!$A$5:$D$16,4,0)</f>
        <v>1500000</v>
      </c>
      <c r="C16" s="739">
        <f t="shared" si="9"/>
        <v>1545000</v>
      </c>
      <c r="D16" s="739">
        <f t="shared" si="10"/>
        <v>1591000</v>
      </c>
      <c r="E16" s="739">
        <f t="shared" si="11"/>
        <v>1639000</v>
      </c>
      <c r="F16" s="739">
        <f t="shared" si="12"/>
        <v>1688000</v>
      </c>
    </row>
    <row r="17" spans="1:6" ht="15" thickBot="1" x14ac:dyDescent="0.4">
      <c r="A17" s="671" t="s">
        <v>88</v>
      </c>
      <c r="B17" s="674">
        <f>SUM(B6:B16)</f>
        <v>11491000</v>
      </c>
      <c r="C17" s="674">
        <f t="shared" ref="C17:F17" si="13">SUM(C6:C16)</f>
        <v>11837000</v>
      </c>
      <c r="D17" s="674">
        <f t="shared" si="13"/>
        <v>12193000</v>
      </c>
      <c r="E17" s="674">
        <f t="shared" si="13"/>
        <v>12559000</v>
      </c>
      <c r="F17" s="674">
        <f t="shared" si="13"/>
        <v>12935000</v>
      </c>
    </row>
  </sheetData>
  <printOptions horizontalCentered="1" verticalCentered="1"/>
  <pageMargins left="0.31496062992125984" right="0.11811023622047245" top="0.15748031496062992" bottom="0.35433070866141736" header="0.31496062992125984" footer="0.31496062992125984"/>
  <pageSetup scale="60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BF8F"/>
  </sheetPr>
  <dimension ref="A3:H26"/>
  <sheetViews>
    <sheetView showGridLines="0"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20.6328125" style="47" customWidth="1"/>
    <col min="3" max="3" width="20.36328125" style="47" bestFit="1" customWidth="1"/>
    <col min="4" max="7" width="7.6328125" style="47" customWidth="1"/>
    <col min="8" max="8" width="8.08984375" style="48" bestFit="1" customWidth="1"/>
    <col min="9" max="250" width="11.453125" style="48"/>
    <col min="251" max="251" width="10" style="48" customWidth="1"/>
    <col min="252" max="252" width="50.54296875" style="48" customWidth="1"/>
    <col min="253" max="506" width="11.453125" style="48"/>
    <col min="507" max="507" width="10" style="48" customWidth="1"/>
    <col min="508" max="508" width="50.54296875" style="48" customWidth="1"/>
    <col min="509" max="762" width="11.453125" style="48"/>
    <col min="763" max="763" width="10" style="48" customWidth="1"/>
    <col min="764" max="764" width="50.54296875" style="48" customWidth="1"/>
    <col min="765" max="1018" width="11.453125" style="48"/>
    <col min="1019" max="1019" width="10" style="48" customWidth="1"/>
    <col min="1020" max="1020" width="50.54296875" style="48" customWidth="1"/>
    <col min="1021" max="1274" width="11.453125" style="48"/>
    <col min="1275" max="1275" width="10" style="48" customWidth="1"/>
    <col min="1276" max="1276" width="50.54296875" style="48" customWidth="1"/>
    <col min="1277" max="1530" width="11.453125" style="48"/>
    <col min="1531" max="1531" width="10" style="48" customWidth="1"/>
    <col min="1532" max="1532" width="50.54296875" style="48" customWidth="1"/>
    <col min="1533" max="1786" width="11.453125" style="48"/>
    <col min="1787" max="1787" width="10" style="48" customWidth="1"/>
    <col min="1788" max="1788" width="50.54296875" style="48" customWidth="1"/>
    <col min="1789" max="2042" width="11.453125" style="48"/>
    <col min="2043" max="2043" width="10" style="48" customWidth="1"/>
    <col min="2044" max="2044" width="50.54296875" style="48" customWidth="1"/>
    <col min="2045" max="2298" width="11.453125" style="48"/>
    <col min="2299" max="2299" width="10" style="48" customWidth="1"/>
    <col min="2300" max="2300" width="50.54296875" style="48" customWidth="1"/>
    <col min="2301" max="2554" width="11.453125" style="48"/>
    <col min="2555" max="2555" width="10" style="48" customWidth="1"/>
    <col min="2556" max="2556" width="50.54296875" style="48" customWidth="1"/>
    <col min="2557" max="2810" width="11.453125" style="48"/>
    <col min="2811" max="2811" width="10" style="48" customWidth="1"/>
    <col min="2812" max="2812" width="50.54296875" style="48" customWidth="1"/>
    <col min="2813" max="3066" width="11.453125" style="48"/>
    <col min="3067" max="3067" width="10" style="48" customWidth="1"/>
    <col min="3068" max="3068" width="50.54296875" style="48" customWidth="1"/>
    <col min="3069" max="3322" width="11.453125" style="48"/>
    <col min="3323" max="3323" width="10" style="48" customWidth="1"/>
    <col min="3324" max="3324" width="50.54296875" style="48" customWidth="1"/>
    <col min="3325" max="3578" width="11.453125" style="48"/>
    <col min="3579" max="3579" width="10" style="48" customWidth="1"/>
    <col min="3580" max="3580" width="50.54296875" style="48" customWidth="1"/>
    <col min="3581" max="3834" width="11.453125" style="48"/>
    <col min="3835" max="3835" width="10" style="48" customWidth="1"/>
    <col min="3836" max="3836" width="50.54296875" style="48" customWidth="1"/>
    <col min="3837" max="4090" width="11.453125" style="48"/>
    <col min="4091" max="4091" width="10" style="48" customWidth="1"/>
    <col min="4092" max="4092" width="50.54296875" style="48" customWidth="1"/>
    <col min="4093" max="4346" width="11.453125" style="48"/>
    <col min="4347" max="4347" width="10" style="48" customWidth="1"/>
    <col min="4348" max="4348" width="50.54296875" style="48" customWidth="1"/>
    <col min="4349" max="4602" width="11.453125" style="48"/>
    <col min="4603" max="4603" width="10" style="48" customWidth="1"/>
    <col min="4604" max="4604" width="50.54296875" style="48" customWidth="1"/>
    <col min="4605" max="4858" width="11.453125" style="48"/>
    <col min="4859" max="4859" width="10" style="48" customWidth="1"/>
    <col min="4860" max="4860" width="50.54296875" style="48" customWidth="1"/>
    <col min="4861" max="5114" width="11.453125" style="48"/>
    <col min="5115" max="5115" width="10" style="48" customWidth="1"/>
    <col min="5116" max="5116" width="50.54296875" style="48" customWidth="1"/>
    <col min="5117" max="5370" width="11.453125" style="48"/>
    <col min="5371" max="5371" width="10" style="48" customWidth="1"/>
    <col min="5372" max="5372" width="50.54296875" style="48" customWidth="1"/>
    <col min="5373" max="5626" width="11.453125" style="48"/>
    <col min="5627" max="5627" width="10" style="48" customWidth="1"/>
    <col min="5628" max="5628" width="50.54296875" style="48" customWidth="1"/>
    <col min="5629" max="5882" width="11.453125" style="48"/>
    <col min="5883" max="5883" width="10" style="48" customWidth="1"/>
    <col min="5884" max="5884" width="50.54296875" style="48" customWidth="1"/>
    <col min="5885" max="6138" width="11.453125" style="48"/>
    <col min="6139" max="6139" width="10" style="48" customWidth="1"/>
    <col min="6140" max="6140" width="50.54296875" style="48" customWidth="1"/>
    <col min="6141" max="6394" width="11.453125" style="48"/>
    <col min="6395" max="6395" width="10" style="48" customWidth="1"/>
    <col min="6396" max="6396" width="50.54296875" style="48" customWidth="1"/>
    <col min="6397" max="6650" width="11.453125" style="48"/>
    <col min="6651" max="6651" width="10" style="48" customWidth="1"/>
    <col min="6652" max="6652" width="50.54296875" style="48" customWidth="1"/>
    <col min="6653" max="6906" width="11.453125" style="48"/>
    <col min="6907" max="6907" width="10" style="48" customWidth="1"/>
    <col min="6908" max="6908" width="50.54296875" style="48" customWidth="1"/>
    <col min="6909" max="7162" width="11.453125" style="48"/>
    <col min="7163" max="7163" width="10" style="48" customWidth="1"/>
    <col min="7164" max="7164" width="50.54296875" style="48" customWidth="1"/>
    <col min="7165" max="7418" width="11.453125" style="48"/>
    <col min="7419" max="7419" width="10" style="48" customWidth="1"/>
    <col min="7420" max="7420" width="50.54296875" style="48" customWidth="1"/>
    <col min="7421" max="7674" width="11.453125" style="48"/>
    <col min="7675" max="7675" width="10" style="48" customWidth="1"/>
    <col min="7676" max="7676" width="50.54296875" style="48" customWidth="1"/>
    <col min="7677" max="7930" width="11.453125" style="48"/>
    <col min="7931" max="7931" width="10" style="48" customWidth="1"/>
    <col min="7932" max="7932" width="50.54296875" style="48" customWidth="1"/>
    <col min="7933" max="8186" width="11.453125" style="48"/>
    <col min="8187" max="8187" width="10" style="48" customWidth="1"/>
    <col min="8188" max="8188" width="50.54296875" style="48" customWidth="1"/>
    <col min="8189" max="8442" width="11.453125" style="48"/>
    <col min="8443" max="8443" width="10" style="48" customWidth="1"/>
    <col min="8444" max="8444" width="50.54296875" style="48" customWidth="1"/>
    <col min="8445" max="8698" width="11.453125" style="48"/>
    <col min="8699" max="8699" width="10" style="48" customWidth="1"/>
    <col min="8700" max="8700" width="50.54296875" style="48" customWidth="1"/>
    <col min="8701" max="8954" width="11.453125" style="48"/>
    <col min="8955" max="8955" width="10" style="48" customWidth="1"/>
    <col min="8956" max="8956" width="50.54296875" style="48" customWidth="1"/>
    <col min="8957" max="9210" width="11.453125" style="48"/>
    <col min="9211" max="9211" width="10" style="48" customWidth="1"/>
    <col min="9212" max="9212" width="50.54296875" style="48" customWidth="1"/>
    <col min="9213" max="9466" width="11.453125" style="48"/>
    <col min="9467" max="9467" width="10" style="48" customWidth="1"/>
    <col min="9468" max="9468" width="50.54296875" style="48" customWidth="1"/>
    <col min="9469" max="9722" width="11.453125" style="48"/>
    <col min="9723" max="9723" width="10" style="48" customWidth="1"/>
    <col min="9724" max="9724" width="50.54296875" style="48" customWidth="1"/>
    <col min="9725" max="9978" width="11.453125" style="48"/>
    <col min="9979" max="9979" width="10" style="48" customWidth="1"/>
    <col min="9980" max="9980" width="50.54296875" style="48" customWidth="1"/>
    <col min="9981" max="10234" width="11.453125" style="48"/>
    <col min="10235" max="10235" width="10" style="48" customWidth="1"/>
    <col min="10236" max="10236" width="50.54296875" style="48" customWidth="1"/>
    <col min="10237" max="10490" width="11.453125" style="48"/>
    <col min="10491" max="10491" width="10" style="48" customWidth="1"/>
    <col min="10492" max="10492" width="50.54296875" style="48" customWidth="1"/>
    <col min="10493" max="10746" width="11.453125" style="48"/>
    <col min="10747" max="10747" width="10" style="48" customWidth="1"/>
    <col min="10748" max="10748" width="50.54296875" style="48" customWidth="1"/>
    <col min="10749" max="11002" width="11.453125" style="48"/>
    <col min="11003" max="11003" width="10" style="48" customWidth="1"/>
    <col min="11004" max="11004" width="50.54296875" style="48" customWidth="1"/>
    <col min="11005" max="11258" width="11.453125" style="48"/>
    <col min="11259" max="11259" width="10" style="48" customWidth="1"/>
    <col min="11260" max="11260" width="50.54296875" style="48" customWidth="1"/>
    <col min="11261" max="11514" width="11.453125" style="48"/>
    <col min="11515" max="11515" width="10" style="48" customWidth="1"/>
    <col min="11516" max="11516" width="50.54296875" style="48" customWidth="1"/>
    <col min="11517" max="11770" width="11.453125" style="48"/>
    <col min="11771" max="11771" width="10" style="48" customWidth="1"/>
    <col min="11772" max="11772" width="50.54296875" style="48" customWidth="1"/>
    <col min="11773" max="12026" width="11.453125" style="48"/>
    <col min="12027" max="12027" width="10" style="48" customWidth="1"/>
    <col min="12028" max="12028" width="50.54296875" style="48" customWidth="1"/>
    <col min="12029" max="12282" width="11.453125" style="48"/>
    <col min="12283" max="12283" width="10" style="48" customWidth="1"/>
    <col min="12284" max="12284" width="50.54296875" style="48" customWidth="1"/>
    <col min="12285" max="12538" width="11.453125" style="48"/>
    <col min="12539" max="12539" width="10" style="48" customWidth="1"/>
    <col min="12540" max="12540" width="50.54296875" style="48" customWidth="1"/>
    <col min="12541" max="12794" width="11.453125" style="48"/>
    <col min="12795" max="12795" width="10" style="48" customWidth="1"/>
    <col min="12796" max="12796" width="50.54296875" style="48" customWidth="1"/>
    <col min="12797" max="13050" width="11.453125" style="48"/>
    <col min="13051" max="13051" width="10" style="48" customWidth="1"/>
    <col min="13052" max="13052" width="50.54296875" style="48" customWidth="1"/>
    <col min="13053" max="13306" width="11.453125" style="48"/>
    <col min="13307" max="13307" width="10" style="48" customWidth="1"/>
    <col min="13308" max="13308" width="50.54296875" style="48" customWidth="1"/>
    <col min="13309" max="13562" width="11.453125" style="48"/>
    <col min="13563" max="13563" width="10" style="48" customWidth="1"/>
    <col min="13564" max="13564" width="50.54296875" style="48" customWidth="1"/>
    <col min="13565" max="13818" width="11.453125" style="48"/>
    <col min="13819" max="13819" width="10" style="48" customWidth="1"/>
    <col min="13820" max="13820" width="50.54296875" style="48" customWidth="1"/>
    <col min="13821" max="14074" width="11.453125" style="48"/>
    <col min="14075" max="14075" width="10" style="48" customWidth="1"/>
    <col min="14076" max="14076" width="50.54296875" style="48" customWidth="1"/>
    <col min="14077" max="14330" width="11.453125" style="48"/>
    <col min="14331" max="14331" width="10" style="48" customWidth="1"/>
    <col min="14332" max="14332" width="50.54296875" style="48" customWidth="1"/>
    <col min="14333" max="14586" width="11.453125" style="48"/>
    <col min="14587" max="14587" width="10" style="48" customWidth="1"/>
    <col min="14588" max="14588" width="50.54296875" style="48" customWidth="1"/>
    <col min="14589" max="14842" width="11.453125" style="48"/>
    <col min="14843" max="14843" width="10" style="48" customWidth="1"/>
    <col min="14844" max="14844" width="50.54296875" style="48" customWidth="1"/>
    <col min="14845" max="15098" width="11.453125" style="48"/>
    <col min="15099" max="15099" width="10" style="48" customWidth="1"/>
    <col min="15100" max="15100" width="50.54296875" style="48" customWidth="1"/>
    <col min="15101" max="15354" width="11.453125" style="48"/>
    <col min="15355" max="15355" width="10" style="48" customWidth="1"/>
    <col min="15356" max="15356" width="50.54296875" style="48" customWidth="1"/>
    <col min="15357" max="15610" width="11.453125" style="48"/>
    <col min="15611" max="15611" width="10" style="48" customWidth="1"/>
    <col min="15612" max="15612" width="50.54296875" style="48" customWidth="1"/>
    <col min="15613" max="15866" width="11.453125" style="48"/>
    <col min="15867" max="15867" width="10" style="48" customWidth="1"/>
    <col min="15868" max="15868" width="50.54296875" style="48" customWidth="1"/>
    <col min="15869" max="16122" width="11.453125" style="48"/>
    <col min="16123" max="16123" width="10" style="48" customWidth="1"/>
    <col min="16124" max="16124" width="50.54296875" style="48" customWidth="1"/>
    <col min="16125" max="16384" width="11.453125" style="48"/>
  </cols>
  <sheetData>
    <row r="3" spans="1:8" s="607" customFormat="1" ht="13.5" thickBot="1" x14ac:dyDescent="0.35">
      <c r="B3" s="1001"/>
      <c r="C3" s="1001"/>
    </row>
    <row r="4" spans="1:8" s="607" customFormat="1" ht="18.5" thickBot="1" x14ac:dyDescent="0.45">
      <c r="B4" s="979" t="s">
        <v>834</v>
      </c>
      <c r="C4" s="980"/>
      <c r="D4" s="980"/>
      <c r="E4" s="980"/>
      <c r="F4" s="980"/>
      <c r="G4" s="980"/>
      <c r="H4" s="981"/>
    </row>
    <row r="5" spans="1:8" s="607" customFormat="1" ht="13.25" customHeight="1" thickBot="1" x14ac:dyDescent="0.35"/>
    <row r="6" spans="1:8" s="45" customFormat="1" ht="12" customHeight="1" x14ac:dyDescent="0.3">
      <c r="B6" s="1002" t="s">
        <v>89</v>
      </c>
      <c r="C6" s="1002" t="s">
        <v>110</v>
      </c>
      <c r="D6" s="999">
        <v>2015</v>
      </c>
      <c r="E6" s="999">
        <v>2016</v>
      </c>
      <c r="F6" s="999">
        <v>2017</v>
      </c>
      <c r="G6" s="999">
        <v>2018</v>
      </c>
      <c r="H6" s="999">
        <v>2019</v>
      </c>
    </row>
    <row r="7" spans="1:8" s="45" customFormat="1" ht="3" customHeight="1" x14ac:dyDescent="0.3">
      <c r="B7" s="1003"/>
      <c r="C7" s="1003"/>
      <c r="D7" s="1000"/>
      <c r="E7" s="1000"/>
      <c r="F7" s="1000"/>
      <c r="G7" s="1000"/>
      <c r="H7" s="1000"/>
    </row>
    <row r="8" spans="1:8" s="46" customFormat="1" x14ac:dyDescent="0.35">
      <c r="A8" s="46">
        <v>1</v>
      </c>
      <c r="B8" s="51" t="s">
        <v>93</v>
      </c>
      <c r="C8" s="51" t="s">
        <v>91</v>
      </c>
      <c r="D8" s="719">
        <f>VLOOKUP($A8,'HC 2015'!$A$9:$H$24,7,0)</f>
        <v>20</v>
      </c>
      <c r="E8" s="719">
        <f>VLOOKUP($A8,'HC 2016'!$A$9:$H$24,7,0)</f>
        <v>20</v>
      </c>
      <c r="F8" s="719">
        <f>VLOOKUP($A8,'HC 2017'!$A$9:$H$24,7,0)</f>
        <v>20</v>
      </c>
      <c r="G8" s="719">
        <f>VLOOKUP($A8,'HC 2018'!$A$9:$H$24,7,0)</f>
        <v>20</v>
      </c>
      <c r="H8" s="719">
        <f>VLOOKUP($A8,'HC 2019'!$A$9:$H$24,7,0)</f>
        <v>20</v>
      </c>
    </row>
    <row r="9" spans="1:8" s="46" customFormat="1" x14ac:dyDescent="0.35">
      <c r="A9" s="46">
        <v>2</v>
      </c>
      <c r="B9" s="51" t="s">
        <v>90</v>
      </c>
      <c r="C9" s="51" t="s">
        <v>91</v>
      </c>
      <c r="D9" s="719">
        <f>VLOOKUP($A9,'HC 2015'!$A$9:$H$24,7,0)</f>
        <v>40</v>
      </c>
      <c r="E9" s="719">
        <f>VLOOKUP($A9,'HC 2016'!$A$9:$H$24,7,0)</f>
        <v>40</v>
      </c>
      <c r="F9" s="719">
        <f>VLOOKUP($A9,'HC 2017'!$A$9:$H$24,7,0)</f>
        <v>40</v>
      </c>
      <c r="G9" s="719">
        <f>VLOOKUP($A9,'HC 2018'!$A$9:$H$24,7,0)</f>
        <v>40</v>
      </c>
      <c r="H9" s="719">
        <f>VLOOKUP($A9,'HC 2019'!$A$9:$H$24,7,0)</f>
        <v>40</v>
      </c>
    </row>
    <row r="10" spans="1:8" s="46" customFormat="1" x14ac:dyDescent="0.35">
      <c r="A10" s="46">
        <v>3</v>
      </c>
      <c r="B10" s="51" t="s">
        <v>90</v>
      </c>
      <c r="C10" s="51" t="s">
        <v>145</v>
      </c>
      <c r="D10" s="719">
        <f>VLOOKUP($A10,'HC 2015'!$A$9:$H$24,7,0)</f>
        <v>20</v>
      </c>
      <c r="E10" s="719">
        <f>VLOOKUP($A10,'HC 2016'!$A$9:$H$24,7,0)</f>
        <v>25</v>
      </c>
      <c r="F10" s="719">
        <f>VLOOKUP($A10,'HC 2017'!$A$9:$H$24,7,0)</f>
        <v>30</v>
      </c>
      <c r="G10" s="719">
        <f>VLOOKUP($A10,'HC 2018'!$A$9:$H$24,7,0)</f>
        <v>36</v>
      </c>
      <c r="H10" s="719">
        <f>VLOOKUP($A10,'HC 2019'!$A$9:$H$24,7,0)</f>
        <v>39</v>
      </c>
    </row>
    <row r="11" spans="1:8" s="46" customFormat="1" x14ac:dyDescent="0.35">
      <c r="A11" s="46">
        <v>4</v>
      </c>
      <c r="B11" s="51" t="s">
        <v>90</v>
      </c>
      <c r="C11" s="51" t="s">
        <v>145</v>
      </c>
      <c r="D11" s="719">
        <f>VLOOKUP($A11,'HC 2015'!$A$9:$H$24,7,0)</f>
        <v>20</v>
      </c>
      <c r="E11" s="719">
        <f>VLOOKUP($A11,'HC 2016'!$A$9:$H$24,7,0)</f>
        <v>25</v>
      </c>
      <c r="F11" s="719">
        <f>VLOOKUP($A11,'HC 2017'!$A$9:$H$24,7,0)</f>
        <v>30</v>
      </c>
      <c r="G11" s="719">
        <f>VLOOKUP($A11,'HC 2018'!$A$9:$H$24,7,0)</f>
        <v>36</v>
      </c>
      <c r="H11" s="719">
        <f>VLOOKUP($A11,'HC 2019'!$A$9:$H$24,7,0)</f>
        <v>39</v>
      </c>
    </row>
    <row r="12" spans="1:8" s="46" customFormat="1" x14ac:dyDescent="0.35">
      <c r="A12" s="46">
        <v>5</v>
      </c>
      <c r="B12" s="51" t="s">
        <v>90</v>
      </c>
      <c r="C12" s="51" t="s">
        <v>91</v>
      </c>
      <c r="D12" s="719">
        <f>VLOOKUP($A12,'HC 2015'!$A$9:$H$24,7,0)</f>
        <v>40</v>
      </c>
      <c r="E12" s="719">
        <f>VLOOKUP($A12,'HC 2016'!$A$9:$H$24,7,0)</f>
        <v>40</v>
      </c>
      <c r="F12" s="719">
        <f>VLOOKUP($A12,'HC 2017'!$A$9:$H$24,7,0)</f>
        <v>40</v>
      </c>
      <c r="G12" s="719">
        <f>VLOOKUP($A12,'HC 2018'!$A$9:$H$24,7,0)</f>
        <v>40</v>
      </c>
      <c r="H12" s="719">
        <f>VLOOKUP($A12,'HC 2019'!$A$9:$H$24,7,0)</f>
        <v>40</v>
      </c>
    </row>
    <row r="13" spans="1:8" s="46" customFormat="1" x14ac:dyDescent="0.35">
      <c r="A13" s="46">
        <v>6</v>
      </c>
      <c r="B13" s="51" t="s">
        <v>90</v>
      </c>
      <c r="C13" s="51" t="s">
        <v>145</v>
      </c>
      <c r="D13" s="719">
        <f>VLOOKUP($A13,'HC 2015'!$A$9:$H$24,7,0)</f>
        <v>20</v>
      </c>
      <c r="E13" s="719">
        <f>VLOOKUP($A13,'HC 2016'!$A$9:$H$24,7,0)</f>
        <v>25</v>
      </c>
      <c r="F13" s="719">
        <f>VLOOKUP($A13,'HC 2017'!$A$9:$H$24,7,0)</f>
        <v>30</v>
      </c>
      <c r="G13" s="719">
        <f>VLOOKUP($A13,'HC 2018'!$A$9:$H$24,7,0)</f>
        <v>36</v>
      </c>
      <c r="H13" s="719">
        <f>VLOOKUP($A13,'HC 2019'!$A$9:$H$24,7,0)</f>
        <v>39</v>
      </c>
    </row>
    <row r="14" spans="1:8" s="46" customFormat="1" x14ac:dyDescent="0.35">
      <c r="A14" s="46">
        <v>7</v>
      </c>
      <c r="B14" s="51" t="s">
        <v>90</v>
      </c>
      <c r="C14" s="51" t="s">
        <v>145</v>
      </c>
      <c r="D14" s="719">
        <f>VLOOKUP($A14,'HC 2015'!$A$9:$H$24,7,0)</f>
        <v>20</v>
      </c>
      <c r="E14" s="719">
        <f>VLOOKUP($A14,'HC 2016'!$A$9:$H$24,7,0)</f>
        <v>25</v>
      </c>
      <c r="F14" s="719">
        <f>VLOOKUP($A14,'HC 2017'!$A$9:$H$24,7,0)</f>
        <v>30</v>
      </c>
      <c r="G14" s="719">
        <f>VLOOKUP($A14,'HC 2018'!$A$9:$H$24,7,0)</f>
        <v>36</v>
      </c>
      <c r="H14" s="719">
        <f>VLOOKUP($A14,'HC 2019'!$A$9:$H$24,7,0)</f>
        <v>39</v>
      </c>
    </row>
    <row r="15" spans="1:8" s="46" customFormat="1" x14ac:dyDescent="0.35">
      <c r="A15" s="46">
        <v>8</v>
      </c>
      <c r="B15" s="51" t="s">
        <v>90</v>
      </c>
      <c r="C15" s="51" t="s">
        <v>145</v>
      </c>
      <c r="D15" s="719">
        <f>VLOOKUP($A15,'HC 2015'!$A$9:$H$24,7,0)</f>
        <v>20</v>
      </c>
      <c r="E15" s="719">
        <f>VLOOKUP($A15,'HC 2016'!$A$9:$H$24,7,0)</f>
        <v>25</v>
      </c>
      <c r="F15" s="719">
        <f>VLOOKUP($A15,'HC 2017'!$A$9:$H$24,7,0)</f>
        <v>30</v>
      </c>
      <c r="G15" s="719">
        <f>VLOOKUP($A15,'HC 2018'!$A$9:$H$24,7,0)</f>
        <v>36</v>
      </c>
      <c r="H15" s="719">
        <f>VLOOKUP($A15,'HC 2019'!$A$9:$H$24,7,0)</f>
        <v>39</v>
      </c>
    </row>
    <row r="16" spans="1:8" s="46" customFormat="1" x14ac:dyDescent="0.35">
      <c r="A16" s="46">
        <v>9</v>
      </c>
      <c r="B16" s="51" t="s">
        <v>90</v>
      </c>
      <c r="C16" s="51" t="s">
        <v>91</v>
      </c>
      <c r="D16" s="719">
        <f>VLOOKUP($A16,'HC 2015'!$A$9:$H$24,7,0)</f>
        <v>40</v>
      </c>
      <c r="E16" s="719">
        <f>VLOOKUP($A16,'HC 2016'!$A$9:$H$24,7,0)</f>
        <v>40</v>
      </c>
      <c r="F16" s="719">
        <f>VLOOKUP($A16,'HC 2017'!$A$9:$H$24,7,0)</f>
        <v>40</v>
      </c>
      <c r="G16" s="719">
        <f>VLOOKUP($A16,'HC 2018'!$A$9:$H$24,7,0)</f>
        <v>40</v>
      </c>
      <c r="H16" s="719">
        <f>VLOOKUP($A16,'HC 2019'!$A$9:$H$24,7,0)</f>
        <v>40</v>
      </c>
    </row>
    <row r="17" spans="1:8" s="46" customFormat="1" x14ac:dyDescent="0.35">
      <c r="B17" s="51"/>
      <c r="C17" s="51"/>
      <c r="D17" s="51"/>
      <c r="E17" s="51"/>
      <c r="F17" s="51"/>
      <c r="G17" s="51"/>
      <c r="H17" s="51"/>
    </row>
    <row r="18" spans="1:8" s="46" customFormat="1" ht="13" x14ac:dyDescent="0.35">
      <c r="B18" s="721" t="s">
        <v>103</v>
      </c>
      <c r="C18" s="720"/>
      <c r="D18" s="721">
        <f>SUM(D8:D16)</f>
        <v>240</v>
      </c>
      <c r="E18" s="721">
        <f>SUM(E8:E16)</f>
        <v>265</v>
      </c>
      <c r="F18" s="721">
        <f>SUM(F8:F16)</f>
        <v>290</v>
      </c>
      <c r="G18" s="721">
        <f>SUM(G8:G16)</f>
        <v>320</v>
      </c>
      <c r="H18" s="721">
        <f>SUM(H8:H16)</f>
        <v>335</v>
      </c>
    </row>
    <row r="19" spans="1:8" s="46" customFormat="1" x14ac:dyDescent="0.35">
      <c r="B19" s="51"/>
      <c r="C19" s="51"/>
      <c r="D19" s="51"/>
      <c r="E19" s="51"/>
      <c r="F19" s="51"/>
      <c r="G19" s="51"/>
      <c r="H19" s="51"/>
    </row>
    <row r="20" spans="1:8" s="46" customFormat="1" x14ac:dyDescent="0.35">
      <c r="A20" s="46">
        <v>10</v>
      </c>
      <c r="B20" s="51" t="s">
        <v>146</v>
      </c>
      <c r="C20" s="51" t="s">
        <v>91</v>
      </c>
      <c r="D20" s="51">
        <f>VLOOKUP($A20,'HC 2015'!$A$9:$H$24,7,0)</f>
        <v>40</v>
      </c>
      <c r="E20" s="51">
        <f>VLOOKUP($A20,'HC 2016'!$A$9:$H$24,7,0)</f>
        <v>40</v>
      </c>
      <c r="F20" s="51">
        <f>VLOOKUP($A20,'HC 2017'!$A$9:$H$24,7,0)</f>
        <v>40</v>
      </c>
      <c r="G20" s="51">
        <f>VLOOKUP($A20,'HC 2018'!$A$9:$H$24,7,0)</f>
        <v>40</v>
      </c>
      <c r="H20" s="51">
        <f>VLOOKUP($A20,'HC 2019'!$A$9:$H$24,7,0)</f>
        <v>40</v>
      </c>
    </row>
    <row r="21" spans="1:8" s="46" customFormat="1" x14ac:dyDescent="0.35">
      <c r="A21" s="46">
        <v>11</v>
      </c>
      <c r="B21" s="51" t="s">
        <v>92</v>
      </c>
      <c r="C21" s="51" t="s">
        <v>91</v>
      </c>
      <c r="D21" s="51">
        <f>VLOOKUP($A21,'HC 2015'!$A$9:$H$24,7,0)</f>
        <v>40</v>
      </c>
      <c r="E21" s="51">
        <f>VLOOKUP($A21,'HC 2016'!$A$9:$H$24,7,0)</f>
        <v>40</v>
      </c>
      <c r="F21" s="51">
        <f>VLOOKUP($A21,'HC 2017'!$A$9:$H$24,7,0)</f>
        <v>40</v>
      </c>
      <c r="G21" s="51">
        <f>VLOOKUP($A21,'HC 2018'!$A$9:$H$24,7,0)</f>
        <v>40</v>
      </c>
      <c r="H21" s="51">
        <f>VLOOKUP($A21,'HC 2019'!$A$9:$H$24,7,0)</f>
        <v>40</v>
      </c>
    </row>
    <row r="22" spans="1:8" x14ac:dyDescent="0.25">
      <c r="B22" s="723"/>
      <c r="C22" s="723"/>
      <c r="D22" s="723"/>
      <c r="E22" s="723"/>
      <c r="F22" s="723"/>
      <c r="G22" s="723"/>
      <c r="H22" s="723"/>
    </row>
    <row r="23" spans="1:8" ht="13.5" thickBot="1" x14ac:dyDescent="0.35">
      <c r="B23" s="724" t="s">
        <v>65</v>
      </c>
      <c r="C23" s="724"/>
      <c r="D23" s="725">
        <f>SUM(D18:D21)</f>
        <v>320</v>
      </c>
      <c r="E23" s="725">
        <f>SUM(E18:E21)</f>
        <v>345</v>
      </c>
      <c r="F23" s="725">
        <f>SUM(F18:F21)</f>
        <v>370</v>
      </c>
      <c r="G23" s="725">
        <f>SUM(G18:G21)</f>
        <v>400</v>
      </c>
      <c r="H23" s="725">
        <f>SUM(H18:H21)</f>
        <v>415</v>
      </c>
    </row>
    <row r="24" spans="1:8" x14ac:dyDescent="0.25">
      <c r="D24" s="51"/>
      <c r="E24" s="51"/>
      <c r="F24" s="51"/>
      <c r="G24" s="51"/>
    </row>
    <row r="25" spans="1:8" x14ac:dyDescent="0.25">
      <c r="D25" s="47">
        <f>VLOOKUP("Horas consultores",'HP Proyect'!$A$4:$F$6,D$6-2013,0)</f>
        <v>239</v>
      </c>
      <c r="E25" s="47">
        <f>VLOOKUP("Horas consultores",'HP Proyect'!$A$4:$F$6,E$6-2013,0)</f>
        <v>263</v>
      </c>
      <c r="F25" s="47">
        <f>VLOOKUP("Horas consultores",'HP Proyect'!$A$4:$F$6,F$6-2013,0)</f>
        <v>289</v>
      </c>
      <c r="G25" s="47">
        <f>VLOOKUP("Horas consultores",'HP Proyect'!$A$4:$F$6,G$6-2013,0)</f>
        <v>318</v>
      </c>
      <c r="H25" s="47">
        <f>VLOOKUP("Horas consultores",'HP Proyect'!$A$4:$F$6,H$6-2013,0)</f>
        <v>334</v>
      </c>
    </row>
    <row r="26" spans="1:8" x14ac:dyDescent="0.25">
      <c r="D26" s="47">
        <f>D18-D25</f>
        <v>1</v>
      </c>
      <c r="E26" s="47">
        <f>E18-E25</f>
        <v>2</v>
      </c>
      <c r="F26" s="47">
        <f>F18-F25</f>
        <v>1</v>
      </c>
      <c r="G26" s="47">
        <f>G18-G25</f>
        <v>2</v>
      </c>
      <c r="H26" s="47">
        <f>H18-H25</f>
        <v>1</v>
      </c>
    </row>
  </sheetData>
  <mergeCells count="9">
    <mergeCell ref="H6:H7"/>
    <mergeCell ref="B3:C3"/>
    <mergeCell ref="B4:H4"/>
    <mergeCell ref="B6:B7"/>
    <mergeCell ref="C6:C7"/>
    <mergeCell ref="D6:D7"/>
    <mergeCell ref="E6:E7"/>
    <mergeCell ref="F6:F7"/>
    <mergeCell ref="G6:G7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FF"/>
  </sheetPr>
  <dimension ref="A3:O210"/>
  <sheetViews>
    <sheetView showGridLines="0" workbookViewId="0">
      <selection activeCell="H18" sqref="H18"/>
    </sheetView>
  </sheetViews>
  <sheetFormatPr baseColWidth="10" defaultRowHeight="14.5" x14ac:dyDescent="0.35"/>
  <cols>
    <col min="3" max="3" width="19.26953125" customWidth="1"/>
    <col min="6" max="7" width="14.36328125" customWidth="1"/>
  </cols>
  <sheetData>
    <row r="3" spans="1:15" ht="15" thickBot="1" x14ac:dyDescent="0.4"/>
    <row r="4" spans="1:15" ht="19" thickBot="1" x14ac:dyDescent="0.5">
      <c r="A4" s="583">
        <v>1</v>
      </c>
      <c r="B4" s="827" t="str">
        <f>"Resultados Combinación "&amp;A4</f>
        <v>Resultados Combinación 1</v>
      </c>
      <c r="C4" s="828"/>
      <c r="D4" s="828"/>
      <c r="E4" s="828"/>
      <c r="F4" s="828"/>
      <c r="G4" s="829"/>
    </row>
    <row r="5" spans="1:15" ht="15" thickBot="1" x14ac:dyDescent="0.4">
      <c r="A5" s="567"/>
    </row>
    <row r="6" spans="1:15" x14ac:dyDescent="0.35">
      <c r="A6" s="567"/>
      <c r="B6" s="830" t="s">
        <v>824</v>
      </c>
      <c r="C6" s="831"/>
      <c r="D6" s="576">
        <f>Variables!$B$19</f>
        <v>1</v>
      </c>
      <c r="E6" s="577" t="str">
        <f>IF(D6=0,"Contado","Meses")</f>
        <v>Meses</v>
      </c>
      <c r="I6">
        <v>3</v>
      </c>
      <c r="J6">
        <v>3</v>
      </c>
      <c r="K6">
        <v>2</v>
      </c>
      <c r="L6">
        <v>2</v>
      </c>
      <c r="M6">
        <v>2</v>
      </c>
      <c r="N6">
        <v>2</v>
      </c>
      <c r="O6">
        <f>PRODUCT(I6:N6)</f>
        <v>144</v>
      </c>
    </row>
    <row r="7" spans="1:15" x14ac:dyDescent="0.35">
      <c r="A7" s="567"/>
      <c r="B7" s="813" t="s">
        <v>819</v>
      </c>
      <c r="C7" s="814"/>
      <c r="D7" s="575">
        <f>Variables!$B$20</f>
        <v>0</v>
      </c>
      <c r="E7" s="578" t="str">
        <f>IF(D7=0,"Contado","Meses")</f>
        <v>Contado</v>
      </c>
    </row>
    <row r="8" spans="1:15" x14ac:dyDescent="0.35">
      <c r="A8" s="567"/>
      <c r="B8" s="813" t="s">
        <v>62</v>
      </c>
      <c r="C8" s="814"/>
      <c r="D8" s="575">
        <f>Variables!$B$21</f>
        <v>1</v>
      </c>
      <c r="E8" s="579" t="str">
        <f>IF(D8=1,"Mes","Meses")</f>
        <v>Mes</v>
      </c>
    </row>
    <row r="9" spans="1:15" x14ac:dyDescent="0.35">
      <c r="A9" s="567"/>
      <c r="B9" s="813" t="s">
        <v>373</v>
      </c>
      <c r="C9" s="814"/>
      <c r="D9" s="832">
        <f>VLOOKUP(1,Variables!$B$26:$C$27,2,0)</f>
        <v>0.05</v>
      </c>
      <c r="E9" s="833"/>
    </row>
    <row r="10" spans="1:15" x14ac:dyDescent="0.35">
      <c r="A10" s="567"/>
      <c r="B10" s="813" t="s">
        <v>825</v>
      </c>
      <c r="C10" s="814"/>
      <c r="D10" s="815" t="str">
        <f>IF(Variables!$B$51=1,1,"")</f>
        <v/>
      </c>
      <c r="E10" s="816"/>
    </row>
    <row r="11" spans="1:15" ht="15" thickBot="1" x14ac:dyDescent="0.4">
      <c r="A11" s="567"/>
      <c r="B11" s="817" t="s">
        <v>811</v>
      </c>
      <c r="C11" s="818"/>
      <c r="D11" s="819">
        <f>IF(Variables!$B$78=1,1,"")</f>
        <v>1</v>
      </c>
      <c r="E11" s="820"/>
    </row>
    <row r="12" spans="1:15" ht="15" thickBot="1" x14ac:dyDescent="0.4">
      <c r="A12" s="567"/>
    </row>
    <row r="13" spans="1:15" ht="15.5" x14ac:dyDescent="0.35">
      <c r="A13" s="567"/>
      <c r="B13" s="821" t="s">
        <v>544</v>
      </c>
      <c r="C13" s="824" t="s">
        <v>828</v>
      </c>
      <c r="D13" s="805" t="s">
        <v>189</v>
      </c>
      <c r="E13" s="805"/>
      <c r="F13" s="805" t="s">
        <v>532</v>
      </c>
      <c r="G13" s="806"/>
    </row>
    <row r="14" spans="1:15" x14ac:dyDescent="0.35">
      <c r="A14" s="567"/>
      <c r="B14" s="822"/>
      <c r="C14" s="825"/>
      <c r="D14" s="807" t="s">
        <v>190</v>
      </c>
      <c r="E14" s="807" t="s">
        <v>71</v>
      </c>
      <c r="F14" s="809" t="str">
        <f>"CAPM General ("&amp;TEXT(Variables!$F$84,"0,00%")&amp;")"</f>
        <v>CAPM General (1,16%)</v>
      </c>
      <c r="G14" s="811" t="str">
        <f>"CAPM Ajust Colombia ("&amp;TEXT(Variables!$F$85,"0,00%")&amp;")"</f>
        <v>CAPM Ajust Colombia (1,61%)</v>
      </c>
    </row>
    <row r="15" spans="1:15" ht="15" thickBot="1" x14ac:dyDescent="0.4">
      <c r="A15" s="567"/>
      <c r="B15" s="823"/>
      <c r="C15" s="826"/>
      <c r="D15" s="808"/>
      <c r="E15" s="808"/>
      <c r="F15" s="810"/>
      <c r="G15" s="812"/>
    </row>
    <row r="16" spans="1:15" ht="15" thickBot="1" x14ac:dyDescent="0.4">
      <c r="A16" s="567"/>
    </row>
    <row r="17" spans="1:7" x14ac:dyDescent="0.35">
      <c r="A17" s="567"/>
      <c r="B17" s="564" t="str">
        <f>Variables!$D$9</f>
        <v>Optimista</v>
      </c>
      <c r="C17" s="580">
        <v>1.25</v>
      </c>
      <c r="D17" s="568">
        <v>8.2726449886524556E-2</v>
      </c>
      <c r="E17" s="568">
        <v>1.5955234397857017</v>
      </c>
      <c r="F17" s="584">
        <v>416441983</v>
      </c>
      <c r="G17" s="585">
        <v>356348307.55170524</v>
      </c>
    </row>
    <row r="18" spans="1:7" x14ac:dyDescent="0.35">
      <c r="A18" s="567"/>
      <c r="B18" s="565" t="str">
        <f>Variables!$D$10</f>
        <v>Normal</v>
      </c>
      <c r="C18" s="581">
        <v>1</v>
      </c>
      <c r="D18" s="569">
        <v>6.2062371095210622E-2</v>
      </c>
      <c r="E18" s="569">
        <v>1.0596824311475932</v>
      </c>
      <c r="F18" s="573">
        <v>316862495</v>
      </c>
      <c r="G18" s="574">
        <v>257090711.55200407</v>
      </c>
    </row>
    <row r="19" spans="1:7" x14ac:dyDescent="0.35">
      <c r="A19" s="567"/>
      <c r="B19" s="565" t="str">
        <f>Variables!$D$11</f>
        <v>Pesimista</v>
      </c>
      <c r="C19" s="581">
        <f>Variables!$C$11</f>
        <v>0.75</v>
      </c>
      <c r="D19" s="569">
        <v>-2.7134451652656155E-3</v>
      </c>
      <c r="E19" s="569">
        <v>-3.2079766749930072E-2</v>
      </c>
      <c r="F19" s="573">
        <v>-72421013</v>
      </c>
      <c r="G19" s="574">
        <v>-85721187.156248957</v>
      </c>
    </row>
    <row r="20" spans="1:7" ht="15" thickBot="1" x14ac:dyDescent="0.4">
      <c r="A20" s="567"/>
      <c r="B20" s="566" t="str">
        <f>Variables!$D$12</f>
        <v>Buscado</v>
      </c>
      <c r="C20" s="582">
        <v>0.9</v>
      </c>
      <c r="D20" s="572">
        <v>4.2373891131676E-2</v>
      </c>
      <c r="E20" s="572">
        <v>0.645440937827781</v>
      </c>
      <c r="F20" s="586">
        <v>203531083</v>
      </c>
      <c r="G20" s="587">
        <v>153733917.41133994</v>
      </c>
    </row>
    <row r="21" spans="1:7" x14ac:dyDescent="0.35">
      <c r="A21" s="567"/>
    </row>
    <row r="22" spans="1:7" ht="15" thickBot="1" x14ac:dyDescent="0.4">
      <c r="A22" s="567"/>
    </row>
    <row r="23" spans="1:7" ht="19" thickBot="1" x14ac:dyDescent="0.5">
      <c r="A23" s="583">
        <f>MAX($A$3:$A22)+1</f>
        <v>2</v>
      </c>
      <c r="B23" s="827" t="str">
        <f>"Resultados Combinación "&amp;A23</f>
        <v>Resultados Combinación 2</v>
      </c>
      <c r="C23" s="828"/>
      <c r="D23" s="828"/>
      <c r="E23" s="828"/>
      <c r="F23" s="828"/>
      <c r="G23" s="829"/>
    </row>
    <row r="24" spans="1:7" ht="15" thickBot="1" x14ac:dyDescent="0.4"/>
    <row r="25" spans="1:7" x14ac:dyDescent="0.35">
      <c r="B25" s="830" t="s">
        <v>824</v>
      </c>
      <c r="C25" s="831"/>
      <c r="D25" s="576">
        <v>0</v>
      </c>
      <c r="E25" s="577" t="s">
        <v>831</v>
      </c>
    </row>
    <row r="26" spans="1:7" x14ac:dyDescent="0.35">
      <c r="B26" s="813" t="s">
        <v>819</v>
      </c>
      <c r="C26" s="814"/>
      <c r="D26" s="575">
        <v>0</v>
      </c>
      <c r="E26" s="578" t="s">
        <v>831</v>
      </c>
    </row>
    <row r="27" spans="1:7" x14ac:dyDescent="0.35">
      <c r="B27" s="813" t="s">
        <v>62</v>
      </c>
      <c r="C27" s="814"/>
      <c r="D27" s="575">
        <v>1</v>
      </c>
      <c r="E27" s="579" t="s">
        <v>190</v>
      </c>
    </row>
    <row r="28" spans="1:7" x14ac:dyDescent="0.35">
      <c r="B28" s="813" t="s">
        <v>373</v>
      </c>
      <c r="C28" s="814"/>
      <c r="D28" s="832">
        <v>0.05</v>
      </c>
      <c r="E28" s="833"/>
    </row>
    <row r="29" spans="1:7" x14ac:dyDescent="0.35">
      <c r="B29" s="813" t="s">
        <v>825</v>
      </c>
      <c r="C29" s="814"/>
      <c r="D29" s="815" t="s">
        <v>826</v>
      </c>
      <c r="E29" s="816"/>
    </row>
    <row r="30" spans="1:7" ht="15" thickBot="1" x14ac:dyDescent="0.4">
      <c r="B30" s="817" t="s">
        <v>811</v>
      </c>
      <c r="C30" s="818"/>
      <c r="D30" s="819">
        <v>1</v>
      </c>
      <c r="E30" s="820"/>
    </row>
    <row r="31" spans="1:7" ht="15" thickBot="1" x14ac:dyDescent="0.4"/>
    <row r="32" spans="1:7" ht="15.5" x14ac:dyDescent="0.35">
      <c r="B32" s="821" t="s">
        <v>544</v>
      </c>
      <c r="C32" s="824" t="s">
        <v>828</v>
      </c>
      <c r="D32" s="805" t="s">
        <v>189</v>
      </c>
      <c r="E32" s="805"/>
      <c r="F32" s="805" t="s">
        <v>532</v>
      </c>
      <c r="G32" s="806"/>
    </row>
    <row r="33" spans="1:7" ht="14.5" customHeight="1" x14ac:dyDescent="0.35">
      <c r="B33" s="822"/>
      <c r="C33" s="825"/>
      <c r="D33" s="807" t="s">
        <v>190</v>
      </c>
      <c r="E33" s="807" t="s">
        <v>71</v>
      </c>
      <c r="F33" s="809" t="str">
        <f>"CAPM General ("&amp;TEXT(Variables!$F$84,"0,00%")&amp;")"</f>
        <v>CAPM General (1,16%)</v>
      </c>
      <c r="G33" s="811" t="str">
        <f>"CAPM Ajust Colombia ("&amp;TEXT(Variables!$F$85,"0,00%")&amp;")"</f>
        <v>CAPM Ajust Colombia (1,61%)</v>
      </c>
    </row>
    <row r="34" spans="1:7" ht="15" customHeight="1" thickBot="1" x14ac:dyDescent="0.4">
      <c r="B34" s="823"/>
      <c r="C34" s="826"/>
      <c r="D34" s="808"/>
      <c r="E34" s="808"/>
      <c r="F34" s="810"/>
      <c r="G34" s="812"/>
    </row>
    <row r="35" spans="1:7" ht="15" thickBot="1" x14ac:dyDescent="0.4"/>
    <row r="36" spans="1:7" x14ac:dyDescent="0.35">
      <c r="B36" s="564" t="str">
        <f>Variables!$D$9</f>
        <v>Optimista</v>
      </c>
      <c r="C36" s="580">
        <v>1.25</v>
      </c>
      <c r="D36" s="568">
        <v>4.0618467563941607E-2</v>
      </c>
      <c r="E36" s="568">
        <v>0.61249489051715345</v>
      </c>
      <c r="F36" s="584">
        <v>231716503</v>
      </c>
      <c r="G36" s="585">
        <v>180497540.57237744</v>
      </c>
    </row>
    <row r="37" spans="1:7" x14ac:dyDescent="0.35">
      <c r="B37" s="565" t="str">
        <f>Variables!$D$10</f>
        <v>Normal</v>
      </c>
      <c r="C37" s="581">
        <v>1</v>
      </c>
      <c r="D37" s="569">
        <v>4.2122269585707528E-2</v>
      </c>
      <c r="E37" s="569">
        <v>0.64068088983652682</v>
      </c>
      <c r="F37" s="573">
        <v>233794927</v>
      </c>
      <c r="G37" s="574">
        <v>182923537.8650862</v>
      </c>
    </row>
    <row r="38" spans="1:7" x14ac:dyDescent="0.35">
      <c r="B38" s="565" t="str">
        <f>Variables!$D$11</f>
        <v>Pesimista</v>
      </c>
      <c r="C38" s="581">
        <v>0.75</v>
      </c>
      <c r="D38" s="569">
        <v>5.3943640098395029E-3</v>
      </c>
      <c r="E38" s="569">
        <v>6.6687869393255328E-2</v>
      </c>
      <c r="F38" s="573">
        <v>-37080426</v>
      </c>
      <c r="G38" s="574">
        <v>-57454572.982469313</v>
      </c>
    </row>
    <row r="39" spans="1:7" ht="15" thickBot="1" x14ac:dyDescent="0.4">
      <c r="B39" s="566" t="str">
        <f>Variables!$D$12</f>
        <v>Buscado</v>
      </c>
      <c r="C39" s="582">
        <v>0.9</v>
      </c>
      <c r="D39" s="572">
        <v>3.8310761757019085E-2</v>
      </c>
      <c r="E39" s="572">
        <v>0.57010343712860223</v>
      </c>
      <c r="F39" s="586">
        <v>213556308</v>
      </c>
      <c r="G39" s="587">
        <v>160954498.57115412</v>
      </c>
    </row>
    <row r="41" spans="1:7" ht="15" thickBot="1" x14ac:dyDescent="0.4"/>
    <row r="42" spans="1:7" ht="19" thickBot="1" x14ac:dyDescent="0.5">
      <c r="A42" s="583">
        <f>MAX($A$3:$A41)+1</f>
        <v>3</v>
      </c>
      <c r="B42" s="827" t="str">
        <f>"Resultados Combinación "&amp;A42</f>
        <v>Resultados Combinación 3</v>
      </c>
      <c r="C42" s="828"/>
      <c r="D42" s="828"/>
      <c r="E42" s="828"/>
      <c r="F42" s="828"/>
      <c r="G42" s="829"/>
    </row>
    <row r="43" spans="1:7" ht="15" thickBot="1" x14ac:dyDescent="0.4"/>
    <row r="44" spans="1:7" x14ac:dyDescent="0.35">
      <c r="B44" s="830" t="s">
        <v>824</v>
      </c>
      <c r="C44" s="831"/>
      <c r="D44" s="576">
        <v>2</v>
      </c>
      <c r="E44" s="577" t="s">
        <v>224</v>
      </c>
    </row>
    <row r="45" spans="1:7" x14ac:dyDescent="0.35">
      <c r="B45" s="813" t="s">
        <v>819</v>
      </c>
      <c r="C45" s="814"/>
      <c r="D45" s="575">
        <v>0</v>
      </c>
      <c r="E45" s="578" t="s">
        <v>831</v>
      </c>
    </row>
    <row r="46" spans="1:7" x14ac:dyDescent="0.35">
      <c r="B46" s="813" t="s">
        <v>62</v>
      </c>
      <c r="C46" s="814"/>
      <c r="D46" s="575">
        <v>1</v>
      </c>
      <c r="E46" s="579" t="s">
        <v>190</v>
      </c>
    </row>
    <row r="47" spans="1:7" x14ac:dyDescent="0.35">
      <c r="B47" s="813" t="s">
        <v>373</v>
      </c>
      <c r="C47" s="814"/>
      <c r="D47" s="832">
        <v>0.05</v>
      </c>
      <c r="E47" s="833"/>
    </row>
    <row r="48" spans="1:7" x14ac:dyDescent="0.35">
      <c r="B48" s="813" t="s">
        <v>825</v>
      </c>
      <c r="C48" s="814"/>
      <c r="D48" s="815" t="s">
        <v>826</v>
      </c>
      <c r="E48" s="816"/>
    </row>
    <row r="49" spans="1:7" ht="15" thickBot="1" x14ac:dyDescent="0.4">
      <c r="B49" s="817" t="s">
        <v>811</v>
      </c>
      <c r="C49" s="818"/>
      <c r="D49" s="819">
        <v>1</v>
      </c>
      <c r="E49" s="820"/>
    </row>
    <row r="50" spans="1:7" ht="15" thickBot="1" x14ac:dyDescent="0.4"/>
    <row r="51" spans="1:7" ht="15.5" x14ac:dyDescent="0.35">
      <c r="B51" s="821" t="s">
        <v>544</v>
      </c>
      <c r="C51" s="824" t="s">
        <v>828</v>
      </c>
      <c r="D51" s="805" t="s">
        <v>189</v>
      </c>
      <c r="E51" s="805"/>
      <c r="F51" s="805" t="s">
        <v>532</v>
      </c>
      <c r="G51" s="806"/>
    </row>
    <row r="52" spans="1:7" ht="14.5" customHeight="1" x14ac:dyDescent="0.35">
      <c r="B52" s="822"/>
      <c r="C52" s="825"/>
      <c r="D52" s="807" t="s">
        <v>190</v>
      </c>
      <c r="E52" s="807" t="s">
        <v>71</v>
      </c>
      <c r="F52" s="809" t="str">
        <f>"CAPM General ("&amp;TEXT(Variables!$F$84,"0,00%")&amp;")"</f>
        <v>CAPM General (1,16%)</v>
      </c>
      <c r="G52" s="811" t="str">
        <f>"CAPM Ajust Colombia ("&amp;TEXT(Variables!$F$85,"0,00%")&amp;")"</f>
        <v>CAPM Ajust Colombia (1,61%)</v>
      </c>
    </row>
    <row r="53" spans="1:7" ht="15" customHeight="1" thickBot="1" x14ac:dyDescent="0.4">
      <c r="B53" s="823"/>
      <c r="C53" s="826"/>
      <c r="D53" s="808"/>
      <c r="E53" s="808"/>
      <c r="F53" s="810"/>
      <c r="G53" s="812"/>
    </row>
    <row r="54" spans="1:7" ht="15" thickBot="1" x14ac:dyDescent="0.4"/>
    <row r="55" spans="1:7" x14ac:dyDescent="0.35">
      <c r="B55" s="564" t="str">
        <f>Variables!$D$9</f>
        <v>Optimista</v>
      </c>
      <c r="C55" s="580">
        <v>1.25</v>
      </c>
      <c r="D55" s="568">
        <v>8.2464414399763264E-2</v>
      </c>
      <c r="E55" s="568">
        <v>1.5879956138789439</v>
      </c>
      <c r="F55" s="584">
        <v>550234812</v>
      </c>
      <c r="G55" s="585">
        <v>462538721.55743116</v>
      </c>
    </row>
    <row r="56" spans="1:7" x14ac:dyDescent="0.35">
      <c r="B56" s="565" t="str">
        <f>Variables!$D$10</f>
        <v>Normal</v>
      </c>
      <c r="C56" s="581">
        <v>1</v>
      </c>
      <c r="D56" s="569">
        <v>5.0100389914455867E-2</v>
      </c>
      <c r="E56" s="569">
        <v>0.79791781970023301</v>
      </c>
      <c r="F56" s="573">
        <v>303420234</v>
      </c>
      <c r="G56" s="574">
        <v>238524051.02383605</v>
      </c>
    </row>
    <row r="57" spans="1:7" x14ac:dyDescent="0.35">
      <c r="B57" s="565" t="str">
        <f>Variables!$D$11</f>
        <v>Pesimista</v>
      </c>
      <c r="C57" s="581">
        <v>0.75</v>
      </c>
      <c r="D57" s="569">
        <v>-2.5380362884672714E-3</v>
      </c>
      <c r="E57" s="569">
        <v>-3.0034864342600831E-2</v>
      </c>
      <c r="F57" s="573">
        <v>-77352303</v>
      </c>
      <c r="G57" s="574">
        <v>-92228214.659732878</v>
      </c>
    </row>
    <row r="58" spans="1:7" ht="15" thickBot="1" x14ac:dyDescent="0.4">
      <c r="B58" s="566" t="str">
        <f>Variables!$D$12</f>
        <v>Buscado</v>
      </c>
      <c r="C58" s="582">
        <v>0.9</v>
      </c>
      <c r="D58" s="572">
        <v>3.6369627586405162E-2</v>
      </c>
      <c r="E58" s="572">
        <v>0.53523945110346838</v>
      </c>
      <c r="F58" s="586">
        <v>197519457</v>
      </c>
      <c r="G58" s="587">
        <v>143922192.67261252</v>
      </c>
    </row>
    <row r="60" spans="1:7" ht="15" thickBot="1" x14ac:dyDescent="0.4"/>
    <row r="61" spans="1:7" ht="19" thickBot="1" x14ac:dyDescent="0.5">
      <c r="A61" s="583">
        <f>MAX($A$3:$A60)+1</f>
        <v>4</v>
      </c>
      <c r="B61" s="827" t="str">
        <f>"Resultados Combinación "&amp;A61</f>
        <v>Resultados Combinación 4</v>
      </c>
      <c r="C61" s="828"/>
      <c r="D61" s="828"/>
      <c r="E61" s="828"/>
      <c r="F61" s="828"/>
      <c r="G61" s="829"/>
    </row>
    <row r="62" spans="1:7" ht="15" thickBot="1" x14ac:dyDescent="0.4"/>
    <row r="63" spans="1:7" x14ac:dyDescent="0.35">
      <c r="B63" s="830" t="s">
        <v>824</v>
      </c>
      <c r="C63" s="831"/>
      <c r="D63" s="576">
        <v>1</v>
      </c>
      <c r="E63" s="577" t="s">
        <v>224</v>
      </c>
    </row>
    <row r="64" spans="1:7" x14ac:dyDescent="0.35">
      <c r="B64" s="813" t="s">
        <v>819</v>
      </c>
      <c r="C64" s="814"/>
      <c r="D64" s="575">
        <v>1</v>
      </c>
      <c r="E64" s="578" t="s">
        <v>224</v>
      </c>
    </row>
    <row r="65" spans="1:7" x14ac:dyDescent="0.35">
      <c r="B65" s="813" t="s">
        <v>62</v>
      </c>
      <c r="C65" s="814"/>
      <c r="D65" s="575">
        <v>1</v>
      </c>
      <c r="E65" s="579" t="s">
        <v>190</v>
      </c>
    </row>
    <row r="66" spans="1:7" x14ac:dyDescent="0.35">
      <c r="B66" s="813" t="s">
        <v>373</v>
      </c>
      <c r="C66" s="814"/>
      <c r="D66" s="832">
        <v>0.05</v>
      </c>
      <c r="E66" s="833"/>
    </row>
    <row r="67" spans="1:7" x14ac:dyDescent="0.35">
      <c r="B67" s="813" t="s">
        <v>825</v>
      </c>
      <c r="C67" s="814"/>
      <c r="D67" s="815" t="s">
        <v>826</v>
      </c>
      <c r="E67" s="816"/>
    </row>
    <row r="68" spans="1:7" ht="15" thickBot="1" x14ac:dyDescent="0.4">
      <c r="B68" s="817" t="s">
        <v>811</v>
      </c>
      <c r="C68" s="818"/>
      <c r="D68" s="819">
        <v>1</v>
      </c>
      <c r="E68" s="820"/>
    </row>
    <row r="69" spans="1:7" ht="15" thickBot="1" x14ac:dyDescent="0.4"/>
    <row r="70" spans="1:7" ht="15.5" x14ac:dyDescent="0.35">
      <c r="B70" s="821" t="s">
        <v>544</v>
      </c>
      <c r="C70" s="824" t="s">
        <v>828</v>
      </c>
      <c r="D70" s="805" t="s">
        <v>189</v>
      </c>
      <c r="E70" s="805"/>
      <c r="F70" s="805" t="s">
        <v>532</v>
      </c>
      <c r="G70" s="806"/>
    </row>
    <row r="71" spans="1:7" ht="14.5" customHeight="1" x14ac:dyDescent="0.35">
      <c r="B71" s="822"/>
      <c r="C71" s="825"/>
      <c r="D71" s="807" t="s">
        <v>190</v>
      </c>
      <c r="E71" s="807" t="s">
        <v>71</v>
      </c>
      <c r="F71" s="809" t="str">
        <f>"CAPM General ("&amp;TEXT(Variables!$F$84,"0,00%")&amp;")"</f>
        <v>CAPM General (1,16%)</v>
      </c>
      <c r="G71" s="811" t="str">
        <f>"CAPM Ajust Colombia ("&amp;TEXT(Variables!$F$85,"0,00%")&amp;")"</f>
        <v>CAPM Ajust Colombia (1,61%)</v>
      </c>
    </row>
    <row r="72" spans="1:7" ht="15" customHeight="1" thickBot="1" x14ac:dyDescent="0.4">
      <c r="B72" s="823"/>
      <c r="C72" s="826"/>
      <c r="D72" s="808"/>
      <c r="E72" s="808"/>
      <c r="F72" s="810"/>
      <c r="G72" s="812"/>
    </row>
    <row r="73" spans="1:7" ht="15" thickBot="1" x14ac:dyDescent="0.4"/>
    <row r="74" spans="1:7" x14ac:dyDescent="0.35">
      <c r="B74" s="564" t="str">
        <f>Variables!$D$9</f>
        <v>Optimista</v>
      </c>
      <c r="C74" s="580">
        <v>1.25</v>
      </c>
      <c r="D74" s="568">
        <v>0.10349033281509401</v>
      </c>
      <c r="E74" s="568">
        <v>2.2600359874320946</v>
      </c>
      <c r="F74" s="584">
        <v>438255564</v>
      </c>
      <c r="G74" s="585">
        <v>379843448.97463477</v>
      </c>
    </row>
    <row r="75" spans="1:7" x14ac:dyDescent="0.35">
      <c r="B75" s="565" t="str">
        <f>Variables!$D$10</f>
        <v>Normal</v>
      </c>
      <c r="C75" s="581">
        <v>1</v>
      </c>
      <c r="D75" s="569">
        <v>8.0878663308847631E-2</v>
      </c>
      <c r="E75" s="569">
        <v>1.5428651318933082</v>
      </c>
      <c r="F75" s="573">
        <v>352034525</v>
      </c>
      <c r="G75" s="574">
        <v>292406088.87174112</v>
      </c>
    </row>
    <row r="76" spans="1:7" x14ac:dyDescent="0.35">
      <c r="B76" s="565" t="str">
        <f>Variables!$D$11</f>
        <v>Pesimista</v>
      </c>
      <c r="C76" s="581">
        <v>0.75</v>
      </c>
      <c r="D76" s="569">
        <v>2.7588513443161933E-3</v>
      </c>
      <c r="E76" s="569">
        <v>3.3613207777737575E-2</v>
      </c>
      <c r="F76" s="573">
        <v>-39472046</v>
      </c>
      <c r="G76" s="574">
        <v>-53424116.558957763</v>
      </c>
    </row>
    <row r="77" spans="1:7" ht="15" thickBot="1" x14ac:dyDescent="0.4">
      <c r="B77" s="566" t="str">
        <f>Variables!$D$12</f>
        <v>Buscado</v>
      </c>
      <c r="C77" s="582">
        <v>0.9</v>
      </c>
      <c r="D77" s="572">
        <v>5.4938689670744667E-2</v>
      </c>
      <c r="E77" s="572">
        <v>0.89988206690908079</v>
      </c>
      <c r="F77" s="586">
        <v>244769430</v>
      </c>
      <c r="G77" s="587">
        <v>193184076.29897961</v>
      </c>
    </row>
    <row r="79" spans="1:7" ht="15" thickBot="1" x14ac:dyDescent="0.4"/>
    <row r="80" spans="1:7" ht="19" thickBot="1" x14ac:dyDescent="0.5">
      <c r="A80" s="583">
        <f>MAX($A$3:$A79)+1</f>
        <v>5</v>
      </c>
      <c r="B80" s="827" t="str">
        <f>"Resultados Combinación "&amp;A80</f>
        <v>Resultados Combinación 5</v>
      </c>
      <c r="C80" s="828"/>
      <c r="D80" s="828"/>
      <c r="E80" s="828"/>
      <c r="F80" s="828"/>
      <c r="G80" s="829"/>
    </row>
    <row r="81" spans="2:7" ht="15" thickBot="1" x14ac:dyDescent="0.4"/>
    <row r="82" spans="2:7" x14ac:dyDescent="0.35">
      <c r="B82" s="830" t="s">
        <v>824</v>
      </c>
      <c r="C82" s="831"/>
      <c r="D82" s="576">
        <v>1</v>
      </c>
      <c r="E82" s="577" t="s">
        <v>224</v>
      </c>
    </row>
    <row r="83" spans="2:7" x14ac:dyDescent="0.35">
      <c r="B83" s="813" t="s">
        <v>819</v>
      </c>
      <c r="C83" s="814"/>
      <c r="D83" s="575">
        <v>0</v>
      </c>
      <c r="E83" s="578" t="s">
        <v>831</v>
      </c>
    </row>
    <row r="84" spans="2:7" x14ac:dyDescent="0.35">
      <c r="B84" s="813" t="s">
        <v>62</v>
      </c>
      <c r="C84" s="814"/>
      <c r="D84" s="575">
        <v>2</v>
      </c>
      <c r="E84" s="579" t="s">
        <v>224</v>
      </c>
    </row>
    <row r="85" spans="2:7" x14ac:dyDescent="0.35">
      <c r="B85" s="813" t="s">
        <v>373</v>
      </c>
      <c r="C85" s="814"/>
      <c r="D85" s="832">
        <v>0.05</v>
      </c>
      <c r="E85" s="833"/>
    </row>
    <row r="86" spans="2:7" x14ac:dyDescent="0.35">
      <c r="B86" s="813" t="s">
        <v>825</v>
      </c>
      <c r="C86" s="814"/>
      <c r="D86" s="815" t="s">
        <v>826</v>
      </c>
      <c r="E86" s="816"/>
    </row>
    <row r="87" spans="2:7" ht="15" thickBot="1" x14ac:dyDescent="0.4">
      <c r="B87" s="817" t="s">
        <v>811</v>
      </c>
      <c r="C87" s="818"/>
      <c r="D87" s="819">
        <v>1</v>
      </c>
      <c r="E87" s="820"/>
    </row>
    <row r="88" spans="2:7" ht="15" thickBot="1" x14ac:dyDescent="0.4"/>
    <row r="89" spans="2:7" ht="15.5" x14ac:dyDescent="0.35">
      <c r="B89" s="821" t="s">
        <v>544</v>
      </c>
      <c r="C89" s="824" t="s">
        <v>828</v>
      </c>
      <c r="D89" s="805" t="s">
        <v>189</v>
      </c>
      <c r="E89" s="805"/>
      <c r="F89" s="805" t="s">
        <v>532</v>
      </c>
      <c r="G89" s="806"/>
    </row>
    <row r="90" spans="2:7" ht="14.5" customHeight="1" x14ac:dyDescent="0.35">
      <c r="B90" s="822"/>
      <c r="C90" s="825"/>
      <c r="D90" s="807" t="s">
        <v>190</v>
      </c>
      <c r="E90" s="807" t="s">
        <v>71</v>
      </c>
      <c r="F90" s="809" t="str">
        <f>"CAPM General ("&amp;TEXT(Variables!$F$84,"0,00%")&amp;")"</f>
        <v>CAPM General (1,16%)</v>
      </c>
      <c r="G90" s="811" t="str">
        <f>"CAPM Ajust Colombia ("&amp;TEXT(Variables!$F$85,"0,00%")&amp;")"</f>
        <v>CAPM Ajust Colombia (1,61%)</v>
      </c>
    </row>
    <row r="91" spans="2:7" ht="15" customHeight="1" thickBot="1" x14ac:dyDescent="0.4">
      <c r="B91" s="823"/>
      <c r="C91" s="826"/>
      <c r="D91" s="808"/>
      <c r="E91" s="808"/>
      <c r="F91" s="810"/>
      <c r="G91" s="812"/>
    </row>
    <row r="92" spans="2:7" ht="15" thickBot="1" x14ac:dyDescent="0.4"/>
    <row r="93" spans="2:7" x14ac:dyDescent="0.35">
      <c r="B93" s="564" t="str">
        <f>Variables!$D$9</f>
        <v>Optimista</v>
      </c>
      <c r="C93" s="580">
        <v>1.25</v>
      </c>
      <c r="D93" s="568">
        <v>4.4166701400152775E-2</v>
      </c>
      <c r="E93" s="568">
        <v>0.67972456171148177</v>
      </c>
      <c r="F93" s="584">
        <v>296917671</v>
      </c>
      <c r="G93" s="585">
        <v>242689961.17836288</v>
      </c>
    </row>
    <row r="94" spans="2:7" x14ac:dyDescent="0.35">
      <c r="B94" s="565" t="str">
        <f>Variables!$D$10</f>
        <v>Normal</v>
      </c>
      <c r="C94" s="581">
        <v>1</v>
      </c>
      <c r="D94" s="569">
        <v>2.8897387844555533E-2</v>
      </c>
      <c r="E94" s="569">
        <v>0.40755306137191005</v>
      </c>
      <c r="F94" s="573">
        <v>165042109</v>
      </c>
      <c r="G94" s="574">
        <v>111110693.99276434</v>
      </c>
    </row>
    <row r="95" spans="2:7" x14ac:dyDescent="0.35">
      <c r="B95" s="565" t="str">
        <f>Variables!$D$11</f>
        <v>Pesimista</v>
      </c>
      <c r="C95" s="581">
        <v>0.75</v>
      </c>
      <c r="D95" s="569">
        <v>-2.0659115535596739E-2</v>
      </c>
      <c r="E95" s="569">
        <v>-0.22159319478593253</v>
      </c>
      <c r="F95" s="573">
        <v>-207116047</v>
      </c>
      <c r="G95" s="574">
        <v>-214318365.68316498</v>
      </c>
    </row>
    <row r="96" spans="2:7" ht="15" thickBot="1" x14ac:dyDescent="0.4">
      <c r="B96" s="566" t="str">
        <f>Variables!$D$12</f>
        <v>Buscado</v>
      </c>
      <c r="C96" s="582">
        <v>0.9</v>
      </c>
      <c r="D96" s="572">
        <v>1.877266588315174E-2</v>
      </c>
      <c r="E96" s="572">
        <v>0.25005007253653133</v>
      </c>
      <c r="F96" s="586">
        <v>68719847</v>
      </c>
      <c r="G96" s="587">
        <v>23384489.705277879</v>
      </c>
    </row>
    <row r="98" spans="1:7" ht="15" thickBot="1" x14ac:dyDescent="0.4"/>
    <row r="99" spans="1:7" ht="19" thickBot="1" x14ac:dyDescent="0.5">
      <c r="A99" s="583">
        <f>MAX($A$3:$A98)+1</f>
        <v>6</v>
      </c>
      <c r="B99" s="827" t="str">
        <f>"Resultados Combinación "&amp;A99</f>
        <v>Resultados Combinación 6</v>
      </c>
      <c r="C99" s="828"/>
      <c r="D99" s="828"/>
      <c r="E99" s="828"/>
      <c r="F99" s="828"/>
      <c r="G99" s="829"/>
    </row>
    <row r="100" spans="1:7" ht="15" thickBot="1" x14ac:dyDescent="0.4"/>
    <row r="101" spans="1:7" x14ac:dyDescent="0.35">
      <c r="B101" s="830" t="s">
        <v>824</v>
      </c>
      <c r="C101" s="831"/>
      <c r="D101" s="576">
        <v>1</v>
      </c>
      <c r="E101" s="577" t="s">
        <v>224</v>
      </c>
    </row>
    <row r="102" spans="1:7" x14ac:dyDescent="0.35">
      <c r="B102" s="813" t="s">
        <v>819</v>
      </c>
      <c r="C102" s="814"/>
      <c r="D102" s="575">
        <v>0</v>
      </c>
      <c r="E102" s="578" t="s">
        <v>831</v>
      </c>
    </row>
    <row r="103" spans="1:7" x14ac:dyDescent="0.35">
      <c r="B103" s="813" t="s">
        <v>62</v>
      </c>
      <c r="C103" s="814"/>
      <c r="D103" s="575">
        <v>1</v>
      </c>
      <c r="E103" s="579" t="s">
        <v>190</v>
      </c>
    </row>
    <row r="104" spans="1:7" x14ac:dyDescent="0.35">
      <c r="B104" s="813" t="s">
        <v>373</v>
      </c>
      <c r="C104" s="814"/>
      <c r="D104" s="832">
        <v>0.1</v>
      </c>
      <c r="E104" s="833"/>
    </row>
    <row r="105" spans="1:7" x14ac:dyDescent="0.35">
      <c r="B105" s="813" t="s">
        <v>825</v>
      </c>
      <c r="C105" s="814"/>
      <c r="D105" s="815" t="s">
        <v>826</v>
      </c>
      <c r="E105" s="816"/>
    </row>
    <row r="106" spans="1:7" ht="15" thickBot="1" x14ac:dyDescent="0.4">
      <c r="B106" s="817" t="s">
        <v>811</v>
      </c>
      <c r="C106" s="818"/>
      <c r="D106" s="819">
        <v>1</v>
      </c>
      <c r="E106" s="820"/>
    </row>
    <row r="107" spans="1:7" ht="15" thickBot="1" x14ac:dyDescent="0.4"/>
    <row r="108" spans="1:7" ht="15.5" x14ac:dyDescent="0.35">
      <c r="B108" s="821" t="s">
        <v>544</v>
      </c>
      <c r="C108" s="824" t="s">
        <v>828</v>
      </c>
      <c r="D108" s="805" t="s">
        <v>189</v>
      </c>
      <c r="E108" s="805"/>
      <c r="F108" s="805" t="s">
        <v>532</v>
      </c>
      <c r="G108" s="806"/>
    </row>
    <row r="109" spans="1:7" ht="14.5" customHeight="1" x14ac:dyDescent="0.35">
      <c r="B109" s="822"/>
      <c r="C109" s="825"/>
      <c r="D109" s="807" t="s">
        <v>190</v>
      </c>
      <c r="E109" s="807" t="s">
        <v>71</v>
      </c>
      <c r="F109" s="809" t="str">
        <f>"CAPM General ("&amp;TEXT(Variables!$F$84,"0,00%")&amp;")"</f>
        <v>CAPM General (1,16%)</v>
      </c>
      <c r="G109" s="811" t="str">
        <f>"CAPM Ajust Colombia ("&amp;TEXT(Variables!$F$85,"0,00%")&amp;")"</f>
        <v>CAPM Ajust Colombia (1,61%)</v>
      </c>
    </row>
    <row r="110" spans="1:7" ht="15" customHeight="1" thickBot="1" x14ac:dyDescent="0.4">
      <c r="B110" s="823"/>
      <c r="C110" s="826"/>
      <c r="D110" s="808"/>
      <c r="E110" s="808"/>
      <c r="F110" s="810"/>
      <c r="G110" s="812"/>
    </row>
    <row r="111" spans="1:7" ht="15" thickBot="1" x14ac:dyDescent="0.4"/>
    <row r="112" spans="1:7" x14ac:dyDescent="0.35">
      <c r="B112" s="564" t="str">
        <f>Variables!$D$9</f>
        <v>Optimista</v>
      </c>
      <c r="C112" s="580">
        <v>1.25</v>
      </c>
      <c r="D112" s="568">
        <v>5.0849468403759257E-2</v>
      </c>
      <c r="E112" s="568">
        <v>0.81336866325469437</v>
      </c>
      <c r="F112" s="584">
        <v>325535062</v>
      </c>
      <c r="G112" s="585">
        <v>254439712.96174094</v>
      </c>
    </row>
    <row r="113" spans="1:7" x14ac:dyDescent="0.35">
      <c r="B113" s="565" t="str">
        <f>Variables!$D$10</f>
        <v>Normal</v>
      </c>
      <c r="C113" s="581">
        <v>1</v>
      </c>
      <c r="D113" s="569">
        <v>1.8267373034130951E-3</v>
      </c>
      <c r="E113" s="569">
        <v>2.2142434203237471E-2</v>
      </c>
      <c r="F113" s="573">
        <v>-47247268</v>
      </c>
      <c r="G113" s="574">
        <v>-62227442.936135538</v>
      </c>
    </row>
    <row r="114" spans="1:7" x14ac:dyDescent="0.35">
      <c r="B114" s="565" t="str">
        <f>Variables!$D$11</f>
        <v>Pesimista</v>
      </c>
      <c r="C114" s="581">
        <v>0.75</v>
      </c>
      <c r="D114" s="602" t="s">
        <v>45</v>
      </c>
      <c r="E114" s="602" t="s">
        <v>45</v>
      </c>
      <c r="F114" s="573">
        <v>-294944569</v>
      </c>
      <c r="G114" s="574">
        <v>-282541433.07472843</v>
      </c>
    </row>
    <row r="115" spans="1:7" ht="15" thickBot="1" x14ac:dyDescent="0.4">
      <c r="B115" s="566" t="str">
        <f>Variables!$D$12</f>
        <v>Buscado</v>
      </c>
      <c r="C115" s="582">
        <v>0.9</v>
      </c>
      <c r="D115" s="572">
        <v>-1.4348117249782355E-2</v>
      </c>
      <c r="E115" s="572">
        <v>-0.15921942419952473</v>
      </c>
      <c r="F115" s="586">
        <v>-124705284</v>
      </c>
      <c r="G115" s="587">
        <v>-132576847.56875016</v>
      </c>
    </row>
    <row r="117" spans="1:7" ht="15" thickBot="1" x14ac:dyDescent="0.4"/>
    <row r="118" spans="1:7" ht="19" thickBot="1" x14ac:dyDescent="0.5">
      <c r="A118" s="583">
        <f>MAX($A$3:$A117)+1</f>
        <v>7</v>
      </c>
      <c r="B118" s="827" t="str">
        <f>"Resultados Combinación "&amp;A118</f>
        <v>Resultados Combinación 7</v>
      </c>
      <c r="C118" s="828"/>
      <c r="D118" s="828"/>
      <c r="E118" s="828"/>
      <c r="F118" s="828"/>
      <c r="G118" s="829"/>
    </row>
    <row r="119" spans="1:7" ht="15" thickBot="1" x14ac:dyDescent="0.4"/>
    <row r="120" spans="1:7" x14ac:dyDescent="0.35">
      <c r="B120" s="830" t="s">
        <v>824</v>
      </c>
      <c r="C120" s="831"/>
      <c r="D120" s="576">
        <v>1</v>
      </c>
      <c r="E120" s="577" t="s">
        <v>224</v>
      </c>
    </row>
    <row r="121" spans="1:7" x14ac:dyDescent="0.35">
      <c r="B121" s="813" t="s">
        <v>819</v>
      </c>
      <c r="C121" s="814"/>
      <c r="D121" s="575">
        <v>0</v>
      </c>
      <c r="E121" s="578" t="s">
        <v>831</v>
      </c>
    </row>
    <row r="122" spans="1:7" x14ac:dyDescent="0.35">
      <c r="B122" s="813" t="s">
        <v>62</v>
      </c>
      <c r="C122" s="814"/>
      <c r="D122" s="575">
        <v>1</v>
      </c>
      <c r="E122" s="579" t="s">
        <v>190</v>
      </c>
    </row>
    <row r="123" spans="1:7" x14ac:dyDescent="0.35">
      <c r="B123" s="813" t="s">
        <v>373</v>
      </c>
      <c r="C123" s="814"/>
      <c r="D123" s="832">
        <v>0.05</v>
      </c>
      <c r="E123" s="833"/>
    </row>
    <row r="124" spans="1:7" x14ac:dyDescent="0.35">
      <c r="B124" s="813" t="s">
        <v>825</v>
      </c>
      <c r="C124" s="814"/>
      <c r="D124" s="815">
        <v>1</v>
      </c>
      <c r="E124" s="816"/>
    </row>
    <row r="125" spans="1:7" ht="15" thickBot="1" x14ac:dyDescent="0.4">
      <c r="B125" s="817" t="s">
        <v>811</v>
      </c>
      <c r="C125" s="818"/>
      <c r="D125" s="819">
        <v>1</v>
      </c>
      <c r="E125" s="820"/>
    </row>
    <row r="126" spans="1:7" ht="15" thickBot="1" x14ac:dyDescent="0.4"/>
    <row r="127" spans="1:7" ht="15.5" x14ac:dyDescent="0.35">
      <c r="B127" s="821" t="s">
        <v>544</v>
      </c>
      <c r="C127" s="824" t="s">
        <v>828</v>
      </c>
      <c r="D127" s="805" t="s">
        <v>189</v>
      </c>
      <c r="E127" s="805"/>
      <c r="F127" s="805" t="s">
        <v>532</v>
      </c>
      <c r="G127" s="806"/>
    </row>
    <row r="128" spans="1:7" ht="14.5" customHeight="1" x14ac:dyDescent="0.35">
      <c r="B128" s="822"/>
      <c r="C128" s="825"/>
      <c r="D128" s="807" t="s">
        <v>190</v>
      </c>
      <c r="E128" s="807" t="s">
        <v>71</v>
      </c>
      <c r="F128" s="809" t="str">
        <f>"CAPM General ("&amp;TEXT(Variables!$F$84,"0,00%")&amp;")"</f>
        <v>CAPM General (1,16%)</v>
      </c>
      <c r="G128" s="811" t="str">
        <f>"CAPM Ajust Colombia ("&amp;TEXT(Variables!$F$85,"0,00%")&amp;")"</f>
        <v>CAPM Ajust Colombia (1,61%)</v>
      </c>
    </row>
    <row r="129" spans="1:7" ht="15" customHeight="1" thickBot="1" x14ac:dyDescent="0.4">
      <c r="B129" s="823"/>
      <c r="C129" s="826"/>
      <c r="D129" s="808"/>
      <c r="E129" s="808"/>
      <c r="F129" s="810"/>
      <c r="G129" s="812"/>
    </row>
    <row r="130" spans="1:7" ht="15" thickBot="1" x14ac:dyDescent="0.4"/>
    <row r="131" spans="1:7" x14ac:dyDescent="0.35">
      <c r="B131" s="564" t="str">
        <f>Variables!$D$9</f>
        <v>Optimista</v>
      </c>
      <c r="C131" s="580">
        <v>1.25</v>
      </c>
      <c r="D131" s="568">
        <v>0.14887888756402967</v>
      </c>
      <c r="E131" s="568">
        <v>4.2879943701018401</v>
      </c>
      <c r="F131" s="584">
        <v>957216621</v>
      </c>
      <c r="G131" s="585">
        <v>836188347.60834134</v>
      </c>
    </row>
    <row r="132" spans="1:7" x14ac:dyDescent="0.35">
      <c r="B132" s="565" t="str">
        <f>Variables!$D$10</f>
        <v>Normal</v>
      </c>
      <c r="C132" s="581">
        <v>1</v>
      </c>
      <c r="D132" s="569">
        <v>0.1325277687310944</v>
      </c>
      <c r="E132" s="569">
        <v>3.4523194054625028</v>
      </c>
      <c r="F132" s="573">
        <v>675720646</v>
      </c>
      <c r="G132" s="574">
        <v>584391471.02197921</v>
      </c>
    </row>
    <row r="133" spans="1:7" x14ac:dyDescent="0.35">
      <c r="B133" s="565" t="str">
        <f>Variables!$D$11</f>
        <v>Pesimista</v>
      </c>
      <c r="C133" s="581">
        <v>0.75</v>
      </c>
      <c r="D133" s="569">
        <v>8.6311165570705839E-2</v>
      </c>
      <c r="E133" s="569">
        <v>1.7005419072391845</v>
      </c>
      <c r="F133" s="573">
        <v>346837868</v>
      </c>
      <c r="G133" s="574">
        <v>295975196.59214753</v>
      </c>
    </row>
    <row r="134" spans="1:7" ht="15" thickBot="1" x14ac:dyDescent="0.4">
      <c r="B134" s="566" t="str">
        <f>Variables!$D$12</f>
        <v>Buscado</v>
      </c>
      <c r="C134" s="582">
        <v>0.9</v>
      </c>
      <c r="D134" s="572">
        <v>0.11964418863898763</v>
      </c>
      <c r="E134" s="572">
        <v>2.8811494253738941</v>
      </c>
      <c r="F134" s="586">
        <v>535495224</v>
      </c>
      <c r="G134" s="587">
        <v>464091817.7370249</v>
      </c>
    </row>
    <row r="136" spans="1:7" ht="15" thickBot="1" x14ac:dyDescent="0.4"/>
    <row r="137" spans="1:7" ht="19" thickBot="1" x14ac:dyDescent="0.5">
      <c r="A137" s="583">
        <f>MAX($A$3:$A136)+1</f>
        <v>8</v>
      </c>
      <c r="B137" s="827" t="str">
        <f>"Resultados Combinación "&amp;A137</f>
        <v>Resultados Combinación 8</v>
      </c>
      <c r="C137" s="828"/>
      <c r="D137" s="828"/>
      <c r="E137" s="828"/>
      <c r="F137" s="828"/>
      <c r="G137" s="829"/>
    </row>
    <row r="138" spans="1:7" ht="15" thickBot="1" x14ac:dyDescent="0.4"/>
    <row r="139" spans="1:7" x14ac:dyDescent="0.35">
      <c r="B139" s="830" t="s">
        <v>824</v>
      </c>
      <c r="C139" s="831"/>
      <c r="D139" s="576">
        <f>Variables!$B$19</f>
        <v>1</v>
      </c>
      <c r="E139" s="577" t="str">
        <f>IF(D139=0,"Contado","Meses")</f>
        <v>Meses</v>
      </c>
    </row>
    <row r="140" spans="1:7" x14ac:dyDescent="0.35">
      <c r="B140" s="813" t="s">
        <v>819</v>
      </c>
      <c r="C140" s="814"/>
      <c r="D140" s="575">
        <f>Variables!$B$20</f>
        <v>0</v>
      </c>
      <c r="E140" s="578" t="str">
        <f>IF(D140=0,"Contado","Meses")</f>
        <v>Contado</v>
      </c>
    </row>
    <row r="141" spans="1:7" x14ac:dyDescent="0.35">
      <c r="B141" s="813" t="s">
        <v>62</v>
      </c>
      <c r="C141" s="814"/>
      <c r="D141" s="575">
        <f>Variables!$B$21</f>
        <v>1</v>
      </c>
      <c r="E141" s="579" t="str">
        <f>IF(D141=1,"Mes","Meses")</f>
        <v>Mes</v>
      </c>
    </row>
    <row r="142" spans="1:7" x14ac:dyDescent="0.35">
      <c r="B142" s="813" t="s">
        <v>373</v>
      </c>
      <c r="C142" s="814"/>
      <c r="D142" s="832">
        <f>VLOOKUP(1,Variables!$B$26:$C$27,2,0)</f>
        <v>0.05</v>
      </c>
      <c r="E142" s="833"/>
    </row>
    <row r="143" spans="1:7" x14ac:dyDescent="0.35">
      <c r="B143" s="813" t="s">
        <v>825</v>
      </c>
      <c r="C143" s="814"/>
      <c r="D143" s="815" t="str">
        <f>IF(Variables!$B$51=1,1,"")</f>
        <v/>
      </c>
      <c r="E143" s="816"/>
    </row>
    <row r="144" spans="1:7" ht="15" thickBot="1" x14ac:dyDescent="0.4">
      <c r="B144" s="817" t="s">
        <v>811</v>
      </c>
      <c r="C144" s="818"/>
      <c r="D144" s="819">
        <f>IF(Variables!$B$78=1,1,"")</f>
        <v>1</v>
      </c>
      <c r="E144" s="820"/>
    </row>
    <row r="145" spans="1:7" ht="15" thickBot="1" x14ac:dyDescent="0.4"/>
    <row r="146" spans="1:7" ht="15.5" x14ac:dyDescent="0.35">
      <c r="B146" s="821" t="s">
        <v>544</v>
      </c>
      <c r="C146" s="824" t="s">
        <v>828</v>
      </c>
      <c r="D146" s="805" t="s">
        <v>189</v>
      </c>
      <c r="E146" s="805"/>
      <c r="F146" s="805" t="s">
        <v>532</v>
      </c>
      <c r="G146" s="806"/>
    </row>
    <row r="147" spans="1:7" ht="14.5" customHeight="1" x14ac:dyDescent="0.35">
      <c r="B147" s="822"/>
      <c r="C147" s="825"/>
      <c r="D147" s="807" t="s">
        <v>190</v>
      </c>
      <c r="E147" s="807" t="s">
        <v>71</v>
      </c>
      <c r="F147" s="809" t="str">
        <f>"CAPM General ("&amp;TEXT(Variables!$F$84,"0,00%")&amp;")"</f>
        <v>CAPM General (1,16%)</v>
      </c>
      <c r="G147" s="811" t="str">
        <f>"CAPM Ajust Colombia ("&amp;TEXT(Variables!$F$85,"0,00%")&amp;")"</f>
        <v>CAPM Ajust Colombia (1,61%)</v>
      </c>
    </row>
    <row r="148" spans="1:7" ht="15" customHeight="1" thickBot="1" x14ac:dyDescent="0.4">
      <c r="B148" s="823"/>
      <c r="C148" s="826"/>
      <c r="D148" s="808"/>
      <c r="E148" s="808"/>
      <c r="F148" s="810"/>
      <c r="G148" s="812"/>
    </row>
    <row r="149" spans="1:7" ht="15" thickBot="1" x14ac:dyDescent="0.4"/>
    <row r="150" spans="1:7" x14ac:dyDescent="0.35">
      <c r="B150" s="564" t="str">
        <f>Variables!$D$9</f>
        <v>Optimista</v>
      </c>
      <c r="C150" s="580">
        <v>1.25</v>
      </c>
      <c r="D150" s="568">
        <v>0.13622805512661862</v>
      </c>
      <c r="E150" s="568">
        <v>3.6300544803238859</v>
      </c>
      <c r="F150" s="584">
        <v>920250110</v>
      </c>
      <c r="G150" s="585">
        <v>773673259.85534275</v>
      </c>
    </row>
    <row r="151" spans="1:7" x14ac:dyDescent="0.35">
      <c r="B151" s="565" t="str">
        <f>Variables!$D$10</f>
        <v>Normal</v>
      </c>
      <c r="C151" s="581">
        <v>1</v>
      </c>
      <c r="D151" s="569">
        <v>6.682801960304996E-2</v>
      </c>
      <c r="E151" s="569">
        <v>1.173366476127899</v>
      </c>
      <c r="F151" s="573">
        <v>319230846</v>
      </c>
      <c r="G151" s="574">
        <v>260428607.48685488</v>
      </c>
    </row>
    <row r="152" spans="1:7" x14ac:dyDescent="0.35">
      <c r="B152" s="565" t="str">
        <f>Variables!$D$11</f>
        <v>Pesimista</v>
      </c>
      <c r="C152" s="581">
        <v>0.75</v>
      </c>
      <c r="D152" s="569">
        <v>-2.751825182828016E-3</v>
      </c>
      <c r="E152" s="569">
        <v>-3.2526670600794505E-2</v>
      </c>
      <c r="F152" s="573">
        <v>-72734404</v>
      </c>
      <c r="G152" s="574">
        <v>-86041808.493706644</v>
      </c>
    </row>
    <row r="153" spans="1:7" ht="15" thickBot="1" x14ac:dyDescent="0.4">
      <c r="B153" s="566" t="str">
        <f>Variables!$D$12</f>
        <v>Buscado</v>
      </c>
      <c r="C153" s="582">
        <v>0.9</v>
      </c>
      <c r="D153" s="572">
        <v>4.2243437543072915E-2</v>
      </c>
      <c r="E153" s="572">
        <v>0.64297150546882142</v>
      </c>
      <c r="F153" s="586">
        <v>201324746</v>
      </c>
      <c r="G153" s="587">
        <v>151966310.42620251</v>
      </c>
    </row>
    <row r="155" spans="1:7" ht="15" thickBot="1" x14ac:dyDescent="0.4"/>
    <row r="156" spans="1:7" ht="19" thickBot="1" x14ac:dyDescent="0.5">
      <c r="A156" s="583">
        <f>MAX($A$3:$A155)+1</f>
        <v>9</v>
      </c>
      <c r="B156" s="827" t="str">
        <f>"Resultados Combinación "&amp;A156</f>
        <v>Resultados Combinación 9</v>
      </c>
      <c r="C156" s="828"/>
      <c r="D156" s="828"/>
      <c r="E156" s="828"/>
      <c r="F156" s="828"/>
      <c r="G156" s="829"/>
    </row>
    <row r="157" spans="1:7" ht="15" thickBot="1" x14ac:dyDescent="0.4"/>
    <row r="158" spans="1:7" x14ac:dyDescent="0.35">
      <c r="B158" s="830" t="s">
        <v>824</v>
      </c>
      <c r="C158" s="831"/>
      <c r="D158" s="576">
        <f>Variables!$B$19</f>
        <v>1</v>
      </c>
      <c r="E158" s="577" t="str">
        <f>IF(D158=0,"Contado","Meses")</f>
        <v>Meses</v>
      </c>
    </row>
    <row r="159" spans="1:7" x14ac:dyDescent="0.35">
      <c r="B159" s="813" t="s">
        <v>819</v>
      </c>
      <c r="C159" s="814"/>
      <c r="D159" s="575">
        <f>Variables!$B$20</f>
        <v>0</v>
      </c>
      <c r="E159" s="578" t="str">
        <f>IF(D159=0,"Contado","Meses")</f>
        <v>Contado</v>
      </c>
    </row>
    <row r="160" spans="1:7" x14ac:dyDescent="0.35">
      <c r="B160" s="813" t="s">
        <v>62</v>
      </c>
      <c r="C160" s="814"/>
      <c r="D160" s="575">
        <f>Variables!$B$21</f>
        <v>1</v>
      </c>
      <c r="E160" s="579" t="str">
        <f>IF(D160=1,"Mes","Meses")</f>
        <v>Mes</v>
      </c>
    </row>
    <row r="161" spans="1:7" x14ac:dyDescent="0.35">
      <c r="B161" s="813" t="s">
        <v>373</v>
      </c>
      <c r="C161" s="814"/>
      <c r="D161" s="832">
        <f>VLOOKUP(1,Variables!$B$26:$C$27,2,0)</f>
        <v>0.05</v>
      </c>
      <c r="E161" s="833"/>
    </row>
    <row r="162" spans="1:7" x14ac:dyDescent="0.35">
      <c r="B162" s="813" t="s">
        <v>825</v>
      </c>
      <c r="C162" s="814"/>
      <c r="D162" s="815" t="str">
        <f>IF(Variables!$B$51=1,1,"")</f>
        <v/>
      </c>
      <c r="E162" s="816"/>
    </row>
    <row r="163" spans="1:7" ht="15" thickBot="1" x14ac:dyDescent="0.4">
      <c r="B163" s="817" t="s">
        <v>811</v>
      </c>
      <c r="C163" s="818"/>
      <c r="D163" s="819">
        <f>IF(Variables!$B$78=1,1,"")</f>
        <v>1</v>
      </c>
      <c r="E163" s="820"/>
    </row>
    <row r="164" spans="1:7" ht="15" thickBot="1" x14ac:dyDescent="0.4"/>
    <row r="165" spans="1:7" ht="15.5" x14ac:dyDescent="0.35">
      <c r="B165" s="821" t="s">
        <v>544</v>
      </c>
      <c r="C165" s="824" t="s">
        <v>828</v>
      </c>
      <c r="D165" s="805" t="s">
        <v>189</v>
      </c>
      <c r="E165" s="805"/>
      <c r="F165" s="805" t="s">
        <v>532</v>
      </c>
      <c r="G165" s="806"/>
    </row>
    <row r="166" spans="1:7" ht="14.5" customHeight="1" x14ac:dyDescent="0.35">
      <c r="B166" s="822"/>
      <c r="C166" s="825"/>
      <c r="D166" s="807" t="s">
        <v>190</v>
      </c>
      <c r="E166" s="807" t="s">
        <v>71</v>
      </c>
      <c r="F166" s="809" t="str">
        <f>"CAPM General ("&amp;TEXT(Variables!$F$84,"0,00%")&amp;")"</f>
        <v>CAPM General (1,16%)</v>
      </c>
      <c r="G166" s="811" t="str">
        <f>"CAPM Ajust Colombia ("&amp;TEXT(Variables!$F$85,"0,00%")&amp;")"</f>
        <v>CAPM Ajust Colombia (1,61%)</v>
      </c>
    </row>
    <row r="167" spans="1:7" ht="15" customHeight="1" thickBot="1" x14ac:dyDescent="0.4">
      <c r="B167" s="823"/>
      <c r="C167" s="826"/>
      <c r="D167" s="808"/>
      <c r="E167" s="808"/>
      <c r="F167" s="810"/>
      <c r="G167" s="812"/>
    </row>
    <row r="168" spans="1:7" ht="15" thickBot="1" x14ac:dyDescent="0.4"/>
    <row r="169" spans="1:7" x14ac:dyDescent="0.35">
      <c r="B169" s="564" t="str">
        <f>Variables!$D$9</f>
        <v>Optimista</v>
      </c>
      <c r="C169" s="580">
        <f>Variables!$C$9</f>
        <v>1.25</v>
      </c>
      <c r="D169" s="568" t="str">
        <f>IF(VLOOKUP(1,Variables!$B$9:$C$14,2,0)=$C169,Variables!$I$3,"")</f>
        <v/>
      </c>
      <c r="E169" s="568" t="str">
        <f>IF(VLOOKUP(1,Variables!$B$9:$C$14,2,0)=$C169,Variables!$K$3,"")</f>
        <v/>
      </c>
      <c r="F169" s="584" t="str">
        <f>IF(VLOOKUP(1,Variables!$B$9:$C$14,2,0)=$C169,Variables!$K$4,"")</f>
        <v/>
      </c>
      <c r="G169" s="585" t="str">
        <f>IF(VLOOKUP(1,Variables!$B$9:$C$14,2,0)=$C169,Variables!$K$5,"")</f>
        <v/>
      </c>
    </row>
    <row r="170" spans="1:7" x14ac:dyDescent="0.35">
      <c r="B170" s="565" t="str">
        <f>Variables!$D$10</f>
        <v>Normal</v>
      </c>
      <c r="C170" s="581">
        <f>Variables!$C$10</f>
        <v>1</v>
      </c>
      <c r="D170" s="569">
        <f>IF(VLOOKUP(1,Variables!$B$9:$C$14,2,0)=$C170,Variables!$I$3,"")</f>
        <v>6.2062371095210622E-2</v>
      </c>
      <c r="E170" s="569">
        <f>IF(VLOOKUP(1,Variables!$B$9:$C$14,2,0)=$C170,Variables!$K$3,"")</f>
        <v>1.0596824311475932</v>
      </c>
      <c r="F170" s="573">
        <f>IF(VLOOKUP(1,Variables!$B$9:$C$14,2,0)=$C170,Variables!$K$4,"")</f>
        <v>316862495</v>
      </c>
      <c r="G170" s="574">
        <f>IF(VLOOKUP(1,Variables!$B$9:$C$14,2,0)=$C170,Variables!$K$5,"")</f>
        <v>257090711.55200407</v>
      </c>
    </row>
    <row r="171" spans="1:7" x14ac:dyDescent="0.35">
      <c r="B171" s="565" t="str">
        <f>Variables!$D$11</f>
        <v>Pesimista</v>
      </c>
      <c r="C171" s="581">
        <f>Variables!$C$11</f>
        <v>0.75</v>
      </c>
      <c r="D171" s="569" t="str">
        <f>IF(VLOOKUP(1,Variables!$B$9:$C$14,2,0)=$C171,Variables!$I$3,"")</f>
        <v/>
      </c>
      <c r="E171" s="569" t="str">
        <f>IF(VLOOKUP(1,Variables!$B$9:$C$14,2,0)=$C171,Variables!$K$3,"")</f>
        <v/>
      </c>
      <c r="F171" s="573" t="str">
        <f>IF(VLOOKUP(1,Variables!$B$9:$C$14,2,0)=$C171,Variables!$K$4,"")</f>
        <v/>
      </c>
      <c r="G171" s="574" t="str">
        <f>IF(VLOOKUP(1,Variables!$B$9:$C$14,2,0)=$C171,Variables!$K$5,"")</f>
        <v/>
      </c>
    </row>
    <row r="172" spans="1:7" ht="15" thickBot="1" x14ac:dyDescent="0.4">
      <c r="B172" s="566" t="str">
        <f>Variables!$D$12</f>
        <v>Buscado</v>
      </c>
      <c r="C172" s="582">
        <f>Variables!$C$12</f>
        <v>0.9</v>
      </c>
      <c r="D172" s="572" t="str">
        <f>IF(VLOOKUP(1,Variables!$B$9:$C$14,2,0)=$C172,Variables!$I$3,"")</f>
        <v/>
      </c>
      <c r="E172" s="572" t="str">
        <f>IF(VLOOKUP(1,Variables!$B$9:$C$14,2,0)=$C172,Variables!$K$3,"")</f>
        <v/>
      </c>
      <c r="F172" s="586" t="str">
        <f>IF(VLOOKUP(1,Variables!$B$9:$C$14,2,0)=$C172,Variables!$K$4,"")</f>
        <v/>
      </c>
      <c r="G172" s="587" t="str">
        <f>IF(VLOOKUP(1,Variables!$B$9:$C$14,2,0)=$C172,Variables!$K$5,"")</f>
        <v/>
      </c>
    </row>
    <row r="174" spans="1:7" ht="15" thickBot="1" x14ac:dyDescent="0.4"/>
    <row r="175" spans="1:7" ht="19" thickBot="1" x14ac:dyDescent="0.5">
      <c r="A175" s="583" t="s">
        <v>827</v>
      </c>
      <c r="B175" s="827" t="s">
        <v>823</v>
      </c>
      <c r="C175" s="828"/>
      <c r="D175" s="828"/>
      <c r="E175" s="828"/>
      <c r="F175" s="828"/>
      <c r="G175" s="829"/>
    </row>
    <row r="176" spans="1:7" ht="15" thickBot="1" x14ac:dyDescent="0.4"/>
    <row r="177" spans="2:7" x14ac:dyDescent="0.35">
      <c r="B177" s="830" t="s">
        <v>824</v>
      </c>
      <c r="C177" s="831"/>
      <c r="D177" s="576">
        <f>Variables!$B$19</f>
        <v>1</v>
      </c>
      <c r="E177" s="577" t="str">
        <f>IF(D177=0,"Contado","Meses")</f>
        <v>Meses</v>
      </c>
    </row>
    <row r="178" spans="2:7" x14ac:dyDescent="0.35">
      <c r="B178" s="813" t="s">
        <v>819</v>
      </c>
      <c r="C178" s="814"/>
      <c r="D178" s="575">
        <f>Variables!$B$20</f>
        <v>0</v>
      </c>
      <c r="E178" s="578" t="str">
        <f>IF(D178=0,"Contado","Meses")</f>
        <v>Contado</v>
      </c>
    </row>
    <row r="179" spans="2:7" x14ac:dyDescent="0.35">
      <c r="B179" s="813" t="s">
        <v>62</v>
      </c>
      <c r="C179" s="814"/>
      <c r="D179" s="575">
        <f>Variables!$B$21</f>
        <v>1</v>
      </c>
      <c r="E179" s="579" t="str">
        <f>IF(D179=1,"Mes","Meses")</f>
        <v>Mes</v>
      </c>
    </row>
    <row r="180" spans="2:7" x14ac:dyDescent="0.35">
      <c r="B180" s="813" t="s">
        <v>373</v>
      </c>
      <c r="C180" s="814"/>
      <c r="D180" s="832">
        <f>VLOOKUP(1,Variables!$B$26:$C$27,2,0)</f>
        <v>0.05</v>
      </c>
      <c r="E180" s="833"/>
    </row>
    <row r="181" spans="2:7" x14ac:dyDescent="0.35">
      <c r="B181" s="813" t="s">
        <v>825</v>
      </c>
      <c r="C181" s="814"/>
      <c r="D181" s="815" t="str">
        <f>IF(Variables!$B$51=1,1,"")</f>
        <v/>
      </c>
      <c r="E181" s="816"/>
    </row>
    <row r="182" spans="2:7" ht="15" thickBot="1" x14ac:dyDescent="0.4">
      <c r="B182" s="817" t="s">
        <v>811</v>
      </c>
      <c r="C182" s="818"/>
      <c r="D182" s="819">
        <f>IF(Variables!$B$78=1,1,"")</f>
        <v>1</v>
      </c>
      <c r="E182" s="820"/>
    </row>
    <row r="183" spans="2:7" ht="15" thickBot="1" x14ac:dyDescent="0.4"/>
    <row r="184" spans="2:7" ht="15.5" x14ac:dyDescent="0.35">
      <c r="B184" s="821" t="s">
        <v>544</v>
      </c>
      <c r="C184" s="824" t="s">
        <v>828</v>
      </c>
      <c r="D184" s="805" t="s">
        <v>189</v>
      </c>
      <c r="E184" s="805"/>
      <c r="F184" s="805" t="s">
        <v>532</v>
      </c>
      <c r="G184" s="806"/>
    </row>
    <row r="185" spans="2:7" ht="14.5" customHeight="1" x14ac:dyDescent="0.35">
      <c r="B185" s="822"/>
      <c r="C185" s="825"/>
      <c r="D185" s="807" t="s">
        <v>190</v>
      </c>
      <c r="E185" s="807" t="s">
        <v>71</v>
      </c>
      <c r="F185" s="809" t="str">
        <f>"CAPM General ("&amp;TEXT(Variables!$F$84,"0,00%")&amp;")"</f>
        <v>CAPM General (1,16%)</v>
      </c>
      <c r="G185" s="811" t="str">
        <f>"CAPM Ajust Colombia ("&amp;TEXT(Variables!$F$85,"0,00%")&amp;")"</f>
        <v>CAPM Ajust Colombia (1,61%)</v>
      </c>
    </row>
    <row r="186" spans="2:7" ht="15" customHeight="1" thickBot="1" x14ac:dyDescent="0.4">
      <c r="B186" s="823"/>
      <c r="C186" s="826"/>
      <c r="D186" s="808"/>
      <c r="E186" s="808"/>
      <c r="F186" s="810"/>
      <c r="G186" s="812"/>
    </row>
    <row r="187" spans="2:7" ht="15" thickBot="1" x14ac:dyDescent="0.4"/>
    <row r="188" spans="2:7" x14ac:dyDescent="0.35">
      <c r="B188" s="564" t="str">
        <f>Variables!$D$9</f>
        <v>Optimista</v>
      </c>
      <c r="C188" s="580">
        <f>Variables!$C$9</f>
        <v>1.25</v>
      </c>
      <c r="D188" s="568" t="str">
        <f>IF(VLOOKUP(1,Variables!$B$9:$C$14,2,0)=$C188,Variables!$I$3,"")</f>
        <v/>
      </c>
      <c r="E188" s="568" t="str">
        <f>IF(VLOOKUP(1,Variables!$B$9:$C$14,2,0)=$C188,Variables!$K$3,"")</f>
        <v/>
      </c>
      <c r="F188" s="584" t="str">
        <f>IF(VLOOKUP(1,Variables!$B$9:$C$14,2,0)=$C188,Variables!$K$4,"")</f>
        <v/>
      </c>
      <c r="G188" s="585" t="str">
        <f>IF(VLOOKUP(1,Variables!$B$9:$C$14,2,0)=$C188,Variables!$K$5,"")</f>
        <v/>
      </c>
    </row>
    <row r="189" spans="2:7" x14ac:dyDescent="0.35">
      <c r="B189" s="565" t="str">
        <f>Variables!$D$10</f>
        <v>Normal</v>
      </c>
      <c r="C189" s="581">
        <f>Variables!$C$10</f>
        <v>1</v>
      </c>
      <c r="D189" s="569">
        <f>IF(VLOOKUP(1,Variables!$B$9:$C$14,2,0)=$C189,Variables!$I$3,"")</f>
        <v>6.2062371095210622E-2</v>
      </c>
      <c r="E189" s="569">
        <f>IF(VLOOKUP(1,Variables!$B$9:$C$14,2,0)=$C189,Variables!$K$3,"")</f>
        <v>1.0596824311475932</v>
      </c>
      <c r="F189" s="573">
        <f>IF(VLOOKUP(1,Variables!$B$9:$C$14,2,0)=$C189,Variables!$K$4,"")</f>
        <v>316862495</v>
      </c>
      <c r="G189" s="574">
        <f>IF(VLOOKUP(1,Variables!$B$9:$C$14,2,0)=$C189,Variables!$K$5,"")</f>
        <v>257090711.55200407</v>
      </c>
    </row>
    <row r="190" spans="2:7" x14ac:dyDescent="0.35">
      <c r="B190" s="565" t="str">
        <f>Variables!$D$11</f>
        <v>Pesimista</v>
      </c>
      <c r="C190" s="581">
        <f>Variables!$C$11</f>
        <v>0.75</v>
      </c>
      <c r="D190" s="569" t="str">
        <f>IF(VLOOKUP(1,Variables!$B$9:$C$14,2,0)=$C190,Variables!$I$3,"")</f>
        <v/>
      </c>
      <c r="E190" s="569" t="str">
        <f>IF(VLOOKUP(1,Variables!$B$9:$C$14,2,0)=$C190,Variables!$K$3,"")</f>
        <v/>
      </c>
      <c r="F190" s="573" t="str">
        <f>IF(VLOOKUP(1,Variables!$B$9:$C$14,2,0)=$C190,Variables!$K$4,"")</f>
        <v/>
      </c>
      <c r="G190" s="574" t="str">
        <f>IF(VLOOKUP(1,Variables!$B$9:$C$14,2,0)=$C190,Variables!$K$5,"")</f>
        <v/>
      </c>
    </row>
    <row r="191" spans="2:7" ht="15" thickBot="1" x14ac:dyDescent="0.4">
      <c r="B191" s="566" t="str">
        <f>Variables!$D$12</f>
        <v>Buscado</v>
      </c>
      <c r="C191" s="582">
        <f>Variables!$C$12</f>
        <v>0.9</v>
      </c>
      <c r="D191" s="572" t="str">
        <f>IF(VLOOKUP(1,Variables!$B$9:$C$14,2,0)=$C191,Variables!$I$3,"")</f>
        <v/>
      </c>
      <c r="E191" s="572" t="str">
        <f>IF(VLOOKUP(1,Variables!$B$9:$C$14,2,0)=$C191,Variables!$K$3,"")</f>
        <v/>
      </c>
      <c r="F191" s="586" t="str">
        <f>IF(VLOOKUP(1,Variables!$B$9:$C$14,2,0)=$C191,Variables!$K$4,"")</f>
        <v/>
      </c>
      <c r="G191" s="587" t="str">
        <f>IF(VLOOKUP(1,Variables!$B$9:$C$14,2,0)=$C191,Variables!$K$5,"")</f>
        <v/>
      </c>
    </row>
    <row r="193" spans="1:7" ht="15" thickBot="1" x14ac:dyDescent="0.4"/>
    <row r="194" spans="1:7" ht="19" thickBot="1" x14ac:dyDescent="0.5">
      <c r="A194" s="583" t="s">
        <v>827</v>
      </c>
      <c r="B194" s="827" t="s">
        <v>823</v>
      </c>
      <c r="C194" s="828"/>
      <c r="D194" s="828"/>
      <c r="E194" s="828"/>
      <c r="F194" s="828"/>
      <c r="G194" s="829"/>
    </row>
    <row r="195" spans="1:7" ht="15" thickBot="1" x14ac:dyDescent="0.4"/>
    <row r="196" spans="1:7" x14ac:dyDescent="0.35">
      <c r="B196" s="830" t="s">
        <v>824</v>
      </c>
      <c r="C196" s="831"/>
      <c r="D196" s="576">
        <f>Variables!$B$19</f>
        <v>1</v>
      </c>
      <c r="E196" s="577" t="str">
        <f>IF(D196=0,"Contado","Meses")</f>
        <v>Meses</v>
      </c>
    </row>
    <row r="197" spans="1:7" x14ac:dyDescent="0.35">
      <c r="B197" s="813" t="s">
        <v>819</v>
      </c>
      <c r="C197" s="814"/>
      <c r="D197" s="575">
        <f>Variables!$B$20</f>
        <v>0</v>
      </c>
      <c r="E197" s="578" t="str">
        <f>IF(D197=0,"Contado","Meses")</f>
        <v>Contado</v>
      </c>
    </row>
    <row r="198" spans="1:7" x14ac:dyDescent="0.35">
      <c r="B198" s="813" t="s">
        <v>62</v>
      </c>
      <c r="C198" s="814"/>
      <c r="D198" s="575">
        <f>Variables!$B$21</f>
        <v>1</v>
      </c>
      <c r="E198" s="579" t="str">
        <f>IF(D198=1,"Mes","Meses")</f>
        <v>Mes</v>
      </c>
    </row>
    <row r="199" spans="1:7" x14ac:dyDescent="0.35">
      <c r="B199" s="813" t="s">
        <v>373</v>
      </c>
      <c r="C199" s="814"/>
      <c r="D199" s="832">
        <f>VLOOKUP(1,Variables!$B$26:$C$27,2,0)</f>
        <v>0.05</v>
      </c>
      <c r="E199" s="833"/>
    </row>
    <row r="200" spans="1:7" x14ac:dyDescent="0.35">
      <c r="B200" s="813" t="s">
        <v>825</v>
      </c>
      <c r="C200" s="814"/>
      <c r="D200" s="815" t="str">
        <f>IF(Variables!$B$51=1,1,"")</f>
        <v/>
      </c>
      <c r="E200" s="816"/>
    </row>
    <row r="201" spans="1:7" ht="15" thickBot="1" x14ac:dyDescent="0.4">
      <c r="B201" s="817" t="s">
        <v>811</v>
      </c>
      <c r="C201" s="818"/>
      <c r="D201" s="819">
        <f>IF(Variables!$B$78=1,1,"")</f>
        <v>1</v>
      </c>
      <c r="E201" s="820"/>
    </row>
    <row r="202" spans="1:7" ht="15" thickBot="1" x14ac:dyDescent="0.4"/>
    <row r="203" spans="1:7" ht="15.5" x14ac:dyDescent="0.35">
      <c r="B203" s="821" t="s">
        <v>544</v>
      </c>
      <c r="C203" s="824" t="s">
        <v>828</v>
      </c>
      <c r="D203" s="805" t="s">
        <v>189</v>
      </c>
      <c r="E203" s="805"/>
      <c r="F203" s="805" t="s">
        <v>532</v>
      </c>
      <c r="G203" s="806"/>
    </row>
    <row r="204" spans="1:7" ht="14.5" customHeight="1" x14ac:dyDescent="0.35">
      <c r="B204" s="822"/>
      <c r="C204" s="825"/>
      <c r="D204" s="807" t="s">
        <v>190</v>
      </c>
      <c r="E204" s="807" t="s">
        <v>71</v>
      </c>
      <c r="F204" s="809" t="str">
        <f>"CAPM General ("&amp;TEXT(Variables!$F$84,"0,00%")&amp;")"</f>
        <v>CAPM General (1,16%)</v>
      </c>
      <c r="G204" s="811" t="str">
        <f>"CAPM Ajust Colombia ("&amp;TEXT(Variables!$F$85,"0,00%")&amp;")"</f>
        <v>CAPM Ajust Colombia (1,61%)</v>
      </c>
    </row>
    <row r="205" spans="1:7" ht="15" customHeight="1" thickBot="1" x14ac:dyDescent="0.4">
      <c r="B205" s="823"/>
      <c r="C205" s="826"/>
      <c r="D205" s="808"/>
      <c r="E205" s="808"/>
      <c r="F205" s="810"/>
      <c r="G205" s="812"/>
    </row>
    <row r="206" spans="1:7" ht="15" thickBot="1" x14ac:dyDescent="0.4"/>
    <row r="207" spans="1:7" x14ac:dyDescent="0.35">
      <c r="B207" s="564" t="str">
        <f>Variables!$D$9</f>
        <v>Optimista</v>
      </c>
      <c r="C207" s="580">
        <f>Variables!$C$9</f>
        <v>1.25</v>
      </c>
      <c r="D207" s="568" t="str">
        <f>IF(VLOOKUP(1,Variables!$B$9:$C$14,2,0)=$C207,Variables!$I$3,"")</f>
        <v/>
      </c>
      <c r="E207" s="568" t="str">
        <f>IF(VLOOKUP(1,Variables!$B$9:$C$14,2,0)=$C207,Variables!$K$3,"")</f>
        <v/>
      </c>
      <c r="F207" s="584" t="str">
        <f>IF(VLOOKUP(1,Variables!$B$9:$C$14,2,0)=$C207,Variables!$K$4,"")</f>
        <v/>
      </c>
      <c r="G207" s="585" t="str">
        <f>IF(VLOOKUP(1,Variables!$B$9:$C$14,2,0)=$C207,Variables!$K$5,"")</f>
        <v/>
      </c>
    </row>
    <row r="208" spans="1:7" x14ac:dyDescent="0.35">
      <c r="B208" s="565" t="str">
        <f>Variables!$D$10</f>
        <v>Normal</v>
      </c>
      <c r="C208" s="581">
        <f>Variables!$C$10</f>
        <v>1</v>
      </c>
      <c r="D208" s="569">
        <f>IF(VLOOKUP(1,Variables!$B$9:$C$14,2,0)=$C208,Variables!$I$3,"")</f>
        <v>6.2062371095210622E-2</v>
      </c>
      <c r="E208" s="569">
        <f>IF(VLOOKUP(1,Variables!$B$9:$C$14,2,0)=$C208,Variables!$K$3,"")</f>
        <v>1.0596824311475932</v>
      </c>
      <c r="F208" s="573">
        <f>IF(VLOOKUP(1,Variables!$B$9:$C$14,2,0)=$C208,Variables!$K$4,"")</f>
        <v>316862495</v>
      </c>
      <c r="G208" s="574">
        <f>IF(VLOOKUP(1,Variables!$B$9:$C$14,2,0)=$C208,Variables!$K$5,"")</f>
        <v>257090711.55200407</v>
      </c>
    </row>
    <row r="209" spans="2:7" x14ac:dyDescent="0.35">
      <c r="B209" s="565" t="str">
        <f>Variables!$D$11</f>
        <v>Pesimista</v>
      </c>
      <c r="C209" s="581">
        <f>Variables!$C$11</f>
        <v>0.75</v>
      </c>
      <c r="D209" s="569" t="str">
        <f>IF(VLOOKUP(1,Variables!$B$9:$C$14,2,0)=$C209,Variables!$I$3,"")</f>
        <v/>
      </c>
      <c r="E209" s="569" t="str">
        <f>IF(VLOOKUP(1,Variables!$B$9:$C$14,2,0)=$C209,Variables!$K$3,"")</f>
        <v/>
      </c>
      <c r="F209" s="573" t="str">
        <f>IF(VLOOKUP(1,Variables!$B$9:$C$14,2,0)=$C209,Variables!$K$4,"")</f>
        <v/>
      </c>
      <c r="G209" s="574" t="str">
        <f>IF(VLOOKUP(1,Variables!$B$9:$C$14,2,0)=$C209,Variables!$K$5,"")</f>
        <v/>
      </c>
    </row>
    <row r="210" spans="2:7" ht="15" thickBot="1" x14ac:dyDescent="0.4">
      <c r="B210" s="566" t="str">
        <f>Variables!$D$12</f>
        <v>Buscado</v>
      </c>
      <c r="C210" s="582">
        <f>Variables!$C$12</f>
        <v>0.9</v>
      </c>
      <c r="D210" s="572" t="str">
        <f>IF(VLOOKUP(1,Variables!$B$9:$C$14,2,0)=$C210,Variables!$I$3,"")</f>
        <v/>
      </c>
      <c r="E210" s="572" t="str">
        <f>IF(VLOOKUP(1,Variables!$B$9:$C$14,2,0)=$C210,Variables!$K$3,"")</f>
        <v/>
      </c>
      <c r="F210" s="586" t="str">
        <f>IF(VLOOKUP(1,Variables!$B$9:$C$14,2,0)=$C210,Variables!$K$4,"")</f>
        <v/>
      </c>
      <c r="G210" s="587" t="str">
        <f>IF(VLOOKUP(1,Variables!$B$9:$C$14,2,0)=$C210,Variables!$K$5,"")</f>
        <v/>
      </c>
    </row>
  </sheetData>
  <mergeCells count="198">
    <mergeCell ref="B201:C201"/>
    <mergeCell ref="D201:E201"/>
    <mergeCell ref="B203:B205"/>
    <mergeCell ref="C203:C205"/>
    <mergeCell ref="D203:E203"/>
    <mergeCell ref="F203:G203"/>
    <mergeCell ref="D204:D205"/>
    <mergeCell ref="E204:E205"/>
    <mergeCell ref="F204:F205"/>
    <mergeCell ref="G204:G205"/>
    <mergeCell ref="B196:C196"/>
    <mergeCell ref="B197:C197"/>
    <mergeCell ref="B198:C198"/>
    <mergeCell ref="B199:C199"/>
    <mergeCell ref="D199:E199"/>
    <mergeCell ref="B200:C200"/>
    <mergeCell ref="D200:E200"/>
    <mergeCell ref="F184:G184"/>
    <mergeCell ref="D185:D186"/>
    <mergeCell ref="E185:E186"/>
    <mergeCell ref="F185:F186"/>
    <mergeCell ref="G185:G186"/>
    <mergeCell ref="B194:G194"/>
    <mergeCell ref="B181:C181"/>
    <mergeCell ref="D181:E181"/>
    <mergeCell ref="B182:C182"/>
    <mergeCell ref="D182:E182"/>
    <mergeCell ref="B184:B186"/>
    <mergeCell ref="C184:C186"/>
    <mergeCell ref="D184:E184"/>
    <mergeCell ref="B175:G175"/>
    <mergeCell ref="B177:C177"/>
    <mergeCell ref="B178:C178"/>
    <mergeCell ref="B179:C179"/>
    <mergeCell ref="B180:C180"/>
    <mergeCell ref="D180:E180"/>
    <mergeCell ref="B163:C163"/>
    <mergeCell ref="D163:E163"/>
    <mergeCell ref="B165:B167"/>
    <mergeCell ref="C165:C167"/>
    <mergeCell ref="D165:E165"/>
    <mergeCell ref="F165:G165"/>
    <mergeCell ref="D166:D167"/>
    <mergeCell ref="E166:E167"/>
    <mergeCell ref="F166:F167"/>
    <mergeCell ref="G166:G167"/>
    <mergeCell ref="B158:C158"/>
    <mergeCell ref="B159:C159"/>
    <mergeCell ref="B160:C160"/>
    <mergeCell ref="B161:C161"/>
    <mergeCell ref="D161:E161"/>
    <mergeCell ref="B162:C162"/>
    <mergeCell ref="D162:E162"/>
    <mergeCell ref="F146:G146"/>
    <mergeCell ref="D147:D148"/>
    <mergeCell ref="E147:E148"/>
    <mergeCell ref="F147:F148"/>
    <mergeCell ref="G147:G148"/>
    <mergeCell ref="B156:G156"/>
    <mergeCell ref="B143:C143"/>
    <mergeCell ref="D143:E143"/>
    <mergeCell ref="B144:C144"/>
    <mergeCell ref="D144:E144"/>
    <mergeCell ref="B146:B148"/>
    <mergeCell ref="C146:C148"/>
    <mergeCell ref="D146:E146"/>
    <mergeCell ref="B137:G137"/>
    <mergeCell ref="B139:C139"/>
    <mergeCell ref="B140:C140"/>
    <mergeCell ref="B141:C141"/>
    <mergeCell ref="B142:C142"/>
    <mergeCell ref="D142:E142"/>
    <mergeCell ref="B125:C125"/>
    <mergeCell ref="D125:E125"/>
    <mergeCell ref="B127:B129"/>
    <mergeCell ref="C127:C129"/>
    <mergeCell ref="D127:E127"/>
    <mergeCell ref="F127:G127"/>
    <mergeCell ref="D128:D129"/>
    <mergeCell ref="E128:E129"/>
    <mergeCell ref="F128:F129"/>
    <mergeCell ref="G128:G129"/>
    <mergeCell ref="B120:C120"/>
    <mergeCell ref="B121:C121"/>
    <mergeCell ref="B122:C122"/>
    <mergeCell ref="B123:C123"/>
    <mergeCell ref="D123:E123"/>
    <mergeCell ref="B124:C124"/>
    <mergeCell ref="D124:E124"/>
    <mergeCell ref="F108:G108"/>
    <mergeCell ref="D109:D110"/>
    <mergeCell ref="E109:E110"/>
    <mergeCell ref="F109:F110"/>
    <mergeCell ref="G109:G110"/>
    <mergeCell ref="B118:G118"/>
    <mergeCell ref="B105:C105"/>
    <mergeCell ref="D105:E105"/>
    <mergeCell ref="B106:C106"/>
    <mergeCell ref="D106:E106"/>
    <mergeCell ref="B108:B110"/>
    <mergeCell ref="C108:C110"/>
    <mergeCell ref="D108:E108"/>
    <mergeCell ref="B99:G99"/>
    <mergeCell ref="B101:C101"/>
    <mergeCell ref="B102:C102"/>
    <mergeCell ref="B103:C103"/>
    <mergeCell ref="B104:C104"/>
    <mergeCell ref="D104:E104"/>
    <mergeCell ref="B87:C87"/>
    <mergeCell ref="D87:E87"/>
    <mergeCell ref="B89:B91"/>
    <mergeCell ref="C89:C91"/>
    <mergeCell ref="D89:E89"/>
    <mergeCell ref="F89:G89"/>
    <mergeCell ref="D90:D91"/>
    <mergeCell ref="E90:E91"/>
    <mergeCell ref="F90:F91"/>
    <mergeCell ref="G90:G91"/>
    <mergeCell ref="B82:C82"/>
    <mergeCell ref="B83:C83"/>
    <mergeCell ref="B84:C84"/>
    <mergeCell ref="B85:C85"/>
    <mergeCell ref="D85:E85"/>
    <mergeCell ref="B86:C86"/>
    <mergeCell ref="D86:E86"/>
    <mergeCell ref="F70:G70"/>
    <mergeCell ref="D71:D72"/>
    <mergeCell ref="E71:E72"/>
    <mergeCell ref="F71:F72"/>
    <mergeCell ref="G71:G72"/>
    <mergeCell ref="B80:G80"/>
    <mergeCell ref="B67:C67"/>
    <mergeCell ref="D67:E67"/>
    <mergeCell ref="B68:C68"/>
    <mergeCell ref="D68:E68"/>
    <mergeCell ref="B70:B72"/>
    <mergeCell ref="C70:C72"/>
    <mergeCell ref="D70:E70"/>
    <mergeCell ref="B61:G61"/>
    <mergeCell ref="B63:C63"/>
    <mergeCell ref="B64:C64"/>
    <mergeCell ref="B65:C65"/>
    <mergeCell ref="B66:C66"/>
    <mergeCell ref="D66:E66"/>
    <mergeCell ref="B49:C49"/>
    <mergeCell ref="D49:E49"/>
    <mergeCell ref="B51:B53"/>
    <mergeCell ref="C51:C53"/>
    <mergeCell ref="D51:E51"/>
    <mergeCell ref="F51:G51"/>
    <mergeCell ref="D52:D53"/>
    <mergeCell ref="E52:E53"/>
    <mergeCell ref="F52:F53"/>
    <mergeCell ref="G52:G53"/>
    <mergeCell ref="B44:C44"/>
    <mergeCell ref="B45:C45"/>
    <mergeCell ref="B46:C46"/>
    <mergeCell ref="B47:C47"/>
    <mergeCell ref="D47:E47"/>
    <mergeCell ref="B48:C48"/>
    <mergeCell ref="D48:E48"/>
    <mergeCell ref="F32:G32"/>
    <mergeCell ref="D33:D34"/>
    <mergeCell ref="E33:E34"/>
    <mergeCell ref="F33:F34"/>
    <mergeCell ref="G33:G34"/>
    <mergeCell ref="B42:G42"/>
    <mergeCell ref="B29:C29"/>
    <mergeCell ref="D29:E29"/>
    <mergeCell ref="B30:C30"/>
    <mergeCell ref="D30:E30"/>
    <mergeCell ref="B32:B34"/>
    <mergeCell ref="C32:C34"/>
    <mergeCell ref="D32:E32"/>
    <mergeCell ref="B23:G23"/>
    <mergeCell ref="B25:C25"/>
    <mergeCell ref="B26:C26"/>
    <mergeCell ref="B27:C27"/>
    <mergeCell ref="B28:C28"/>
    <mergeCell ref="D28:E28"/>
    <mergeCell ref="B4:G4"/>
    <mergeCell ref="B13:B15"/>
    <mergeCell ref="C13:C15"/>
    <mergeCell ref="D14:D15"/>
    <mergeCell ref="E14:E15"/>
    <mergeCell ref="B6:C6"/>
    <mergeCell ref="B7:C7"/>
    <mergeCell ref="D13:E13"/>
    <mergeCell ref="F13:G13"/>
    <mergeCell ref="B8:C8"/>
    <mergeCell ref="B11:C11"/>
    <mergeCell ref="B9:C9"/>
    <mergeCell ref="D9:E9"/>
    <mergeCell ref="B10:C10"/>
    <mergeCell ref="D10:E10"/>
    <mergeCell ref="D11:E11"/>
    <mergeCell ref="G14:G15"/>
    <mergeCell ref="F14:F15"/>
  </mergeCells>
  <conditionalFormatting sqref="D200">
    <cfRule type="expression" priority="22" stopIfTrue="1">
      <formula>D200&lt;&gt;#REF!</formula>
    </cfRule>
  </conditionalFormatting>
  <conditionalFormatting sqref="D201">
    <cfRule type="expression" priority="21" stopIfTrue="1">
      <formula>D201&lt;&gt;#REF!</formula>
    </cfRule>
  </conditionalFormatting>
  <conditionalFormatting sqref="D10">
    <cfRule type="expression" priority="20" stopIfTrue="1">
      <formula>D10&lt;&gt;#REF!</formula>
    </cfRule>
  </conditionalFormatting>
  <conditionalFormatting sqref="D11">
    <cfRule type="expression" priority="19" stopIfTrue="1">
      <formula>D11&lt;&gt;#REF!</formula>
    </cfRule>
  </conditionalFormatting>
  <conditionalFormatting sqref="D29">
    <cfRule type="expression" priority="18" stopIfTrue="1">
      <formula>D29&lt;&gt;#REF!</formula>
    </cfRule>
  </conditionalFormatting>
  <conditionalFormatting sqref="D30">
    <cfRule type="expression" priority="17" stopIfTrue="1">
      <formula>D30&lt;&gt;#REF!</formula>
    </cfRule>
  </conditionalFormatting>
  <conditionalFormatting sqref="D48">
    <cfRule type="expression" priority="16" stopIfTrue="1">
      <formula>D48&lt;&gt;#REF!</formula>
    </cfRule>
  </conditionalFormatting>
  <conditionalFormatting sqref="D49">
    <cfRule type="expression" priority="15" stopIfTrue="1">
      <formula>D49&lt;&gt;#REF!</formula>
    </cfRule>
  </conditionalFormatting>
  <conditionalFormatting sqref="D67">
    <cfRule type="expression" priority="14" stopIfTrue="1">
      <formula>D67&lt;&gt;#REF!</formula>
    </cfRule>
  </conditionalFormatting>
  <conditionalFormatting sqref="D68">
    <cfRule type="expression" priority="13" stopIfTrue="1">
      <formula>D68&lt;&gt;#REF!</formula>
    </cfRule>
  </conditionalFormatting>
  <conditionalFormatting sqref="D86">
    <cfRule type="expression" priority="12" stopIfTrue="1">
      <formula>D86&lt;&gt;#REF!</formula>
    </cfRule>
  </conditionalFormatting>
  <conditionalFormatting sqref="D87">
    <cfRule type="expression" priority="11" stopIfTrue="1">
      <formula>D87&lt;&gt;#REF!</formula>
    </cfRule>
  </conditionalFormatting>
  <conditionalFormatting sqref="D105">
    <cfRule type="expression" priority="10" stopIfTrue="1">
      <formula>D105&lt;&gt;#REF!</formula>
    </cfRule>
  </conditionalFormatting>
  <conditionalFormatting sqref="D106">
    <cfRule type="expression" priority="9" stopIfTrue="1">
      <formula>D106&lt;&gt;#REF!</formula>
    </cfRule>
  </conditionalFormatting>
  <conditionalFormatting sqref="D124">
    <cfRule type="expression" priority="8" stopIfTrue="1">
      <formula>D124&lt;&gt;#REF!</formula>
    </cfRule>
  </conditionalFormatting>
  <conditionalFormatting sqref="D125">
    <cfRule type="expression" priority="7" stopIfTrue="1">
      <formula>D125&lt;&gt;#REF!</formula>
    </cfRule>
  </conditionalFormatting>
  <conditionalFormatting sqref="D143">
    <cfRule type="expression" priority="6" stopIfTrue="1">
      <formula>D143&lt;&gt;#REF!</formula>
    </cfRule>
  </conditionalFormatting>
  <conditionalFormatting sqref="D144">
    <cfRule type="expression" priority="5" stopIfTrue="1">
      <formula>D144&lt;&gt;#REF!</formula>
    </cfRule>
  </conditionalFormatting>
  <conditionalFormatting sqref="D162">
    <cfRule type="expression" priority="4" stopIfTrue="1">
      <formula>D162&lt;&gt;#REF!</formula>
    </cfRule>
  </conditionalFormatting>
  <conditionalFormatting sqref="D163">
    <cfRule type="expression" priority="3" stopIfTrue="1">
      <formula>D163&lt;&gt;#REF!</formula>
    </cfRule>
  </conditionalFormatting>
  <conditionalFormatting sqref="D181">
    <cfRule type="expression" priority="2" stopIfTrue="1">
      <formula>D181&lt;&gt;#REF!</formula>
    </cfRule>
  </conditionalFormatting>
  <conditionalFormatting sqref="D182">
    <cfRule type="expression" priority="1" stopIfTrue="1">
      <formula>D182&lt;&gt;#REF!</formula>
    </cfRule>
  </conditionalFormatting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BF8F"/>
  </sheetPr>
  <dimension ref="A3:J23"/>
  <sheetViews>
    <sheetView showGridLines="0" zoomScaleNormal="100" zoomScaleSheetLayoutView="100" workbookViewId="0">
      <selection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16.90625" style="47" customWidth="1"/>
    <col min="3" max="3" width="6.54296875" style="47" bestFit="1" customWidth="1"/>
    <col min="4" max="4" width="8.81640625" style="47" bestFit="1" customWidth="1"/>
    <col min="5" max="9" width="11.453125" style="48" bestFit="1" customWidth="1"/>
    <col min="10" max="257" width="11.453125" style="48"/>
    <col min="258" max="258" width="10" style="48" customWidth="1"/>
    <col min="259" max="259" width="50.54296875" style="48" customWidth="1"/>
    <col min="260" max="513" width="11.453125" style="48"/>
    <col min="514" max="514" width="10" style="48" customWidth="1"/>
    <col min="515" max="515" width="50.54296875" style="48" customWidth="1"/>
    <col min="516" max="769" width="11.453125" style="48"/>
    <col min="770" max="770" width="10" style="48" customWidth="1"/>
    <col min="771" max="771" width="50.54296875" style="48" customWidth="1"/>
    <col min="772" max="1025" width="11.453125" style="48"/>
    <col min="1026" max="1026" width="10" style="48" customWidth="1"/>
    <col min="1027" max="1027" width="50.54296875" style="48" customWidth="1"/>
    <col min="1028" max="1281" width="11.453125" style="48"/>
    <col min="1282" max="1282" width="10" style="48" customWidth="1"/>
    <col min="1283" max="1283" width="50.54296875" style="48" customWidth="1"/>
    <col min="1284" max="1537" width="11.453125" style="48"/>
    <col min="1538" max="1538" width="10" style="48" customWidth="1"/>
    <col min="1539" max="1539" width="50.54296875" style="48" customWidth="1"/>
    <col min="1540" max="1793" width="11.453125" style="48"/>
    <col min="1794" max="1794" width="10" style="48" customWidth="1"/>
    <col min="1795" max="1795" width="50.54296875" style="48" customWidth="1"/>
    <col min="1796" max="2049" width="11.453125" style="48"/>
    <col min="2050" max="2050" width="10" style="48" customWidth="1"/>
    <col min="2051" max="2051" width="50.54296875" style="48" customWidth="1"/>
    <col min="2052" max="2305" width="11.453125" style="48"/>
    <col min="2306" max="2306" width="10" style="48" customWidth="1"/>
    <col min="2307" max="2307" width="50.54296875" style="48" customWidth="1"/>
    <col min="2308" max="2561" width="11.453125" style="48"/>
    <col min="2562" max="2562" width="10" style="48" customWidth="1"/>
    <col min="2563" max="2563" width="50.54296875" style="48" customWidth="1"/>
    <col min="2564" max="2817" width="11.453125" style="48"/>
    <col min="2818" max="2818" width="10" style="48" customWidth="1"/>
    <col min="2819" max="2819" width="50.54296875" style="48" customWidth="1"/>
    <col min="2820" max="3073" width="11.453125" style="48"/>
    <col min="3074" max="3074" width="10" style="48" customWidth="1"/>
    <col min="3075" max="3075" width="50.54296875" style="48" customWidth="1"/>
    <col min="3076" max="3329" width="11.453125" style="48"/>
    <col min="3330" max="3330" width="10" style="48" customWidth="1"/>
    <col min="3331" max="3331" width="50.54296875" style="48" customWidth="1"/>
    <col min="3332" max="3585" width="11.453125" style="48"/>
    <col min="3586" max="3586" width="10" style="48" customWidth="1"/>
    <col min="3587" max="3587" width="50.54296875" style="48" customWidth="1"/>
    <col min="3588" max="3841" width="11.453125" style="48"/>
    <col min="3842" max="3842" width="10" style="48" customWidth="1"/>
    <col min="3843" max="3843" width="50.54296875" style="48" customWidth="1"/>
    <col min="3844" max="4097" width="11.453125" style="48"/>
    <col min="4098" max="4098" width="10" style="48" customWidth="1"/>
    <col min="4099" max="4099" width="50.54296875" style="48" customWidth="1"/>
    <col min="4100" max="4353" width="11.453125" style="48"/>
    <col min="4354" max="4354" width="10" style="48" customWidth="1"/>
    <col min="4355" max="4355" width="50.54296875" style="48" customWidth="1"/>
    <col min="4356" max="4609" width="11.453125" style="48"/>
    <col min="4610" max="4610" width="10" style="48" customWidth="1"/>
    <col min="4611" max="4611" width="50.54296875" style="48" customWidth="1"/>
    <col min="4612" max="4865" width="11.453125" style="48"/>
    <col min="4866" max="4866" width="10" style="48" customWidth="1"/>
    <col min="4867" max="4867" width="50.54296875" style="48" customWidth="1"/>
    <col min="4868" max="5121" width="11.453125" style="48"/>
    <col min="5122" max="5122" width="10" style="48" customWidth="1"/>
    <col min="5123" max="5123" width="50.54296875" style="48" customWidth="1"/>
    <col min="5124" max="5377" width="11.453125" style="48"/>
    <col min="5378" max="5378" width="10" style="48" customWidth="1"/>
    <col min="5379" max="5379" width="50.54296875" style="48" customWidth="1"/>
    <col min="5380" max="5633" width="11.453125" style="48"/>
    <col min="5634" max="5634" width="10" style="48" customWidth="1"/>
    <col min="5635" max="5635" width="50.54296875" style="48" customWidth="1"/>
    <col min="5636" max="5889" width="11.453125" style="48"/>
    <col min="5890" max="5890" width="10" style="48" customWidth="1"/>
    <col min="5891" max="5891" width="50.54296875" style="48" customWidth="1"/>
    <col min="5892" max="6145" width="11.453125" style="48"/>
    <col min="6146" max="6146" width="10" style="48" customWidth="1"/>
    <col min="6147" max="6147" width="50.54296875" style="48" customWidth="1"/>
    <col min="6148" max="6401" width="11.453125" style="48"/>
    <col min="6402" max="6402" width="10" style="48" customWidth="1"/>
    <col min="6403" max="6403" width="50.54296875" style="48" customWidth="1"/>
    <col min="6404" max="6657" width="11.453125" style="48"/>
    <col min="6658" max="6658" width="10" style="48" customWidth="1"/>
    <col min="6659" max="6659" width="50.54296875" style="48" customWidth="1"/>
    <col min="6660" max="6913" width="11.453125" style="48"/>
    <col min="6914" max="6914" width="10" style="48" customWidth="1"/>
    <col min="6915" max="6915" width="50.54296875" style="48" customWidth="1"/>
    <col min="6916" max="7169" width="11.453125" style="48"/>
    <col min="7170" max="7170" width="10" style="48" customWidth="1"/>
    <col min="7171" max="7171" width="50.54296875" style="48" customWidth="1"/>
    <col min="7172" max="7425" width="11.453125" style="48"/>
    <col min="7426" max="7426" width="10" style="48" customWidth="1"/>
    <col min="7427" max="7427" width="50.54296875" style="48" customWidth="1"/>
    <col min="7428" max="7681" width="11.453125" style="48"/>
    <col min="7682" max="7682" width="10" style="48" customWidth="1"/>
    <col min="7683" max="7683" width="50.54296875" style="48" customWidth="1"/>
    <col min="7684" max="7937" width="11.453125" style="48"/>
    <col min="7938" max="7938" width="10" style="48" customWidth="1"/>
    <col min="7939" max="7939" width="50.54296875" style="48" customWidth="1"/>
    <col min="7940" max="8193" width="11.453125" style="48"/>
    <col min="8194" max="8194" width="10" style="48" customWidth="1"/>
    <col min="8195" max="8195" width="50.54296875" style="48" customWidth="1"/>
    <col min="8196" max="8449" width="11.453125" style="48"/>
    <col min="8450" max="8450" width="10" style="48" customWidth="1"/>
    <col min="8451" max="8451" width="50.54296875" style="48" customWidth="1"/>
    <col min="8452" max="8705" width="11.453125" style="48"/>
    <col min="8706" max="8706" width="10" style="48" customWidth="1"/>
    <col min="8707" max="8707" width="50.54296875" style="48" customWidth="1"/>
    <col min="8708" max="8961" width="11.453125" style="48"/>
    <col min="8962" max="8962" width="10" style="48" customWidth="1"/>
    <col min="8963" max="8963" width="50.54296875" style="48" customWidth="1"/>
    <col min="8964" max="9217" width="11.453125" style="48"/>
    <col min="9218" max="9218" width="10" style="48" customWidth="1"/>
    <col min="9219" max="9219" width="50.54296875" style="48" customWidth="1"/>
    <col min="9220" max="9473" width="11.453125" style="48"/>
    <col min="9474" max="9474" width="10" style="48" customWidth="1"/>
    <col min="9475" max="9475" width="50.54296875" style="48" customWidth="1"/>
    <col min="9476" max="9729" width="11.453125" style="48"/>
    <col min="9730" max="9730" width="10" style="48" customWidth="1"/>
    <col min="9731" max="9731" width="50.54296875" style="48" customWidth="1"/>
    <col min="9732" max="9985" width="11.453125" style="48"/>
    <col min="9986" max="9986" width="10" style="48" customWidth="1"/>
    <col min="9987" max="9987" width="50.54296875" style="48" customWidth="1"/>
    <col min="9988" max="10241" width="11.453125" style="48"/>
    <col min="10242" max="10242" width="10" style="48" customWidth="1"/>
    <col min="10243" max="10243" width="50.54296875" style="48" customWidth="1"/>
    <col min="10244" max="10497" width="11.453125" style="48"/>
    <col min="10498" max="10498" width="10" style="48" customWidth="1"/>
    <col min="10499" max="10499" width="50.54296875" style="48" customWidth="1"/>
    <col min="10500" max="10753" width="11.453125" style="48"/>
    <col min="10754" max="10754" width="10" style="48" customWidth="1"/>
    <col min="10755" max="10755" width="50.54296875" style="48" customWidth="1"/>
    <col min="10756" max="11009" width="11.453125" style="48"/>
    <col min="11010" max="11010" width="10" style="48" customWidth="1"/>
    <col min="11011" max="11011" width="50.54296875" style="48" customWidth="1"/>
    <col min="11012" max="11265" width="11.453125" style="48"/>
    <col min="11266" max="11266" width="10" style="48" customWidth="1"/>
    <col min="11267" max="11267" width="50.54296875" style="48" customWidth="1"/>
    <col min="11268" max="11521" width="11.453125" style="48"/>
    <col min="11522" max="11522" width="10" style="48" customWidth="1"/>
    <col min="11523" max="11523" width="50.54296875" style="48" customWidth="1"/>
    <col min="11524" max="11777" width="11.453125" style="48"/>
    <col min="11778" max="11778" width="10" style="48" customWidth="1"/>
    <col min="11779" max="11779" width="50.54296875" style="48" customWidth="1"/>
    <col min="11780" max="12033" width="11.453125" style="48"/>
    <col min="12034" max="12034" width="10" style="48" customWidth="1"/>
    <col min="12035" max="12035" width="50.54296875" style="48" customWidth="1"/>
    <col min="12036" max="12289" width="11.453125" style="48"/>
    <col min="12290" max="12290" width="10" style="48" customWidth="1"/>
    <col min="12291" max="12291" width="50.54296875" style="48" customWidth="1"/>
    <col min="12292" max="12545" width="11.453125" style="48"/>
    <col min="12546" max="12546" width="10" style="48" customWidth="1"/>
    <col min="12547" max="12547" width="50.54296875" style="48" customWidth="1"/>
    <col min="12548" max="12801" width="11.453125" style="48"/>
    <col min="12802" max="12802" width="10" style="48" customWidth="1"/>
    <col min="12803" max="12803" width="50.54296875" style="48" customWidth="1"/>
    <col min="12804" max="13057" width="11.453125" style="48"/>
    <col min="13058" max="13058" width="10" style="48" customWidth="1"/>
    <col min="13059" max="13059" width="50.54296875" style="48" customWidth="1"/>
    <col min="13060" max="13313" width="11.453125" style="48"/>
    <col min="13314" max="13314" width="10" style="48" customWidth="1"/>
    <col min="13315" max="13315" width="50.54296875" style="48" customWidth="1"/>
    <col min="13316" max="13569" width="11.453125" style="48"/>
    <col min="13570" max="13570" width="10" style="48" customWidth="1"/>
    <col min="13571" max="13571" width="50.54296875" style="48" customWidth="1"/>
    <col min="13572" max="13825" width="11.453125" style="48"/>
    <col min="13826" max="13826" width="10" style="48" customWidth="1"/>
    <col min="13827" max="13827" width="50.54296875" style="48" customWidth="1"/>
    <col min="13828" max="14081" width="11.453125" style="48"/>
    <col min="14082" max="14082" width="10" style="48" customWidth="1"/>
    <col min="14083" max="14083" width="50.54296875" style="48" customWidth="1"/>
    <col min="14084" max="14337" width="11.453125" style="48"/>
    <col min="14338" max="14338" width="10" style="48" customWidth="1"/>
    <col min="14339" max="14339" width="50.54296875" style="48" customWidth="1"/>
    <col min="14340" max="14593" width="11.453125" style="48"/>
    <col min="14594" max="14594" width="10" style="48" customWidth="1"/>
    <col min="14595" max="14595" width="50.54296875" style="48" customWidth="1"/>
    <col min="14596" max="14849" width="11.453125" style="48"/>
    <col min="14850" max="14850" width="10" style="48" customWidth="1"/>
    <col min="14851" max="14851" width="50.54296875" style="48" customWidth="1"/>
    <col min="14852" max="15105" width="11.453125" style="48"/>
    <col min="15106" max="15106" width="10" style="48" customWidth="1"/>
    <col min="15107" max="15107" width="50.54296875" style="48" customWidth="1"/>
    <col min="15108" max="15361" width="11.453125" style="48"/>
    <col min="15362" max="15362" width="10" style="48" customWidth="1"/>
    <col min="15363" max="15363" width="50.54296875" style="48" customWidth="1"/>
    <col min="15364" max="15617" width="11.453125" style="48"/>
    <col min="15618" max="15618" width="10" style="48" customWidth="1"/>
    <col min="15619" max="15619" width="50.54296875" style="48" customWidth="1"/>
    <col min="15620" max="15873" width="11.453125" style="48"/>
    <col min="15874" max="15874" width="10" style="48" customWidth="1"/>
    <col min="15875" max="15875" width="50.54296875" style="48" customWidth="1"/>
    <col min="15876" max="16129" width="11.453125" style="48"/>
    <col min="16130" max="16130" width="10" style="48" customWidth="1"/>
    <col min="16131" max="16131" width="50.54296875" style="48" customWidth="1"/>
    <col min="16132" max="16384" width="11.453125" style="48"/>
  </cols>
  <sheetData>
    <row r="3" spans="1:10" s="607" customFormat="1" ht="13.5" thickBot="1" x14ac:dyDescent="0.35">
      <c r="B3" s="1001"/>
      <c r="C3" s="1001"/>
      <c r="D3" s="1001"/>
    </row>
    <row r="4" spans="1:10" s="607" customFormat="1" ht="18.5" thickBot="1" x14ac:dyDescent="0.45">
      <c r="B4" s="979" t="s">
        <v>835</v>
      </c>
      <c r="C4" s="980"/>
      <c r="D4" s="980"/>
      <c r="E4" s="980"/>
      <c r="F4" s="980"/>
      <c r="G4" s="980"/>
      <c r="H4" s="980"/>
      <c r="I4" s="981"/>
    </row>
    <row r="5" spans="1:10" s="607" customFormat="1" ht="13.5" thickBot="1" x14ac:dyDescent="0.35"/>
    <row r="6" spans="1:10" s="45" customFormat="1" ht="12" customHeight="1" x14ac:dyDescent="0.3">
      <c r="B6" s="1002" t="s">
        <v>89</v>
      </c>
      <c r="C6" s="999" t="s">
        <v>833</v>
      </c>
      <c r="D6" s="1002" t="s">
        <v>110</v>
      </c>
      <c r="E6" s="999">
        <v>2015</v>
      </c>
      <c r="F6" s="999">
        <v>2016</v>
      </c>
      <c r="G6" s="999">
        <v>2017</v>
      </c>
      <c r="H6" s="999">
        <v>2018</v>
      </c>
      <c r="I6" s="999">
        <v>2019</v>
      </c>
      <c r="J6" s="60"/>
    </row>
    <row r="7" spans="1:10" s="45" customFormat="1" ht="13.75" customHeight="1" x14ac:dyDescent="0.3">
      <c r="B7" s="1003"/>
      <c r="C7" s="1000"/>
      <c r="D7" s="1003"/>
      <c r="E7" s="1000"/>
      <c r="F7" s="1000"/>
      <c r="G7" s="1000"/>
      <c r="H7" s="1000"/>
      <c r="I7" s="1000"/>
      <c r="J7" s="220"/>
    </row>
    <row r="8" spans="1:10" s="46" customFormat="1" x14ac:dyDescent="0.25">
      <c r="A8" s="46">
        <v>1</v>
      </c>
      <c r="B8" s="51" t="s">
        <v>93</v>
      </c>
      <c r="C8" s="51">
        <f>'RF 2018'!C10+1</f>
        <v>14</v>
      </c>
      <c r="D8" s="51" t="s">
        <v>91</v>
      </c>
      <c r="E8" s="750">
        <f>VLOOKUP($A8,'RF 2015'!$A$10:$O$25,15,0)</f>
        <v>9038100</v>
      </c>
      <c r="F8" s="750">
        <f>VLOOKUP($A8,'RF 2016'!$A$10:$O$25,15,0)</f>
        <v>9404700</v>
      </c>
      <c r="G8" s="750">
        <f>VLOOKUP($A8,'RF 2017'!$A$10:$O$25,15,0)</f>
        <v>9785400</v>
      </c>
      <c r="H8" s="750">
        <f>VLOOKUP($A8,'RF 2018'!$A$10:$O$25,15,0)</f>
        <v>10180200</v>
      </c>
      <c r="I8" s="750">
        <f>VLOOKUP($A8,'RF 2019'!$A$10:$O$25,15,0)</f>
        <v>10589100</v>
      </c>
    </row>
    <row r="9" spans="1:10" s="46" customFormat="1" x14ac:dyDescent="0.25">
      <c r="A9" s="46">
        <v>2</v>
      </c>
      <c r="B9" s="51" t="s">
        <v>90</v>
      </c>
      <c r="C9" s="51">
        <f>'RF 2018'!C11+1</f>
        <v>6</v>
      </c>
      <c r="D9" s="51" t="s">
        <v>91</v>
      </c>
      <c r="E9" s="750">
        <f>VLOOKUP($A9,'RF 2015'!$A$10:$O$25,15,0)</f>
        <v>3781900</v>
      </c>
      <c r="F9" s="750">
        <f>VLOOKUP($A9,'RF 2016'!$A$10:$O$25,15,0)</f>
        <v>4335500</v>
      </c>
      <c r="G9" s="750">
        <f>VLOOKUP($A9,'RF 2017'!$A$10:$O$25,15,0)</f>
        <v>4927400</v>
      </c>
      <c r="H9" s="750">
        <f>VLOOKUP($A9,'RF 2018'!$A$10:$O$25,15,0)</f>
        <v>5126200</v>
      </c>
      <c r="I9" s="750">
        <f>VLOOKUP($A9,'RF 2019'!$A$10:$O$25,15,0)</f>
        <v>5332100</v>
      </c>
    </row>
    <row r="10" spans="1:10" s="46" customFormat="1" x14ac:dyDescent="0.25">
      <c r="A10" s="46">
        <v>3</v>
      </c>
      <c r="B10" s="51" t="s">
        <v>90</v>
      </c>
      <c r="C10" s="51">
        <f>'RF 2018'!C12+1</f>
        <v>6</v>
      </c>
      <c r="D10" s="51" t="s">
        <v>109</v>
      </c>
      <c r="E10" s="750">
        <f>VLOOKUP($A10,'RF 2015'!$A$10:$O$25,15,0)</f>
        <v>2243500</v>
      </c>
      <c r="F10" s="750">
        <f>VLOOKUP($A10,'RF 2016'!$A$10:$O$25,15,0)</f>
        <v>3201600</v>
      </c>
      <c r="G10" s="750">
        <f>VLOOKUP($A10,'RF 2017'!$A$10:$O$25,15,0)</f>
        <v>4372200</v>
      </c>
      <c r="H10" s="750">
        <f>VLOOKUP($A10,'RF 2018'!$A$10:$O$25,15,0)</f>
        <v>5415000</v>
      </c>
      <c r="I10" s="750">
        <f>VLOOKUP($A10,'RF 2019'!$A$10:$O$25,15,0)</f>
        <v>6083100</v>
      </c>
    </row>
    <row r="11" spans="1:10" s="46" customFormat="1" x14ac:dyDescent="0.25">
      <c r="A11" s="46">
        <v>4</v>
      </c>
      <c r="B11" s="51" t="s">
        <v>90</v>
      </c>
      <c r="C11" s="51">
        <f>'RF 2018'!C13+1</f>
        <v>7</v>
      </c>
      <c r="D11" s="51" t="s">
        <v>109</v>
      </c>
      <c r="E11" s="750">
        <f>VLOOKUP($A11,'RF 2015'!$A$10:$O$25,15,0)</f>
        <v>2435800</v>
      </c>
      <c r="F11" s="750">
        <f>VLOOKUP($A11,'RF 2016'!$A$10:$O$25,15,0)</f>
        <v>3468400</v>
      </c>
      <c r="G11" s="750">
        <f>VLOOKUP($A11,'RF 2017'!$A$10:$O$25,15,0)</f>
        <v>4372200</v>
      </c>
      <c r="H11" s="750">
        <f>VLOOKUP($A11,'RF 2018'!$A$10:$O$25,15,0)</f>
        <v>5415000</v>
      </c>
      <c r="I11" s="750">
        <f>VLOOKUP($A11,'RF 2019'!$A$10:$O$25,15,0)</f>
        <v>6083100</v>
      </c>
    </row>
    <row r="12" spans="1:10" s="46" customFormat="1" x14ac:dyDescent="0.25">
      <c r="A12" s="46">
        <v>5</v>
      </c>
      <c r="B12" s="51" t="s">
        <v>90</v>
      </c>
      <c r="C12" s="51">
        <f>'RF 2018'!C14+1</f>
        <v>9</v>
      </c>
      <c r="D12" s="51" t="s">
        <v>91</v>
      </c>
      <c r="E12" s="750">
        <f>VLOOKUP($A12,'RF 2015'!$A$10:$O$25,15,0)</f>
        <v>4551100</v>
      </c>
      <c r="F12" s="750">
        <f>VLOOKUP($A12,'RF 2016'!$A$10:$O$25,15,0)</f>
        <v>4735700</v>
      </c>
      <c r="G12" s="750">
        <f>VLOOKUP($A12,'RF 2017'!$A$10:$O$25,15,0)</f>
        <v>4927400</v>
      </c>
      <c r="H12" s="750">
        <f>VLOOKUP($A12,'RF 2018'!$A$10:$O$25,15,0)</f>
        <v>5126200</v>
      </c>
      <c r="I12" s="750">
        <f>VLOOKUP($A12,'RF 2019'!$A$10:$O$25,15,0)</f>
        <v>5332100</v>
      </c>
    </row>
    <row r="13" spans="1:10" s="46" customFormat="1" x14ac:dyDescent="0.25">
      <c r="A13" s="46">
        <v>6</v>
      </c>
      <c r="B13" s="51" t="s">
        <v>90</v>
      </c>
      <c r="C13" s="51">
        <f>'RF 2018'!C15+1</f>
        <v>6</v>
      </c>
      <c r="D13" s="51" t="s">
        <v>109</v>
      </c>
      <c r="E13" s="750">
        <f>VLOOKUP($A13,'RF 2015'!$A$10:$O$25,15,0)</f>
        <v>2243500</v>
      </c>
      <c r="F13" s="750">
        <f>VLOOKUP($A13,'RF 2016'!$A$10:$O$25,15,0)</f>
        <v>3201600</v>
      </c>
      <c r="G13" s="750">
        <f>VLOOKUP($A13,'RF 2017'!$A$10:$O$25,15,0)</f>
        <v>4372200</v>
      </c>
      <c r="H13" s="750">
        <f>VLOOKUP($A13,'RF 2018'!$A$10:$O$25,15,0)</f>
        <v>5415000</v>
      </c>
      <c r="I13" s="750">
        <f>VLOOKUP($A13,'RF 2019'!$A$10:$O$25,15,0)</f>
        <v>6083100</v>
      </c>
    </row>
    <row r="14" spans="1:10" s="46" customFormat="1" x14ac:dyDescent="0.25">
      <c r="A14" s="46">
        <v>7</v>
      </c>
      <c r="B14" s="51" t="s">
        <v>90</v>
      </c>
      <c r="C14" s="51">
        <f>'RF 2018'!C16+1</f>
        <v>6</v>
      </c>
      <c r="D14" s="51" t="s">
        <v>109</v>
      </c>
      <c r="E14" s="750">
        <f>VLOOKUP($A14,'RF 2015'!$A$10:$O$25,15,0)</f>
        <v>2243500</v>
      </c>
      <c r="F14" s="750">
        <f>VLOOKUP($A14,'RF 2016'!$A$10:$O$25,15,0)</f>
        <v>3201600</v>
      </c>
      <c r="G14" s="750">
        <f>VLOOKUP($A14,'RF 2017'!$A$10:$O$25,15,0)</f>
        <v>4372200</v>
      </c>
      <c r="H14" s="750">
        <f>VLOOKUP($A14,'RF 2018'!$A$10:$O$25,15,0)</f>
        <v>5415000</v>
      </c>
      <c r="I14" s="750">
        <f>VLOOKUP($A14,'RF 2019'!$A$10:$O$25,15,0)</f>
        <v>6083100</v>
      </c>
    </row>
    <row r="15" spans="1:10" s="46" customFormat="1" x14ac:dyDescent="0.25">
      <c r="A15" s="46">
        <v>8</v>
      </c>
      <c r="B15" s="51" t="s">
        <v>90</v>
      </c>
      <c r="C15" s="51">
        <f>'RF 2018'!C17+1</f>
        <v>11</v>
      </c>
      <c r="D15" s="51" t="s">
        <v>109</v>
      </c>
      <c r="E15" s="750">
        <f>VLOOKUP($A15,'RF 2015'!$A$10:$O$25,15,0)</f>
        <v>2692200</v>
      </c>
      <c r="F15" s="750">
        <f>VLOOKUP($A15,'RF 2016'!$A$10:$O$25,15,0)</f>
        <v>3468400</v>
      </c>
      <c r="G15" s="750">
        <f>VLOOKUP($A15,'RF 2017'!$A$10:$O$25,15,0)</f>
        <v>4372200</v>
      </c>
      <c r="H15" s="750">
        <f>VLOOKUP($A15,'RF 2018'!$A$10:$O$25,15,0)</f>
        <v>5415000</v>
      </c>
      <c r="I15" s="750">
        <f>VLOOKUP($A15,'RF 2019'!$A$10:$O$25,15,0)</f>
        <v>6083100</v>
      </c>
    </row>
    <row r="16" spans="1:10" s="46" customFormat="1" x14ac:dyDescent="0.25">
      <c r="A16" s="46">
        <v>9</v>
      </c>
      <c r="B16" s="51" t="s">
        <v>90</v>
      </c>
      <c r="C16" s="51">
        <f>'RF 2018'!C18+1</f>
        <v>6</v>
      </c>
      <c r="D16" s="51" t="s">
        <v>91</v>
      </c>
      <c r="E16" s="750">
        <f>VLOOKUP($A16,'RF 2015'!$A$10:$O$25,15,0)</f>
        <v>3781900</v>
      </c>
      <c r="F16" s="750">
        <f>VLOOKUP($A16,'RF 2016'!$A$10:$O$25,15,0)</f>
        <v>4335500</v>
      </c>
      <c r="G16" s="750">
        <f>VLOOKUP($A16,'RF 2017'!$A$10:$O$25,15,0)</f>
        <v>4927400</v>
      </c>
      <c r="H16" s="750">
        <f>VLOOKUP($A16,'RF 2018'!$A$10:$O$25,15,0)</f>
        <v>5126200</v>
      </c>
      <c r="I16" s="750">
        <f>VLOOKUP($A16,'RF 2019'!$A$10:$O$25,15,0)</f>
        <v>5332100</v>
      </c>
    </row>
    <row r="17" spans="1:10" s="46" customFormat="1" x14ac:dyDescent="0.35">
      <c r="B17" s="51"/>
      <c r="C17" s="51"/>
      <c r="D17" s="51"/>
      <c r="E17" s="751"/>
      <c r="F17" s="751"/>
      <c r="G17" s="751"/>
      <c r="H17" s="751"/>
      <c r="I17" s="751"/>
    </row>
    <row r="18" spans="1:10" s="46" customFormat="1" ht="13" x14ac:dyDescent="0.3">
      <c r="B18" s="721" t="s">
        <v>103</v>
      </c>
      <c r="C18" s="720"/>
      <c r="D18" s="720"/>
      <c r="E18" s="755">
        <f>SUM(E8:E16)</f>
        <v>33011500</v>
      </c>
      <c r="F18" s="755">
        <f>SUM(F8:F16)</f>
        <v>39353000</v>
      </c>
      <c r="G18" s="755">
        <f>SUM(G8:G16)</f>
        <v>46428600</v>
      </c>
      <c r="H18" s="755">
        <f>SUM(H8:H16)</f>
        <v>52633800</v>
      </c>
      <c r="I18" s="755">
        <f>SUM(I8:I16)</f>
        <v>57000900</v>
      </c>
    </row>
    <row r="19" spans="1:10" s="46" customFormat="1" x14ac:dyDescent="0.35">
      <c r="B19" s="51"/>
      <c r="C19" s="51"/>
      <c r="D19" s="51"/>
      <c r="E19" s="751"/>
      <c r="F19" s="751"/>
      <c r="G19" s="751"/>
      <c r="H19" s="751"/>
      <c r="I19" s="751"/>
    </row>
    <row r="20" spans="1:10" s="46" customFormat="1" x14ac:dyDescent="0.25">
      <c r="A20" s="46">
        <v>10</v>
      </c>
      <c r="B20" s="51" t="s">
        <v>111</v>
      </c>
      <c r="C20" s="722" t="s">
        <v>45</v>
      </c>
      <c r="D20" s="51" t="s">
        <v>91</v>
      </c>
      <c r="E20" s="750">
        <f>VLOOKUP($A20,'RF 2015'!$A$10:$O$25,15,0)</f>
        <v>1923000</v>
      </c>
      <c r="F20" s="750">
        <f>VLOOKUP($A20,'RF 2016'!$A$10:$O$25,15,0)</f>
        <v>2001000</v>
      </c>
      <c r="G20" s="750">
        <f>VLOOKUP($A20,'RF 2017'!$A$10:$O$25,15,0)</f>
        <v>2082000</v>
      </c>
      <c r="H20" s="750">
        <f>VLOOKUP($A20,'RF 2018'!$A$10:$O$25,15,0)</f>
        <v>2166000</v>
      </c>
      <c r="I20" s="750">
        <f>VLOOKUP($A20,'RF 2019'!$A$10:$O$25,15,0)</f>
        <v>2253000</v>
      </c>
    </row>
    <row r="21" spans="1:10" s="46" customFormat="1" x14ac:dyDescent="0.25">
      <c r="A21" s="46">
        <v>11</v>
      </c>
      <c r="B21" s="51" t="s">
        <v>92</v>
      </c>
      <c r="C21" s="722" t="s">
        <v>45</v>
      </c>
      <c r="D21" s="51" t="s">
        <v>91</v>
      </c>
      <c r="E21" s="750">
        <f>VLOOKUP($A21,'RF 2015'!$A$10:$O$25,15,0)</f>
        <v>961500</v>
      </c>
      <c r="F21" s="750">
        <f>VLOOKUP($A21,'RF 2016'!$A$10:$O$25,15,0)</f>
        <v>1000500</v>
      </c>
      <c r="G21" s="750">
        <f>VLOOKUP($A21,'RF 2017'!$A$10:$O$25,15,0)</f>
        <v>1041000</v>
      </c>
      <c r="H21" s="750">
        <f>VLOOKUP($A21,'RF 2018'!$A$10:$O$25,15,0)</f>
        <v>1083000</v>
      </c>
      <c r="I21" s="750">
        <f>VLOOKUP($A21,'RF 2019'!$A$10:$O$25,15,0)</f>
        <v>1126500</v>
      </c>
    </row>
    <row r="22" spans="1:10" x14ac:dyDescent="0.25">
      <c r="B22" s="723"/>
      <c r="C22" s="723"/>
      <c r="D22" s="723"/>
      <c r="E22" s="756"/>
      <c r="F22" s="756"/>
      <c r="G22" s="756"/>
      <c r="H22" s="756"/>
      <c r="I22" s="756"/>
    </row>
    <row r="23" spans="1:10" ht="13.5" thickBot="1" x14ac:dyDescent="0.35">
      <c r="B23" s="724" t="s">
        <v>65</v>
      </c>
      <c r="C23" s="724"/>
      <c r="D23" s="724"/>
      <c r="E23" s="758">
        <f>SUM(E18:E21)</f>
        <v>35896000</v>
      </c>
      <c r="F23" s="758">
        <f>SUM(F18:F21)</f>
        <v>42354500</v>
      </c>
      <c r="G23" s="758">
        <f>SUM(G18:G21)</f>
        <v>49551600</v>
      </c>
      <c r="H23" s="758">
        <f>SUM(H18:H21)</f>
        <v>55882800</v>
      </c>
      <c r="I23" s="758">
        <f>SUM(I18:I21)</f>
        <v>60380400</v>
      </c>
      <c r="J23" s="228"/>
    </row>
  </sheetData>
  <mergeCells count="10">
    <mergeCell ref="B3:D3"/>
    <mergeCell ref="B6:B7"/>
    <mergeCell ref="C6:C7"/>
    <mergeCell ref="D6:D7"/>
    <mergeCell ref="B4:I4"/>
    <mergeCell ref="E6:E7"/>
    <mergeCell ref="F6:F7"/>
    <mergeCell ref="G6:G7"/>
    <mergeCell ref="H6:H7"/>
    <mergeCell ref="I6:I7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BF8F"/>
  </sheetPr>
  <dimension ref="A3:I19"/>
  <sheetViews>
    <sheetView showGridLines="0" zoomScaleNormal="100" zoomScaleSheetLayoutView="100" workbookViewId="0">
      <pane xSplit="2" ySplit="7" topLeftCell="C8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ColWidth="11.453125" defaultRowHeight="12.5" x14ac:dyDescent="0.25"/>
  <cols>
    <col min="1" max="1" width="3" style="48" bestFit="1" customWidth="1"/>
    <col min="2" max="2" width="31.81640625" style="47" bestFit="1" customWidth="1"/>
    <col min="3" max="7" width="10.6328125" style="48" customWidth="1"/>
    <col min="8" max="8" width="2.6328125" style="48" customWidth="1"/>
    <col min="9" max="16384" width="11.453125" style="48"/>
  </cols>
  <sheetData>
    <row r="3" spans="1:9" ht="13.5" thickBot="1" x14ac:dyDescent="0.3">
      <c r="C3" s="144">
        <v>1</v>
      </c>
      <c r="D3" s="144">
        <v>2</v>
      </c>
      <c r="E3" s="144">
        <v>3</v>
      </c>
      <c r="F3" s="144">
        <v>10</v>
      </c>
      <c r="G3" s="144">
        <v>11</v>
      </c>
    </row>
    <row r="4" spans="1:9" ht="18.5" thickBot="1" x14ac:dyDescent="0.45">
      <c r="B4" s="979" t="s">
        <v>836</v>
      </c>
      <c r="C4" s="980"/>
      <c r="D4" s="980"/>
      <c r="E4" s="980"/>
      <c r="F4" s="980"/>
      <c r="G4" s="981"/>
    </row>
    <row r="5" spans="1:9" ht="13" thickBot="1" x14ac:dyDescent="0.3"/>
    <row r="6" spans="1:9" ht="15" customHeight="1" x14ac:dyDescent="0.25">
      <c r="B6" s="789" t="s">
        <v>89</v>
      </c>
      <c r="C6" s="790">
        <v>2015</v>
      </c>
      <c r="D6" s="790">
        <v>2016</v>
      </c>
      <c r="E6" s="790">
        <v>2017</v>
      </c>
      <c r="F6" s="790">
        <v>2018</v>
      </c>
      <c r="G6" s="790">
        <v>2019</v>
      </c>
      <c r="I6" s="48" t="s">
        <v>71</v>
      </c>
    </row>
    <row r="7" spans="1:9" ht="15" customHeight="1" x14ac:dyDescent="0.25">
      <c r="A7" s="48">
        <v>0</v>
      </c>
      <c r="B7" s="791" t="s">
        <v>838</v>
      </c>
      <c r="C7" s="767">
        <f>VLOOKUP($A7,'RV 2015-Resumen'!$A$7:$J$33,10,0)</f>
        <v>11</v>
      </c>
      <c r="D7" s="767">
        <f>VLOOKUP($A7,'RV 2016-Resumen'!$A$7:$J$33,10,0)</f>
        <v>11</v>
      </c>
      <c r="E7" s="767">
        <f>VLOOKUP($A7,'RV 2017-Resumen'!$A$7:$J$33,10,0)</f>
        <v>11</v>
      </c>
      <c r="F7" s="767">
        <f>VLOOKUP($A7,'RV 2018-Resumen'!$A$7:$J$33,10,0)</f>
        <v>11</v>
      </c>
      <c r="G7" s="767">
        <f>VLOOKUP($A7,'RV 2019-Resumen'!$A$7:$J$33,10,0)</f>
        <v>11</v>
      </c>
    </row>
    <row r="8" spans="1:9" ht="15" customHeight="1" x14ac:dyDescent="0.25">
      <c r="A8" s="48">
        <v>6</v>
      </c>
      <c r="B8" s="791" t="s">
        <v>178</v>
      </c>
      <c r="C8" s="792">
        <f>VLOOKUP($A8,'RV 2015-Resumen'!$A$7:$J$33,10,0)</f>
        <v>240</v>
      </c>
      <c r="D8" s="792">
        <f>VLOOKUP($A8,'RV 2016-Resumen'!$A$7:$J$33,10,0)</f>
        <v>265</v>
      </c>
      <c r="E8" s="792">
        <f>VLOOKUP($A8,'RV 2017-Resumen'!$A$7:$J$33,10,0)</f>
        <v>290</v>
      </c>
      <c r="F8" s="792">
        <f>VLOOKUP($A8,'RV 2018-Resumen'!$A$7:$J$33,10,0)</f>
        <v>320</v>
      </c>
      <c r="G8" s="792">
        <f>VLOOKUP($A8,'RV 2019-Resumen'!$A$7:$J$33,10,0)</f>
        <v>335</v>
      </c>
      <c r="I8" s="48" t="s">
        <v>175</v>
      </c>
    </row>
    <row r="9" spans="1:9" ht="15" customHeight="1" x14ac:dyDescent="0.25">
      <c r="A9" s="48">
        <v>12</v>
      </c>
      <c r="B9" s="793" t="s">
        <v>163</v>
      </c>
      <c r="C9" s="794">
        <f>VLOOKUP($A9,'RV 2015-Resumen'!$A$7:$J$33,10,0)</f>
        <v>9070152</v>
      </c>
      <c r="D9" s="794">
        <f>VLOOKUP($A9,'RV 2016-Resumen'!$A$7:$J$33,10,0)</f>
        <v>10534824</v>
      </c>
      <c r="E9" s="794">
        <f>VLOOKUP($A9,'RV 2017-Resumen'!$A$7:$J$33,10,0)</f>
        <v>12046883</v>
      </c>
      <c r="F9" s="794">
        <f>VLOOKUP($A9,'RV 2018-Resumen'!$A$7:$J$33,10,0)</f>
        <v>12531213</v>
      </c>
      <c r="G9" s="794">
        <f>VLOOKUP($A9,'RV 2019-Resumen'!$A$7:$J$33,10,0)</f>
        <v>13038257</v>
      </c>
    </row>
    <row r="10" spans="1:9" ht="15" customHeight="1" x14ac:dyDescent="0.25">
      <c r="A10" s="48">
        <v>14</v>
      </c>
      <c r="B10" s="793" t="s">
        <v>166</v>
      </c>
      <c r="C10" s="794">
        <f>VLOOKUP($A10,'RV 2015-Resumen'!$A$7:$J$33,10,0)</f>
        <v>2756301</v>
      </c>
      <c r="D10" s="794">
        <f>VLOOKUP($A10,'RV 2016-Resumen'!$A$7:$J$33,10,0)</f>
        <v>2808951</v>
      </c>
      <c r="E10" s="794">
        <f>VLOOKUP($A10,'RV 2017-Resumen'!$A$7:$J$33,10,0)</f>
        <v>3249833</v>
      </c>
      <c r="F10" s="794">
        <f>VLOOKUP($A10,'RV 2018-Resumen'!$A$7:$J$33,10,0)</f>
        <v>6272375</v>
      </c>
      <c r="G10" s="794">
        <f>VLOOKUP($A10,'RV 2019-Resumen'!$A$7:$J$33,10,0)</f>
        <v>8169086</v>
      </c>
    </row>
    <row r="11" spans="1:9" ht="15" customHeight="1" x14ac:dyDescent="0.25">
      <c r="A11" s="48">
        <v>15</v>
      </c>
      <c r="B11" s="795" t="s">
        <v>167</v>
      </c>
      <c r="C11" s="796">
        <f>VLOOKUP($A11,'RV 2015-Resumen'!$A$7:$J$33,10,0)</f>
        <v>11826453</v>
      </c>
      <c r="D11" s="796">
        <f>VLOOKUP($A11,'RV 2016-Resumen'!$A$7:$J$33,10,0)</f>
        <v>13343775</v>
      </c>
      <c r="E11" s="796">
        <f>VLOOKUP($A11,'RV 2017-Resumen'!$A$7:$J$33,10,0)</f>
        <v>15296716</v>
      </c>
      <c r="F11" s="796">
        <f>VLOOKUP($A11,'RV 2018-Resumen'!$A$7:$J$33,10,0)</f>
        <v>18803588</v>
      </c>
      <c r="G11" s="796">
        <f>VLOOKUP($A11,'RV 2019-Resumen'!$A$7:$J$33,10,0)</f>
        <v>21207343</v>
      </c>
    </row>
    <row r="12" spans="1:9" ht="15" customHeight="1" x14ac:dyDescent="0.25">
      <c r="A12" s="48">
        <v>17</v>
      </c>
      <c r="B12" s="793" t="s">
        <v>162</v>
      </c>
      <c r="C12" s="794">
        <f>VLOOKUP($A12,'RV 2015-Resumen'!$A$7:$J$33,10,0)</f>
        <v>2051200</v>
      </c>
      <c r="D12" s="794">
        <f>VLOOKUP($A12,'RV 2016-Resumen'!$A$7:$J$33,10,0)</f>
        <v>2134400</v>
      </c>
      <c r="E12" s="794">
        <f>VLOOKUP($A12,'RV 2017-Resumen'!$A$7:$J$33,10,0)</f>
        <v>2220800</v>
      </c>
      <c r="F12" s="794">
        <f>VLOOKUP($A12,'RV 2018-Resumen'!$A$7:$J$33,10,0)</f>
        <v>2310400</v>
      </c>
      <c r="G12" s="794">
        <f>VLOOKUP($A12,'RV 2019-Resumen'!$A$7:$J$33,10,0)</f>
        <v>2403200</v>
      </c>
    </row>
    <row r="13" spans="1:9" ht="15" customHeight="1" x14ac:dyDescent="0.25">
      <c r="A13" s="48">
        <v>22</v>
      </c>
      <c r="B13" s="793" t="s">
        <v>197</v>
      </c>
      <c r="C13" s="794">
        <f>VLOOKUP($A13,'RV 2015-Resumen'!$A$7:$J$33,10,0)</f>
        <v>8397100.0999999996</v>
      </c>
      <c r="D13" s="794">
        <f>VLOOKUP($A13,'RV 2016-Resumen'!$A$7:$J$33,10,0)</f>
        <v>9804900.2000000011</v>
      </c>
      <c r="E13" s="794">
        <f>VLOOKUP($A13,'RV 2017-Resumen'!$A$7:$J$33,10,0)</f>
        <v>11450999.800000001</v>
      </c>
      <c r="F13" s="794">
        <f>VLOOKUP($A13,'RV 2018-Resumen'!$A$7:$J$33,10,0)</f>
        <v>13357000</v>
      </c>
      <c r="G13" s="794">
        <f>VLOOKUP($A13,'RV 2019-Resumen'!$A$7:$J$33,10,0)</f>
        <v>14719599.899999999</v>
      </c>
    </row>
    <row r="14" spans="1:9" ht="15" customHeight="1" x14ac:dyDescent="0.25">
      <c r="A14" s="48">
        <v>23</v>
      </c>
      <c r="B14" s="795" t="s">
        <v>198</v>
      </c>
      <c r="C14" s="796">
        <f>VLOOKUP($A14,'RV 2015-Resumen'!$A$7:$J$33,10,0)</f>
        <v>10448300.1</v>
      </c>
      <c r="D14" s="796">
        <f>VLOOKUP($A14,'RV 2016-Resumen'!$A$7:$J$33,10,0)</f>
        <v>11939300.200000001</v>
      </c>
      <c r="E14" s="796">
        <f>VLOOKUP($A14,'RV 2017-Resumen'!$A$7:$J$33,10,0)</f>
        <v>13671799.800000001</v>
      </c>
      <c r="F14" s="796">
        <f>VLOOKUP($A14,'RV 2018-Resumen'!$A$7:$J$33,10,0)</f>
        <v>15667400</v>
      </c>
      <c r="G14" s="796">
        <f>VLOOKUP($A14,'RV 2019-Resumen'!$A$7:$J$33,10,0)</f>
        <v>17122799.899999999</v>
      </c>
    </row>
    <row r="15" spans="1:9" ht="15" customHeight="1" x14ac:dyDescent="0.25">
      <c r="A15" s="48">
        <v>26</v>
      </c>
      <c r="B15" s="793" t="s">
        <v>172</v>
      </c>
      <c r="C15" s="794">
        <f>VLOOKUP($A15,'RV 2015-Resumen'!$A$7:$J$33,10,0)</f>
        <v>7575017.5725000007</v>
      </c>
      <c r="D15" s="794">
        <f>VLOOKUP($A15,'RV 2016-Resumen'!$A$7:$J$33,10,0)</f>
        <v>8655992.6450000014</v>
      </c>
      <c r="E15" s="794">
        <f>VLOOKUP($A15,'RV 2017-Resumen'!$A$7:$J$33,10,0)</f>
        <v>9912054.8550000004</v>
      </c>
      <c r="F15" s="794">
        <f>VLOOKUP($A15,'RV 2018-Resumen'!$A$7:$J$33,10,0)</f>
        <v>11358865</v>
      </c>
      <c r="G15" s="794">
        <f>VLOOKUP($A15,'RV 2019-Resumen'!$A$7:$J$33,10,0)</f>
        <v>12414029.9275</v>
      </c>
    </row>
    <row r="16" spans="1:9" ht="15" customHeight="1" x14ac:dyDescent="0.25">
      <c r="A16" s="48">
        <v>27</v>
      </c>
      <c r="B16" s="797" t="s">
        <v>161</v>
      </c>
      <c r="C16" s="796">
        <f>VLOOKUP($A16,'RV 2015-Resumen'!$A$7:$J$33,10,0)</f>
        <v>29849770.672500007</v>
      </c>
      <c r="D16" s="796">
        <f>VLOOKUP($A16,'RV 2016-Resumen'!$A$7:$J$33,10,0)</f>
        <v>33939067.845000006</v>
      </c>
      <c r="E16" s="796">
        <f>VLOOKUP($A16,'RV 2017-Resumen'!$A$7:$J$33,10,0)</f>
        <v>38880570.655000001</v>
      </c>
      <c r="F16" s="796">
        <f>VLOOKUP($A16,'RV 2018-Resumen'!$A$7:$J$33,10,0)</f>
        <v>45829853</v>
      </c>
      <c r="G16" s="796">
        <f>VLOOKUP($A16,'RV 2019-Resumen'!$A$7:$J$33,10,0)</f>
        <v>50744172.827500001</v>
      </c>
    </row>
    <row r="17" spans="1:7" ht="15" customHeight="1" x14ac:dyDescent="0.25">
      <c r="A17" s="48">
        <v>30</v>
      </c>
      <c r="B17" s="798" t="s">
        <v>837</v>
      </c>
      <c r="C17" s="794">
        <f>C18-C16</f>
        <v>6961693.7274999917</v>
      </c>
      <c r="D17" s="794">
        <f>D18-D16</f>
        <v>8201091.9549999908</v>
      </c>
      <c r="E17" s="794">
        <f>E18-E16</f>
        <v>9691027.5450000018</v>
      </c>
      <c r="F17" s="794">
        <f>F18-F16</f>
        <v>11949222.299999997</v>
      </c>
      <c r="G17" s="794">
        <f>G18-G16</f>
        <v>13478111.872500002</v>
      </c>
    </row>
    <row r="18" spans="1:7" ht="15" customHeight="1" thickBot="1" x14ac:dyDescent="0.3">
      <c r="A18" s="48">
        <v>31</v>
      </c>
      <c r="B18" s="799" t="s">
        <v>174</v>
      </c>
      <c r="C18" s="800">
        <f>VLOOKUP($A18,'RV 2015-Resumen'!$A$7:$J$33,10,0)</f>
        <v>36811464.399999999</v>
      </c>
      <c r="D18" s="800">
        <f>VLOOKUP($A18,'RV 2016-Resumen'!$A$7:$J$33,10,0)</f>
        <v>42140159.799999997</v>
      </c>
      <c r="E18" s="800">
        <f>VLOOKUP($A18,'RV 2017-Resumen'!$A$7:$J$33,10,0)</f>
        <v>48571598.200000003</v>
      </c>
      <c r="F18" s="800">
        <f>VLOOKUP($A18,'RV 2018-Resumen'!$A$7:$J$33,10,0)</f>
        <v>57779075.299999997</v>
      </c>
      <c r="G18" s="800">
        <f>VLOOKUP($A18,'RV 2019-Resumen'!$A$7:$J$33,10,0)</f>
        <v>64222284.700000003</v>
      </c>
    </row>
    <row r="19" spans="1:7" x14ac:dyDescent="0.25">
      <c r="C19" s="606">
        <f>'RV 2015'!$P$33-C18</f>
        <v>0</v>
      </c>
      <c r="D19" s="606">
        <f>'RV 2016'!$P$33-D18</f>
        <v>0</v>
      </c>
      <c r="E19" s="606">
        <f>'RV 2017'!$P$33-E18</f>
        <v>0</v>
      </c>
      <c r="F19" s="606">
        <f>'RV 2018'!$P$33-F18</f>
        <v>0</v>
      </c>
      <c r="G19" s="606">
        <f>'RV 2019'!$P$33-G18</f>
        <v>0</v>
      </c>
    </row>
  </sheetData>
  <mergeCells count="1">
    <mergeCell ref="B4:G4"/>
  </mergeCells>
  <printOptions horizontalCentered="1"/>
  <pageMargins left="0.59055118110236227" right="0.59055118110236227" top="0.59055118110236227" bottom="0.39370078740157483" header="0" footer="0"/>
  <pageSetup scale="79" orientation="portrait" r:id="rId1"/>
  <headerFooter alignWithMargins="0">
    <oddFooter>&amp;C&amp;P de &amp;N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BF8F"/>
  </sheetPr>
  <dimension ref="A2:AJ82"/>
  <sheetViews>
    <sheetView workbookViewId="0">
      <pane xSplit="2" ySplit="8" topLeftCell="C9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3" max="3" width="11.1796875" bestFit="1" customWidth="1"/>
    <col min="4" max="6" width="11.6328125" customWidth="1"/>
    <col min="7" max="7" width="11.1796875" bestFit="1" customWidth="1"/>
    <col min="8" max="11" width="11.1796875" customWidth="1"/>
    <col min="12" max="12" width="12.36328125" customWidth="1"/>
    <col min="29" max="29" width="11.7265625" customWidth="1"/>
    <col min="30" max="31" width="12.36328125" bestFit="1" customWidth="1"/>
    <col min="32" max="33" width="12.36328125" customWidth="1"/>
    <col min="35" max="35" width="11.1796875" bestFit="1" customWidth="1"/>
  </cols>
  <sheetData>
    <row r="2" spans="1:36" x14ac:dyDescent="0.35">
      <c r="A2" s="1"/>
      <c r="B2" s="185"/>
      <c r="C2" s="1" t="s">
        <v>190</v>
      </c>
    </row>
    <row r="3" spans="1:36" x14ac:dyDescent="0.35">
      <c r="C3">
        <f>COLUMN()-1</f>
        <v>2</v>
      </c>
      <c r="D3">
        <f t="shared" ref="D3:AI3" si="0">COLUMN()-1</f>
        <v>3</v>
      </c>
      <c r="E3">
        <f t="shared" si="0"/>
        <v>4</v>
      </c>
      <c r="F3">
        <f t="shared" si="0"/>
        <v>5</v>
      </c>
      <c r="G3">
        <f t="shared" si="0"/>
        <v>6</v>
      </c>
      <c r="H3">
        <f t="shared" si="0"/>
        <v>7</v>
      </c>
      <c r="I3">
        <f t="shared" si="0"/>
        <v>8</v>
      </c>
      <c r="J3">
        <f t="shared" si="0"/>
        <v>9</v>
      </c>
      <c r="K3">
        <f t="shared" si="0"/>
        <v>10</v>
      </c>
      <c r="L3">
        <f t="shared" si="0"/>
        <v>11</v>
      </c>
      <c r="M3">
        <f t="shared" si="0"/>
        <v>12</v>
      </c>
      <c r="N3">
        <f t="shared" si="0"/>
        <v>13</v>
      </c>
      <c r="O3">
        <f t="shared" si="0"/>
        <v>14</v>
      </c>
      <c r="P3">
        <f t="shared" si="0"/>
        <v>15</v>
      </c>
      <c r="Q3">
        <f t="shared" si="0"/>
        <v>16</v>
      </c>
      <c r="R3">
        <f t="shared" si="0"/>
        <v>17</v>
      </c>
      <c r="S3">
        <f t="shared" si="0"/>
        <v>18</v>
      </c>
      <c r="T3">
        <f t="shared" si="0"/>
        <v>19</v>
      </c>
      <c r="U3">
        <f t="shared" si="0"/>
        <v>20</v>
      </c>
      <c r="V3">
        <f t="shared" si="0"/>
        <v>21</v>
      </c>
      <c r="W3">
        <f t="shared" si="0"/>
        <v>22</v>
      </c>
      <c r="X3">
        <f t="shared" si="0"/>
        <v>23</v>
      </c>
      <c r="Y3">
        <f t="shared" si="0"/>
        <v>24</v>
      </c>
      <c r="Z3">
        <f t="shared" si="0"/>
        <v>25</v>
      </c>
      <c r="AA3">
        <f t="shared" si="0"/>
        <v>26</v>
      </c>
      <c r="AB3">
        <f t="shared" si="0"/>
        <v>27</v>
      </c>
      <c r="AC3">
        <f t="shared" si="0"/>
        <v>28</v>
      </c>
      <c r="AD3">
        <f t="shared" si="0"/>
        <v>29</v>
      </c>
      <c r="AE3">
        <f t="shared" si="0"/>
        <v>30</v>
      </c>
      <c r="AF3">
        <f t="shared" si="0"/>
        <v>31</v>
      </c>
      <c r="AG3">
        <f t="shared" si="0"/>
        <v>32</v>
      </c>
      <c r="AH3">
        <f t="shared" si="0"/>
        <v>33</v>
      </c>
      <c r="AI3">
        <f t="shared" si="0"/>
        <v>34</v>
      </c>
    </row>
    <row r="4" spans="1:36" ht="14.5" customHeight="1" x14ac:dyDescent="0.35">
      <c r="A4" s="179" t="s">
        <v>179</v>
      </c>
      <c r="B4" s="180" t="s">
        <v>180</v>
      </c>
      <c r="C4" s="886" t="s">
        <v>91</v>
      </c>
      <c r="D4" s="887"/>
      <c r="E4" s="887"/>
      <c r="F4" s="887"/>
      <c r="G4" s="887"/>
      <c r="H4" s="1114"/>
      <c r="I4" s="886" t="s">
        <v>109</v>
      </c>
      <c r="J4" s="887"/>
      <c r="K4" s="1114"/>
      <c r="L4" s="899" t="s">
        <v>244</v>
      </c>
      <c r="M4" s="1118" t="s">
        <v>249</v>
      </c>
      <c r="N4" s="1119"/>
      <c r="O4" s="1119"/>
      <c r="P4" s="1119"/>
      <c r="Q4" s="1119"/>
      <c r="R4" s="1119"/>
      <c r="S4" s="1119"/>
      <c r="T4" s="1119"/>
      <c r="U4" s="1119"/>
      <c r="V4" s="1119"/>
      <c r="W4" s="1119"/>
      <c r="X4" s="1119"/>
      <c r="Y4" s="1119"/>
      <c r="Z4" s="1119"/>
      <c r="AA4" s="1119"/>
      <c r="AB4" s="1119"/>
      <c r="AC4" s="1119"/>
    </row>
    <row r="5" spans="1:36" ht="14.5" customHeight="1" x14ac:dyDescent="0.35">
      <c r="A5" s="274"/>
      <c r="B5" s="275"/>
      <c r="C5" s="233"/>
      <c r="D5" s="234"/>
      <c r="E5" s="234"/>
      <c r="F5" s="234"/>
      <c r="G5" s="276"/>
      <c r="H5" s="277"/>
      <c r="I5" s="233"/>
      <c r="J5" s="234"/>
      <c r="K5" s="277"/>
      <c r="L5" s="1116"/>
      <c r="M5" s="886" t="s">
        <v>242</v>
      </c>
      <c r="N5" s="887"/>
      <c r="O5" s="887"/>
      <c r="P5" s="887"/>
      <c r="Q5" s="887"/>
      <c r="R5" s="887"/>
      <c r="S5" s="887"/>
      <c r="T5" s="887"/>
      <c r="U5" s="886" t="s">
        <v>243</v>
      </c>
      <c r="V5" s="887"/>
      <c r="W5" s="887"/>
      <c r="X5" s="887"/>
      <c r="Y5" s="887"/>
      <c r="Z5" s="887"/>
      <c r="AA5" s="887"/>
      <c r="AB5" s="887"/>
      <c r="AC5" s="1117" t="s">
        <v>248</v>
      </c>
      <c r="AD5" s="1120" t="s">
        <v>580</v>
      </c>
      <c r="AE5" s="884" t="s">
        <v>581</v>
      </c>
      <c r="AF5" s="882" t="s">
        <v>582</v>
      </c>
      <c r="AG5" s="882" t="s">
        <v>583</v>
      </c>
      <c r="AH5" s="884" t="s">
        <v>564</v>
      </c>
      <c r="AI5" s="884" t="s">
        <v>565</v>
      </c>
    </row>
    <row r="6" spans="1:36" ht="14" customHeight="1" x14ac:dyDescent="0.35">
      <c r="A6" s="181"/>
      <c r="B6" s="181"/>
      <c r="C6" s="929" t="s">
        <v>242</v>
      </c>
      <c r="D6" s="1115"/>
      <c r="E6" s="929" t="s">
        <v>243</v>
      </c>
      <c r="F6" s="1115"/>
      <c r="G6" s="882" t="s">
        <v>230</v>
      </c>
      <c r="H6" s="899" t="s">
        <v>240</v>
      </c>
      <c r="I6" s="929" t="s">
        <v>234</v>
      </c>
      <c r="J6" s="1115"/>
      <c r="K6" s="899" t="s">
        <v>241</v>
      </c>
      <c r="L6" s="1116"/>
      <c r="M6" s="232"/>
      <c r="N6" s="232" t="s">
        <v>121</v>
      </c>
      <c r="O6" s="232" t="s">
        <v>122</v>
      </c>
      <c r="P6" s="232" t="s">
        <v>123</v>
      </c>
      <c r="Q6" s="232" t="s">
        <v>199</v>
      </c>
      <c r="R6" s="232" t="s">
        <v>200</v>
      </c>
      <c r="S6" s="198" t="s">
        <v>245</v>
      </c>
      <c r="T6" s="882" t="s">
        <v>250</v>
      </c>
      <c r="U6" s="232"/>
      <c r="V6" s="232" t="s">
        <v>121</v>
      </c>
      <c r="W6" s="232" t="s">
        <v>122</v>
      </c>
      <c r="X6" s="232" t="s">
        <v>123</v>
      </c>
      <c r="Y6" s="232" t="s">
        <v>199</v>
      </c>
      <c r="Z6" s="232" t="s">
        <v>200</v>
      </c>
      <c r="AA6" s="198" t="s">
        <v>245</v>
      </c>
      <c r="AB6" s="882" t="s">
        <v>251</v>
      </c>
      <c r="AC6" s="1117"/>
      <c r="AD6" s="1120"/>
      <c r="AE6" s="884"/>
      <c r="AF6" s="914"/>
      <c r="AG6" s="914"/>
      <c r="AH6" s="884"/>
      <c r="AI6" s="884"/>
    </row>
    <row r="7" spans="1:36" ht="14" customHeight="1" x14ac:dyDescent="0.35">
      <c r="A7" s="181"/>
      <c r="B7" s="181"/>
      <c r="C7" s="232" t="s">
        <v>235</v>
      </c>
      <c r="D7" s="198" t="s">
        <v>236</v>
      </c>
      <c r="E7" s="232" t="s">
        <v>235</v>
      </c>
      <c r="F7" s="198" t="s">
        <v>236</v>
      </c>
      <c r="G7" s="883"/>
      <c r="H7" s="900"/>
      <c r="I7" s="232" t="s">
        <v>235</v>
      </c>
      <c r="J7" s="198" t="s">
        <v>236</v>
      </c>
      <c r="K7" s="900"/>
      <c r="L7" s="900"/>
      <c r="M7" s="273" t="s">
        <v>246</v>
      </c>
      <c r="N7" s="272">
        <f>Factor!$C$15</f>
        <v>8.5000000000000006E-2</v>
      </c>
      <c r="O7" s="272">
        <f>Factor!$C$16</f>
        <v>0.12</v>
      </c>
      <c r="P7" s="272">
        <f>Factor!$C$17</f>
        <v>0.01</v>
      </c>
      <c r="Q7" s="272">
        <f>Factor!$C$20</f>
        <v>0.02</v>
      </c>
      <c r="R7" s="272">
        <f>Factor!$C$21</f>
        <v>0.03</v>
      </c>
      <c r="S7" s="272">
        <f>Factor!$C$22</f>
        <v>0.04</v>
      </c>
      <c r="T7" s="883"/>
      <c r="U7" s="273" t="s">
        <v>247</v>
      </c>
      <c r="V7" s="272">
        <f>Factor!$C$15</f>
        <v>8.5000000000000006E-2</v>
      </c>
      <c r="W7" s="272">
        <f>Factor!$C$16</f>
        <v>0.12</v>
      </c>
      <c r="X7" s="272">
        <f>Factor!$C$17</f>
        <v>0.01</v>
      </c>
      <c r="Y7" s="272">
        <f>Factor!$C$20</f>
        <v>0.02</v>
      </c>
      <c r="Z7" s="272">
        <f>Factor!$C$21</f>
        <v>0.03</v>
      </c>
      <c r="AA7" s="272">
        <f>Factor!$C$22</f>
        <v>0.04</v>
      </c>
      <c r="AB7" s="883"/>
      <c r="AC7" s="1117"/>
      <c r="AD7" s="1120"/>
      <c r="AE7" s="884"/>
      <c r="AF7" s="883"/>
      <c r="AG7" s="883"/>
      <c r="AH7" s="884"/>
      <c r="AI7" s="884"/>
    </row>
    <row r="8" spans="1:36" x14ac:dyDescent="0.35">
      <c r="A8" s="181"/>
      <c r="B8" s="181"/>
      <c r="C8" s="177"/>
      <c r="D8" s="176"/>
      <c r="E8" s="176"/>
      <c r="F8" s="176"/>
      <c r="G8" s="176"/>
      <c r="H8" s="176"/>
      <c r="I8" s="177"/>
      <c r="J8" s="176"/>
      <c r="K8" s="176"/>
      <c r="L8" s="176"/>
      <c r="M8" s="177"/>
      <c r="N8" s="174"/>
      <c r="O8" s="176"/>
      <c r="P8" s="176"/>
      <c r="Q8" s="176"/>
      <c r="R8" s="176"/>
      <c r="S8" s="176"/>
      <c r="T8" s="176"/>
      <c r="U8" s="177"/>
      <c r="V8" s="174"/>
      <c r="W8" s="176"/>
      <c r="X8" s="176"/>
      <c r="Y8" s="176"/>
      <c r="Z8" s="176"/>
      <c r="AA8" s="176"/>
      <c r="AB8" s="176"/>
      <c r="AC8" s="18"/>
    </row>
    <row r="9" spans="1:36" x14ac:dyDescent="0.35">
      <c r="A9" s="182">
        <v>0</v>
      </c>
      <c r="B9" s="183">
        <v>42004</v>
      </c>
      <c r="C9" s="175">
        <v>0</v>
      </c>
      <c r="D9" s="175">
        <v>0</v>
      </c>
      <c r="E9" s="175">
        <v>0</v>
      </c>
      <c r="F9" s="175">
        <v>0</v>
      </c>
      <c r="G9" s="175">
        <f>IF(B9=MAX($B$9:$B$69),AI8+AH9,ROUND(IF(OR(MONTH($B9)=6,MONTH($B9)=12)=TRUE,(Factor!$C$9/2)*12*SUM(E9:F9),IF(MONTH($B9)=1,(Factor!$C$10*12)*SUM(E8:F8)*112%,0))+ROUND(IF(AND(MONTH($B9)=12,YEAR($B9)=2019)=TRUE,(Factor!$C$10*12)*SUM(E9:F9)*112%,0),0),0))*0+ROUND(IF(OR(MONTH($B9)=6,MONTH($B9)=12)=TRUE,(Factor!$C$9/2)*12*SUM(E9:F9),IF(MONTH($B9)=1,(Factor!$C$10*12)*SUM(E8:F8)*112%,0)),0)</f>
        <v>0</v>
      </c>
      <c r="H9" s="175">
        <f>SUM(C9:G9)</f>
        <v>0</v>
      </c>
      <c r="I9" s="175">
        <v>0</v>
      </c>
      <c r="J9" s="175"/>
      <c r="K9" s="175">
        <f t="shared" ref="K9:K40" si="1">SUM(I9:J9)</f>
        <v>0</v>
      </c>
      <c r="L9" s="175">
        <f>H9+K9</f>
        <v>0</v>
      </c>
      <c r="M9" s="175">
        <f t="shared" ref="M9:M40" si="2">SUM(C9:D9)*70%</f>
        <v>0</v>
      </c>
      <c r="N9" s="175">
        <f t="shared" ref="N9:P10" si="3">$M9*N$7</f>
        <v>0</v>
      </c>
      <c r="O9" s="175">
        <f t="shared" si="3"/>
        <v>0</v>
      </c>
      <c r="P9" s="175">
        <f t="shared" si="3"/>
        <v>0</v>
      </c>
      <c r="Q9" s="175">
        <v>0</v>
      </c>
      <c r="R9" s="175">
        <v>0</v>
      </c>
      <c r="S9" s="175">
        <v>0</v>
      </c>
      <c r="T9" s="175">
        <f>SUM(N9:S9)</f>
        <v>0</v>
      </c>
      <c r="U9" s="175">
        <f>SUM(E9:F9)*100%</f>
        <v>0</v>
      </c>
      <c r="V9" s="175">
        <f>IF($U9&lt;=HLOOKUP(YEAR($B9),'Ing Proyect'!$B$6:$G$7,2,0)*20,0,$U9*V$7)</f>
        <v>0</v>
      </c>
      <c r="W9" s="175">
        <f>$U9*W$7</f>
        <v>0</v>
      </c>
      <c r="X9" s="175">
        <f>$U9*X$7</f>
        <v>0</v>
      </c>
      <c r="Y9" s="175">
        <v>0</v>
      </c>
      <c r="Z9" s="175">
        <v>0</v>
      </c>
      <c r="AA9" s="175">
        <v>0</v>
      </c>
      <c r="AB9" s="175">
        <f>SUM(V9:AA9)</f>
        <v>0</v>
      </c>
      <c r="AC9" s="175">
        <f>AB9+T9</f>
        <v>0</v>
      </c>
      <c r="AD9" s="175">
        <f>L9+AC9</f>
        <v>0</v>
      </c>
      <c r="AE9" s="175">
        <f>AD9-AC9-G9</f>
        <v>0</v>
      </c>
      <c r="AF9" s="359">
        <f>AC9</f>
        <v>0</v>
      </c>
      <c r="AG9" s="359">
        <f>G9</f>
        <v>0</v>
      </c>
      <c r="AH9" s="175">
        <f>ROUND((Factor!$D$13/1)*1*SUM(E9:F9),0)</f>
        <v>0</v>
      </c>
      <c r="AI9" s="175">
        <f>AI8+AH9-AG9</f>
        <v>0</v>
      </c>
    </row>
    <row r="10" spans="1:36" x14ac:dyDescent="0.35">
      <c r="A10" s="18">
        <v>1</v>
      </c>
      <c r="B10" s="184">
        <v>42035</v>
      </c>
      <c r="C10" s="175">
        <f>SUMIF('RF 2015'!$D$10:$D$20,$C$4,'RF 2015'!$O$10:$O$20)</f>
        <v>21153000</v>
      </c>
      <c r="D10" s="175">
        <f>SUMIF('RV 2015'!$E$7:$M$7,$C$4,'RV 2015'!$E$33:$M$33)</f>
        <v>23117559.900000002</v>
      </c>
      <c r="E10" s="175">
        <f>SUMIF('RF 2015'!$D$22:$D$25,$C$4,'RF 2015'!$O$22:$O$25)</f>
        <v>2884500</v>
      </c>
      <c r="F10" s="175">
        <f>SUMIF('RV 2015'!$N$7:$O$7,$C$4,'RV 2015'!$N$33:$O$33)</f>
        <v>2766187.5</v>
      </c>
      <c r="G10" s="175">
        <f>IF(B10=MAX($B$9:$B$69),AI9+AH10,ROUND(IF(OR(MONTH($B10)=6,MONTH($B10)=12)=TRUE,(Factor!$C$9/2)*12*SUM(E10:F10),IF(MONTH($B10)=1,(Factor!$C$10*12)*SUM(E9:F9)*112%,0))+ROUND(IF(AND(MONTH($B10)=12,YEAR($B10)=2019)=TRUE,(Factor!$C$10*12)*SUM(E10:F10)*112%,0),0),0))*0+ROUND(IF(OR(MONTH($B10)=6,MONTH($B10)=12)=TRUE,(Factor!$C$9/2)*12*SUM(E10:F10),IF(MONTH($B10)=1,(Factor!$C$10*12)*SUM(E9:F9)*112%,0)),0)</f>
        <v>0</v>
      </c>
      <c r="H10" s="175">
        <f t="shared" ref="H10:H69" si="4">SUM(C10:G10)</f>
        <v>49921247.400000006</v>
      </c>
      <c r="I10" s="175">
        <f>SUMIF('RF 2015'!$D$10:$D$25,$I$4,'RF 2015'!$O$10:$O$25)</f>
        <v>11858500</v>
      </c>
      <c r="J10" s="175">
        <f>SUMIF('RV 2015'!$E$7:$O$7,$I$4,'RV 2015'!$E$33:$O$33)</f>
        <v>10927717</v>
      </c>
      <c r="K10" s="175">
        <f t="shared" si="1"/>
        <v>22786217</v>
      </c>
      <c r="L10" s="175">
        <f t="shared" ref="L10:L69" si="5">H10+K10</f>
        <v>72707464.400000006</v>
      </c>
      <c r="M10" s="175">
        <f t="shared" si="2"/>
        <v>30989391.930000003</v>
      </c>
      <c r="N10" s="175">
        <f t="shared" si="3"/>
        <v>2634098.3140500006</v>
      </c>
      <c r="O10" s="175">
        <f t="shared" si="3"/>
        <v>3718727.0316000003</v>
      </c>
      <c r="P10" s="175">
        <f t="shared" si="3"/>
        <v>309893.91930000007</v>
      </c>
      <c r="Q10" s="175">
        <f>HLOOKUP(YEAR($B10),'Factor Proy'!$C$4:$L$15,9,0)*$M10*Q$7</f>
        <v>0</v>
      </c>
      <c r="R10" s="175">
        <f>HLOOKUP(YEAR($B10),'Factor Proy'!$C$4:$L$15,9,0)*$M10*R$7</f>
        <v>0</v>
      </c>
      <c r="S10" s="175">
        <f>HLOOKUP(YEAR($B10),'Factor Proy'!$C$4:$L$15,9,0)*$M10*S$7</f>
        <v>0</v>
      </c>
      <c r="T10" s="175">
        <f t="shared" ref="T10:T69" si="6">SUM(N10:S10)</f>
        <v>6662719.2649500007</v>
      </c>
      <c r="U10" s="175">
        <f t="shared" ref="U10:U69" si="7">SUM(E10:F10)*100%</f>
        <v>5650687.5</v>
      </c>
      <c r="V10" s="175">
        <f>IF($U10&lt;=HLOOKUP(YEAR($B10),'Ing Proyect'!$B$6:$G$7,2,0)*20,0,$U10*V$7)</f>
        <v>0</v>
      </c>
      <c r="W10" s="175">
        <f t="shared" ref="W10:X69" si="8">$U10*W$7</f>
        <v>678082.5</v>
      </c>
      <c r="X10" s="175">
        <f t="shared" si="8"/>
        <v>56506.875</v>
      </c>
      <c r="Y10" s="175">
        <f>IF($U10&lt;=HLOOKUP(YEAR($B10),'Ing Proyect'!$B$6:$G$7,2,0)*20,0,HLOOKUP(YEAR($B10),'Factor Proy'!$C$4:$L$15,9,0)*$U10*Y$7)</f>
        <v>0</v>
      </c>
      <c r="Z10" s="175">
        <f>IF($U10&lt;=HLOOKUP(YEAR($B10),'Ing Proyect'!$B$6:$G$7,2,0)*20,0,HLOOKUP(YEAR($B10),'Factor Proy'!$C$4:$L$15,9,0)*$U10*Z$7)</f>
        <v>0</v>
      </c>
      <c r="AA10" s="175">
        <f>HLOOKUP(YEAR($B10),'Factor Proy'!$C$4:$L$15,9,0)*$U10*AA$7</f>
        <v>0</v>
      </c>
      <c r="AB10" s="175">
        <f t="shared" ref="AB10:AB69" si="9">SUM(V10:AA10)</f>
        <v>734589.375</v>
      </c>
      <c r="AC10" s="175">
        <f t="shared" ref="AC10:AC69" si="10">AB10+T10</f>
        <v>7397308.6399500007</v>
      </c>
      <c r="AD10" s="175">
        <f t="shared" ref="AD10:AD69" si="11">L10+AC10</f>
        <v>80104773.039950013</v>
      </c>
      <c r="AE10" s="175">
        <f t="shared" ref="AE10:AE69" si="12">AD10-AC10-G10</f>
        <v>72707464.400000006</v>
      </c>
      <c r="AF10" s="359">
        <f t="shared" ref="AF10:AF69" si="13">AC10</f>
        <v>7397308.6399500007</v>
      </c>
      <c r="AG10" s="359">
        <f t="shared" ref="AG10:AG69" si="14">G10</f>
        <v>0</v>
      </c>
      <c r="AH10" s="175">
        <f>ROUND((Factor!$D$13/1)*1*SUM(E10:F10),0)</f>
        <v>998288</v>
      </c>
      <c r="AI10" s="175">
        <f t="shared" ref="AI10:AI69" si="15">AI9+AH10-AG10</f>
        <v>998288</v>
      </c>
    </row>
    <row r="11" spans="1:36" x14ac:dyDescent="0.35">
      <c r="A11" s="18">
        <v>2</v>
      </c>
      <c r="B11" s="184">
        <v>42063</v>
      </c>
      <c r="C11" s="175">
        <f>SUMIF('RF 2015'!$D$10:$D$20,$C$4,'RF 2015'!$O$10:$O$20)</f>
        <v>21153000</v>
      </c>
      <c r="D11" s="175">
        <f>SUMIF('RV 2015'!$E$7:$M$7,$C$4,'RV 2015'!$E$33:$M$33)</f>
        <v>23117559.900000002</v>
      </c>
      <c r="E11" s="175">
        <f>SUMIF('RF 2015'!$D$22:$D$25,$C$4,'RF 2015'!$O$22:$O$25)</f>
        <v>2884500</v>
      </c>
      <c r="F11" s="175">
        <f>SUMIF('RV 2015'!$N$7:$O$7,$C$4,'RV 2015'!$N$33:$O$33)</f>
        <v>2766187.5</v>
      </c>
      <c r="G11" s="175">
        <f>IF(B11=MAX($B$9:$B$69),AI10+AH11,ROUND(IF(OR(MONTH($B11)=6,MONTH($B11)=12)=TRUE,(Factor!$C$9/2)*12*SUM(E11:F11),IF(MONTH($B11)=1,(Factor!$C$10*12)*SUM(E10:F10)*112%,0))+ROUND(IF(AND(MONTH($B11)=12,YEAR($B11)=2019)=TRUE,(Factor!$C$10*12)*SUM(E11:F11)*112%,0),0),0))*0+ROUND(IF(OR(MONTH($B11)=6,MONTH($B11)=12)=TRUE,(Factor!$C$9/2)*12*SUM(E11:F11),IF(MONTH($B11)=1,(Factor!$C$10*12)*SUM(E10:F10)*112%,0)),0)</f>
        <v>0</v>
      </c>
      <c r="H11" s="175">
        <f t="shared" si="4"/>
        <v>49921247.400000006</v>
      </c>
      <c r="I11" s="175">
        <f>SUMIF('RF 2015'!$D$10:$D$25,$I$4,'RF 2015'!$O$10:$O$25)</f>
        <v>11858500</v>
      </c>
      <c r="J11" s="175">
        <f>SUMIF('RV 2015'!$E$7:$O$7,$I$4,'RV 2015'!$E$33:$O$33)</f>
        <v>10927717</v>
      </c>
      <c r="K11" s="175">
        <f t="shared" si="1"/>
        <v>22786217</v>
      </c>
      <c r="L11" s="175">
        <f t="shared" si="5"/>
        <v>72707464.400000006</v>
      </c>
      <c r="M11" s="175">
        <f t="shared" si="2"/>
        <v>30989391.930000003</v>
      </c>
      <c r="N11" s="175">
        <f t="shared" ref="N11:P69" si="16">$M11*N$7</f>
        <v>2634098.3140500006</v>
      </c>
      <c r="O11" s="175">
        <f t="shared" si="16"/>
        <v>3718727.0316000003</v>
      </c>
      <c r="P11" s="175">
        <f t="shared" si="16"/>
        <v>309893.91930000007</v>
      </c>
      <c r="Q11" s="175">
        <f>HLOOKUP(YEAR($B11),'Factor Proy'!$C$4:$L$15,9,0)*$M11*Q$7</f>
        <v>0</v>
      </c>
      <c r="R11" s="175">
        <f>HLOOKUP(YEAR($B11),'Factor Proy'!$C$4:$L$15,9,0)*$M11*R$7</f>
        <v>0</v>
      </c>
      <c r="S11" s="175">
        <f>HLOOKUP(YEAR($B11),'Factor Proy'!$C$4:$L$15,9,0)*$M11*S$7</f>
        <v>0</v>
      </c>
      <c r="T11" s="175">
        <f t="shared" si="6"/>
        <v>6662719.2649500007</v>
      </c>
      <c r="U11" s="175">
        <f t="shared" si="7"/>
        <v>5650687.5</v>
      </c>
      <c r="V11" s="175">
        <f>IF($U11&lt;=HLOOKUP(YEAR($B11),'Ing Proyect'!$B$6:$G$7,2,0)*20,0,$U11*V$7)</f>
        <v>0</v>
      </c>
      <c r="W11" s="175">
        <f t="shared" si="8"/>
        <v>678082.5</v>
      </c>
      <c r="X11" s="175">
        <f t="shared" si="8"/>
        <v>56506.875</v>
      </c>
      <c r="Y11" s="175">
        <f>IF($U11&lt;=HLOOKUP(YEAR($B11),'Ing Proyect'!$B$6:$G$7,2,0)*20,0,HLOOKUP(YEAR($B11),'Factor Proy'!$C$4:$L$15,9,0)*$U11*Y$7)</f>
        <v>0</v>
      </c>
      <c r="Z11" s="175">
        <f>IF($U11&lt;=HLOOKUP(YEAR($B11),'Ing Proyect'!$B$6:$G$7,2,0)*20,0,HLOOKUP(YEAR($B11),'Factor Proy'!$C$4:$L$15,9,0)*$U11*Z$7)</f>
        <v>0</v>
      </c>
      <c r="AA11" s="175">
        <f>HLOOKUP(YEAR($B11),'Factor Proy'!$C$4:$L$15,9,0)*$U11*AA$7</f>
        <v>0</v>
      </c>
      <c r="AB11" s="175">
        <f t="shared" si="9"/>
        <v>734589.375</v>
      </c>
      <c r="AC11" s="175">
        <f t="shared" si="10"/>
        <v>7397308.6399500007</v>
      </c>
      <c r="AD11" s="175">
        <f t="shared" si="11"/>
        <v>80104773.039950013</v>
      </c>
      <c r="AE11" s="175">
        <f t="shared" si="12"/>
        <v>72707464.400000006</v>
      </c>
      <c r="AF11" s="359">
        <f t="shared" si="13"/>
        <v>7397308.6399500007</v>
      </c>
      <c r="AG11" s="359">
        <f t="shared" si="14"/>
        <v>0</v>
      </c>
      <c r="AH11" s="175">
        <f>ROUND((Factor!$D$13/1)*1*SUM(E11:F11),0)</f>
        <v>998288</v>
      </c>
      <c r="AI11" s="175">
        <f t="shared" si="15"/>
        <v>1996576</v>
      </c>
    </row>
    <row r="12" spans="1:36" x14ac:dyDescent="0.35">
      <c r="A12" s="18">
        <v>3</v>
      </c>
      <c r="B12" s="184">
        <v>42094</v>
      </c>
      <c r="C12" s="175">
        <f>SUMIF('RF 2015'!$D$10:$D$20,$C$4,'RF 2015'!$O$10:$O$20)</f>
        <v>21153000</v>
      </c>
      <c r="D12" s="175">
        <f>SUMIF('RV 2015'!$E$7:$M$7,$C$4,'RV 2015'!$E$33:$M$33)</f>
        <v>23117559.900000002</v>
      </c>
      <c r="E12" s="175">
        <f>SUMIF('RF 2015'!$D$22:$D$25,$C$4,'RF 2015'!$O$22:$O$25)</f>
        <v>2884500</v>
      </c>
      <c r="F12" s="175">
        <f>SUMIF('RV 2015'!$N$7:$O$7,$C$4,'RV 2015'!$N$33:$O$33)</f>
        <v>2766187.5</v>
      </c>
      <c r="G12" s="175">
        <f>IF(B12=MAX($B$9:$B$69),AI11+AH12,ROUND(IF(OR(MONTH($B12)=6,MONTH($B12)=12)=TRUE,(Factor!$C$9/2)*12*SUM(E12:F12),IF(MONTH($B12)=1,(Factor!$C$10*12)*SUM(E11:F11)*112%,0))+ROUND(IF(AND(MONTH($B12)=12,YEAR($B12)=2019)=TRUE,(Factor!$C$10*12)*SUM(E12:F12)*112%,0),0),0))*0+ROUND(IF(OR(MONTH($B12)=6,MONTH($B12)=12)=TRUE,(Factor!$C$9/2)*12*SUM(E12:F12),IF(MONTH($B12)=1,(Factor!$C$10*12)*SUM(E11:F11)*112%,0)),0)</f>
        <v>0</v>
      </c>
      <c r="H12" s="175">
        <f t="shared" si="4"/>
        <v>49921247.400000006</v>
      </c>
      <c r="I12" s="175">
        <f>SUMIF('RF 2015'!$D$10:$D$25,$I$4,'RF 2015'!$O$10:$O$25)</f>
        <v>11858500</v>
      </c>
      <c r="J12" s="175">
        <f>SUMIF('RV 2015'!$E$7:$O$7,$I$4,'RV 2015'!$E$33:$O$33)</f>
        <v>10927717</v>
      </c>
      <c r="K12" s="175">
        <f t="shared" si="1"/>
        <v>22786217</v>
      </c>
      <c r="L12" s="175">
        <f t="shared" si="5"/>
        <v>72707464.400000006</v>
      </c>
      <c r="M12" s="175">
        <f t="shared" si="2"/>
        <v>30989391.930000003</v>
      </c>
      <c r="N12" s="175">
        <f t="shared" si="16"/>
        <v>2634098.3140500006</v>
      </c>
      <c r="O12" s="175">
        <f t="shared" si="16"/>
        <v>3718727.0316000003</v>
      </c>
      <c r="P12" s="175">
        <f t="shared" si="16"/>
        <v>309893.91930000007</v>
      </c>
      <c r="Q12" s="175">
        <f>HLOOKUP(YEAR($B12),'Factor Proy'!$C$4:$L$15,9,0)*$M12*Q$7</f>
        <v>0</v>
      </c>
      <c r="R12" s="175">
        <f>HLOOKUP(YEAR($B12),'Factor Proy'!$C$4:$L$15,9,0)*$M12*R$7</f>
        <v>0</v>
      </c>
      <c r="S12" s="175">
        <f>HLOOKUP(YEAR($B12),'Factor Proy'!$C$4:$L$15,9,0)*$M12*S$7</f>
        <v>0</v>
      </c>
      <c r="T12" s="175">
        <f t="shared" si="6"/>
        <v>6662719.2649500007</v>
      </c>
      <c r="U12" s="175">
        <f t="shared" si="7"/>
        <v>5650687.5</v>
      </c>
      <c r="V12" s="175">
        <f>IF($U12&lt;=HLOOKUP(YEAR($B12),'Ing Proyect'!$B$6:$G$7,2,0)*20,0,$U12*V$7)</f>
        <v>0</v>
      </c>
      <c r="W12" s="175">
        <f t="shared" si="8"/>
        <v>678082.5</v>
      </c>
      <c r="X12" s="175">
        <f t="shared" si="8"/>
        <v>56506.875</v>
      </c>
      <c r="Y12" s="175">
        <f>IF($U12&lt;=HLOOKUP(YEAR($B12),'Ing Proyect'!$B$6:$G$7,2,0)*20,0,HLOOKUP(YEAR($B12),'Factor Proy'!$C$4:$L$15,9,0)*$U12*Y$7)</f>
        <v>0</v>
      </c>
      <c r="Z12" s="175">
        <f>IF($U12&lt;=HLOOKUP(YEAR($B12),'Ing Proyect'!$B$6:$G$7,2,0)*20,0,HLOOKUP(YEAR($B12),'Factor Proy'!$C$4:$L$15,9,0)*$U12*Z$7)</f>
        <v>0</v>
      </c>
      <c r="AA12" s="175">
        <f>HLOOKUP(YEAR($B12),'Factor Proy'!$C$4:$L$15,9,0)*$U12*AA$7</f>
        <v>0</v>
      </c>
      <c r="AB12" s="175">
        <f t="shared" si="9"/>
        <v>734589.375</v>
      </c>
      <c r="AC12" s="175">
        <f t="shared" si="10"/>
        <v>7397308.6399500007</v>
      </c>
      <c r="AD12" s="175">
        <f t="shared" si="11"/>
        <v>80104773.039950013</v>
      </c>
      <c r="AE12" s="175">
        <f t="shared" si="12"/>
        <v>72707464.400000006</v>
      </c>
      <c r="AF12" s="359">
        <f t="shared" si="13"/>
        <v>7397308.6399500007</v>
      </c>
      <c r="AG12" s="359">
        <f t="shared" si="14"/>
        <v>0</v>
      </c>
      <c r="AH12" s="175">
        <f>ROUND((Factor!$D$13/1)*1*SUM(E12:F12),0)</f>
        <v>998288</v>
      </c>
      <c r="AI12" s="175">
        <f t="shared" si="15"/>
        <v>2994864</v>
      </c>
    </row>
    <row r="13" spans="1:36" x14ac:dyDescent="0.35">
      <c r="A13" s="18">
        <v>4</v>
      </c>
      <c r="B13" s="184">
        <v>42124</v>
      </c>
      <c r="C13" s="175">
        <f>SUMIF('RF 2015'!$D$10:$D$20,$C$4,'RF 2015'!$O$10:$O$20)</f>
        <v>21153000</v>
      </c>
      <c r="D13" s="175">
        <f>SUMIF('RV 2015'!$E$7:$M$7,$C$4,'RV 2015'!$E$33:$M$33)</f>
        <v>23117559.900000002</v>
      </c>
      <c r="E13" s="175">
        <f>SUMIF('RF 2015'!$D$22:$D$25,$C$4,'RF 2015'!$O$22:$O$25)</f>
        <v>2884500</v>
      </c>
      <c r="F13" s="175">
        <f>SUMIF('RV 2015'!$N$7:$O$7,$C$4,'RV 2015'!$N$33:$O$33)</f>
        <v>2766187.5</v>
      </c>
      <c r="G13" s="175">
        <f>IF(B13=MAX($B$9:$B$69),AI12+AH13,ROUND(IF(OR(MONTH($B13)=6,MONTH($B13)=12)=TRUE,(Factor!$C$9/2)*12*SUM(E13:F13),IF(MONTH($B13)=1,(Factor!$C$10*12)*SUM(E12:F12)*112%,0))+ROUND(IF(AND(MONTH($B13)=12,YEAR($B13)=2019)=TRUE,(Factor!$C$10*12)*SUM(E13:F13)*112%,0),0),0))*0+ROUND(IF(OR(MONTH($B13)=6,MONTH($B13)=12)=TRUE,(Factor!$C$9/2)*12*SUM(E13:F13),IF(MONTH($B13)=1,(Factor!$C$10*12)*SUM(E12:F12)*112%,0)),0)</f>
        <v>0</v>
      </c>
      <c r="H13" s="175">
        <f t="shared" si="4"/>
        <v>49921247.400000006</v>
      </c>
      <c r="I13" s="175">
        <f>SUMIF('RF 2015'!$D$10:$D$25,$I$4,'RF 2015'!$O$10:$O$25)</f>
        <v>11858500</v>
      </c>
      <c r="J13" s="175">
        <f>SUMIF('RV 2015'!$E$7:$O$7,$I$4,'RV 2015'!$E$33:$O$33)</f>
        <v>10927717</v>
      </c>
      <c r="K13" s="175">
        <f t="shared" si="1"/>
        <v>22786217</v>
      </c>
      <c r="L13" s="175">
        <f t="shared" si="5"/>
        <v>72707464.400000006</v>
      </c>
      <c r="M13" s="175">
        <f t="shared" si="2"/>
        <v>30989391.930000003</v>
      </c>
      <c r="N13" s="175">
        <f t="shared" si="16"/>
        <v>2634098.3140500006</v>
      </c>
      <c r="O13" s="175">
        <f t="shared" si="16"/>
        <v>3718727.0316000003</v>
      </c>
      <c r="P13" s="175">
        <f t="shared" si="16"/>
        <v>309893.91930000007</v>
      </c>
      <c r="Q13" s="175">
        <f>HLOOKUP(YEAR($B13),'Factor Proy'!$C$4:$L$15,9,0)*$M13*Q$7</f>
        <v>0</v>
      </c>
      <c r="R13" s="175">
        <f>HLOOKUP(YEAR($B13),'Factor Proy'!$C$4:$L$15,9,0)*$M13*R$7</f>
        <v>0</v>
      </c>
      <c r="S13" s="175">
        <f>HLOOKUP(YEAR($B13),'Factor Proy'!$C$4:$L$15,9,0)*$M13*S$7</f>
        <v>0</v>
      </c>
      <c r="T13" s="175">
        <f t="shared" si="6"/>
        <v>6662719.2649500007</v>
      </c>
      <c r="U13" s="175">
        <f t="shared" si="7"/>
        <v>5650687.5</v>
      </c>
      <c r="V13" s="175">
        <f>IF($U13&lt;=HLOOKUP(YEAR($B13),'Ing Proyect'!$B$6:$G$7,2,0)*20,0,$U13*V$7)</f>
        <v>0</v>
      </c>
      <c r="W13" s="175">
        <f t="shared" si="8"/>
        <v>678082.5</v>
      </c>
      <c r="X13" s="175">
        <f t="shared" si="8"/>
        <v>56506.875</v>
      </c>
      <c r="Y13" s="175">
        <f>IF($U13&lt;=HLOOKUP(YEAR($B13),'Ing Proyect'!$B$6:$G$7,2,0)*20,0,HLOOKUP(YEAR($B13),'Factor Proy'!$C$4:$L$15,9,0)*$U13*Y$7)</f>
        <v>0</v>
      </c>
      <c r="Z13" s="175">
        <f>IF($U13&lt;=HLOOKUP(YEAR($B13),'Ing Proyect'!$B$6:$G$7,2,0)*20,0,HLOOKUP(YEAR($B13),'Factor Proy'!$C$4:$L$15,9,0)*$U13*Z$7)</f>
        <v>0</v>
      </c>
      <c r="AA13" s="175">
        <f>HLOOKUP(YEAR($B13),'Factor Proy'!$C$4:$L$15,9,0)*$U13*AA$7</f>
        <v>0</v>
      </c>
      <c r="AB13" s="175">
        <f t="shared" si="9"/>
        <v>734589.375</v>
      </c>
      <c r="AC13" s="175">
        <f t="shared" si="10"/>
        <v>7397308.6399500007</v>
      </c>
      <c r="AD13" s="175">
        <f t="shared" si="11"/>
        <v>80104773.039950013</v>
      </c>
      <c r="AE13" s="175">
        <f t="shared" si="12"/>
        <v>72707464.400000006</v>
      </c>
      <c r="AF13" s="359">
        <f t="shared" si="13"/>
        <v>7397308.6399500007</v>
      </c>
      <c r="AG13" s="359">
        <f t="shared" si="14"/>
        <v>0</v>
      </c>
      <c r="AH13" s="175">
        <f>ROUND((Factor!$D$13/1)*1*SUM(E13:F13),0)</f>
        <v>998288</v>
      </c>
      <c r="AI13" s="175">
        <f t="shared" si="15"/>
        <v>3993152</v>
      </c>
    </row>
    <row r="14" spans="1:36" x14ac:dyDescent="0.35">
      <c r="A14" s="18">
        <v>5</v>
      </c>
      <c r="B14" s="184">
        <v>42155</v>
      </c>
      <c r="C14" s="175">
        <f>SUMIF('RF 2015'!$D$10:$D$20,$C$4,'RF 2015'!$O$10:$O$20)</f>
        <v>21153000</v>
      </c>
      <c r="D14" s="175">
        <f>SUMIF('RV 2015'!$E$7:$M$7,$C$4,'RV 2015'!$E$33:$M$33)</f>
        <v>23117559.900000002</v>
      </c>
      <c r="E14" s="175">
        <f>SUMIF('RF 2015'!$D$22:$D$25,$C$4,'RF 2015'!$O$22:$O$25)</f>
        <v>2884500</v>
      </c>
      <c r="F14" s="175">
        <f>SUMIF('RV 2015'!$N$7:$O$7,$C$4,'RV 2015'!$N$33:$O$33)</f>
        <v>2766187.5</v>
      </c>
      <c r="G14" s="175">
        <f>IF(B14=MAX($B$9:$B$69),AI13+AH14,ROUND(IF(OR(MONTH($B14)=6,MONTH($B14)=12)=TRUE,(Factor!$C$9/2)*12*SUM(E14:F14),IF(MONTH($B14)=1,(Factor!$C$10*12)*SUM(E13:F13)*112%,0))+ROUND(IF(AND(MONTH($B14)=12,YEAR($B14)=2019)=TRUE,(Factor!$C$10*12)*SUM(E14:F14)*112%,0),0),0))*0+ROUND(IF(OR(MONTH($B14)=6,MONTH($B14)=12)=TRUE,(Factor!$C$9/2)*12*SUM(E14:F14),IF(MONTH($B14)=1,(Factor!$C$10*12)*SUM(E13:F13)*112%,0)),0)</f>
        <v>0</v>
      </c>
      <c r="H14" s="175">
        <f t="shared" si="4"/>
        <v>49921247.400000006</v>
      </c>
      <c r="I14" s="175">
        <f>SUMIF('RF 2015'!$D$10:$D$25,$I$4,'RF 2015'!$O$10:$O$25)</f>
        <v>11858500</v>
      </c>
      <c r="J14" s="175">
        <f>SUMIF('RV 2015'!$E$7:$O$7,$I$4,'RV 2015'!$E$33:$O$33)</f>
        <v>10927717</v>
      </c>
      <c r="K14" s="175">
        <f t="shared" si="1"/>
        <v>22786217</v>
      </c>
      <c r="L14" s="175">
        <f t="shared" si="5"/>
        <v>72707464.400000006</v>
      </c>
      <c r="M14" s="175">
        <f t="shared" si="2"/>
        <v>30989391.930000003</v>
      </c>
      <c r="N14" s="175">
        <f t="shared" si="16"/>
        <v>2634098.3140500006</v>
      </c>
      <c r="O14" s="175">
        <f t="shared" si="16"/>
        <v>3718727.0316000003</v>
      </c>
      <c r="P14" s="175">
        <f t="shared" si="16"/>
        <v>309893.91930000007</v>
      </c>
      <c r="Q14" s="175">
        <f>HLOOKUP(YEAR($B14),'Factor Proy'!$C$4:$L$15,9,0)*$M14*Q$7</f>
        <v>0</v>
      </c>
      <c r="R14" s="175">
        <f>HLOOKUP(YEAR($B14),'Factor Proy'!$C$4:$L$15,9,0)*$M14*R$7</f>
        <v>0</v>
      </c>
      <c r="S14" s="175">
        <f>HLOOKUP(YEAR($B14),'Factor Proy'!$C$4:$L$15,9,0)*$M14*S$7</f>
        <v>0</v>
      </c>
      <c r="T14" s="175">
        <f t="shared" si="6"/>
        <v>6662719.2649500007</v>
      </c>
      <c r="U14" s="175">
        <f t="shared" si="7"/>
        <v>5650687.5</v>
      </c>
      <c r="V14" s="175">
        <f>IF($U14&lt;=HLOOKUP(YEAR($B14),'Ing Proyect'!$B$6:$G$7,2,0)*20,0,$U14*V$7)</f>
        <v>0</v>
      </c>
      <c r="W14" s="175">
        <f t="shared" si="8"/>
        <v>678082.5</v>
      </c>
      <c r="X14" s="175">
        <f t="shared" si="8"/>
        <v>56506.875</v>
      </c>
      <c r="Y14" s="175">
        <f>IF($U14&lt;=HLOOKUP(YEAR($B14),'Ing Proyect'!$B$6:$G$7,2,0)*20,0,HLOOKUP(YEAR($B14),'Factor Proy'!$C$4:$L$15,9,0)*$U14*Y$7)</f>
        <v>0</v>
      </c>
      <c r="Z14" s="175">
        <f>IF($U14&lt;=HLOOKUP(YEAR($B14),'Ing Proyect'!$B$6:$G$7,2,0)*20,0,HLOOKUP(YEAR($B14),'Factor Proy'!$C$4:$L$15,9,0)*$U14*Z$7)</f>
        <v>0</v>
      </c>
      <c r="AA14" s="175">
        <f>HLOOKUP(YEAR($B14),'Factor Proy'!$C$4:$L$15,9,0)*$U14*AA$7</f>
        <v>0</v>
      </c>
      <c r="AB14" s="175">
        <f t="shared" si="9"/>
        <v>734589.375</v>
      </c>
      <c r="AC14" s="175">
        <f t="shared" si="10"/>
        <v>7397308.6399500007</v>
      </c>
      <c r="AD14" s="175">
        <f t="shared" si="11"/>
        <v>80104773.039950013</v>
      </c>
      <c r="AE14" s="175">
        <f t="shared" si="12"/>
        <v>72707464.400000006</v>
      </c>
      <c r="AF14" s="359">
        <f t="shared" si="13"/>
        <v>7397308.6399500007</v>
      </c>
      <c r="AG14" s="359">
        <f t="shared" si="14"/>
        <v>0</v>
      </c>
      <c r="AH14" s="175">
        <f>ROUND((Factor!$D$13/1)*1*SUM(E14:F14),0)</f>
        <v>998288</v>
      </c>
      <c r="AI14" s="175">
        <f t="shared" si="15"/>
        <v>4991440</v>
      </c>
    </row>
    <row r="15" spans="1:36" x14ac:dyDescent="0.35">
      <c r="A15" s="18">
        <v>6</v>
      </c>
      <c r="B15" s="184">
        <v>42185</v>
      </c>
      <c r="C15" s="175">
        <f>SUMIF('RF 2015'!$D$10:$D$20,$C$4,'RF 2015'!$O$10:$O$20)</f>
        <v>21153000</v>
      </c>
      <c r="D15" s="175">
        <f>SUMIF('RV 2015'!$E$7:$M$7,$C$4,'RV 2015'!$E$33:$M$33)</f>
        <v>23117559.900000002</v>
      </c>
      <c r="E15" s="175">
        <f>SUMIF('RF 2015'!$D$22:$D$25,$C$4,'RF 2015'!$O$22:$O$25)</f>
        <v>2884500</v>
      </c>
      <c r="F15" s="175">
        <f>SUMIF('RV 2015'!$N$7:$O$7,$C$4,'RV 2015'!$N$33:$O$33)</f>
        <v>2766187.5</v>
      </c>
      <c r="G15" s="175">
        <f>IF(B15=MAX($B$9:$B$69),AI14+AH15,ROUND(IF(OR(MONTH($B15)=6,MONTH($B15)=12)=TRUE,(Factor!$C$9/2)*12*SUM(E15:F15),IF(MONTH($B15)=1,(Factor!$C$10*12)*SUM(E14:F14)*112%,0))+ROUND(IF(AND(MONTH($B15)=12,YEAR($B15)=2019)=TRUE,(Factor!$C$10*12)*SUM(E15:F15)*112%,0),0),0))*0+ROUND(IF(OR(MONTH($B15)=6,MONTH($B15)=12)=TRUE,(Factor!$C$9/2)*12*SUM(E15:F15),IF(MONTH($B15)=1,(Factor!$C$10*12)*SUM(E14:F14)*112%,0)),0)</f>
        <v>2825344</v>
      </c>
      <c r="H15" s="175">
        <f t="shared" si="4"/>
        <v>52746591.400000006</v>
      </c>
      <c r="I15" s="175">
        <f>SUMIF('RF 2015'!$D$10:$D$25,$I$4,'RF 2015'!$O$10:$O$25)</f>
        <v>11858500</v>
      </c>
      <c r="J15" s="175">
        <f>SUMIF('RV 2015'!$E$7:$O$7,$I$4,'RV 2015'!$E$33:$O$33)</f>
        <v>10927717</v>
      </c>
      <c r="K15" s="175">
        <f t="shared" si="1"/>
        <v>22786217</v>
      </c>
      <c r="L15" s="175">
        <f t="shared" si="5"/>
        <v>75532808.400000006</v>
      </c>
      <c r="M15" s="175">
        <f t="shared" si="2"/>
        <v>30989391.930000003</v>
      </c>
      <c r="N15" s="175">
        <f t="shared" si="16"/>
        <v>2634098.3140500006</v>
      </c>
      <c r="O15" s="175">
        <f t="shared" si="16"/>
        <v>3718727.0316000003</v>
      </c>
      <c r="P15" s="175">
        <f t="shared" si="16"/>
        <v>309893.91930000007</v>
      </c>
      <c r="Q15" s="175">
        <f>HLOOKUP(YEAR($B15),'Factor Proy'!$C$4:$L$15,9,0)*$M15*Q$7</f>
        <v>0</v>
      </c>
      <c r="R15" s="175">
        <f>HLOOKUP(YEAR($B15),'Factor Proy'!$C$4:$L$15,9,0)*$M15*R$7</f>
        <v>0</v>
      </c>
      <c r="S15" s="175">
        <f>HLOOKUP(YEAR($B15),'Factor Proy'!$C$4:$L$15,9,0)*$M15*S$7</f>
        <v>0</v>
      </c>
      <c r="T15" s="175">
        <f t="shared" si="6"/>
        <v>6662719.2649500007</v>
      </c>
      <c r="U15" s="175">
        <f t="shared" si="7"/>
        <v>5650687.5</v>
      </c>
      <c r="V15" s="175">
        <f>IF($U15&lt;=HLOOKUP(YEAR($B15),'Ing Proyect'!$B$6:$G$7,2,0)*20,0,$U15*V$7)</f>
        <v>0</v>
      </c>
      <c r="W15" s="175">
        <f t="shared" si="8"/>
        <v>678082.5</v>
      </c>
      <c r="X15" s="175">
        <f t="shared" si="8"/>
        <v>56506.875</v>
      </c>
      <c r="Y15" s="175">
        <f>IF($U15&lt;=HLOOKUP(YEAR($B15),'Ing Proyect'!$B$6:$G$7,2,0)*20,0,HLOOKUP(YEAR($B15),'Factor Proy'!$C$4:$L$15,9,0)*$U15*Y$7)</f>
        <v>0</v>
      </c>
      <c r="Z15" s="175">
        <f>IF($U15&lt;=HLOOKUP(YEAR($B15),'Ing Proyect'!$B$6:$G$7,2,0)*20,0,HLOOKUP(YEAR($B15),'Factor Proy'!$C$4:$L$15,9,0)*$U15*Z$7)</f>
        <v>0</v>
      </c>
      <c r="AA15" s="175">
        <f>HLOOKUP(YEAR($B15),'Factor Proy'!$C$4:$L$15,9,0)*$U15*AA$7</f>
        <v>0</v>
      </c>
      <c r="AB15" s="175">
        <f t="shared" si="9"/>
        <v>734589.375</v>
      </c>
      <c r="AC15" s="175">
        <f t="shared" si="10"/>
        <v>7397308.6399500007</v>
      </c>
      <c r="AD15" s="175">
        <f t="shared" si="11"/>
        <v>82930117.039950013</v>
      </c>
      <c r="AE15" s="175">
        <f t="shared" si="12"/>
        <v>72707464.400000006</v>
      </c>
      <c r="AF15" s="359">
        <f t="shared" si="13"/>
        <v>7397308.6399500007</v>
      </c>
      <c r="AG15" s="359">
        <f t="shared" si="14"/>
        <v>2825344</v>
      </c>
      <c r="AH15" s="175">
        <f>ROUND((Factor!$D$13/1)*1*SUM(E15:F15),0)</f>
        <v>998288</v>
      </c>
      <c r="AI15" s="175">
        <f t="shared" si="15"/>
        <v>3164384</v>
      </c>
      <c r="AJ15" s="349"/>
    </row>
    <row r="16" spans="1:36" x14ac:dyDescent="0.35">
      <c r="A16" s="18">
        <v>7</v>
      </c>
      <c r="B16" s="184">
        <v>42216</v>
      </c>
      <c r="C16" s="175">
        <f>SUMIF('RF 2015'!$D$10:$D$20,$C$4,'RF 2015'!$O$10:$O$20)</f>
        <v>21153000</v>
      </c>
      <c r="D16" s="175">
        <f>SUMIF('RV 2015'!$E$7:$M$7,$C$4,'RV 2015'!$E$33:$M$33)</f>
        <v>23117559.900000002</v>
      </c>
      <c r="E16" s="175">
        <f>SUMIF('RF 2015'!$D$22:$D$25,$C$4,'RF 2015'!$O$22:$O$25)</f>
        <v>2884500</v>
      </c>
      <c r="F16" s="175">
        <f>SUMIF('RV 2015'!$N$7:$O$7,$C$4,'RV 2015'!$N$33:$O$33)</f>
        <v>2766187.5</v>
      </c>
      <c r="G16" s="175">
        <f>IF(B16=MAX($B$9:$B$69),AI15+AH16,ROUND(IF(OR(MONTH($B16)=6,MONTH($B16)=12)=TRUE,(Factor!$C$9/2)*12*SUM(E16:F16),IF(MONTH($B16)=1,(Factor!$C$10*12)*SUM(E15:F15)*112%,0))+ROUND(IF(AND(MONTH($B16)=12,YEAR($B16)=2019)=TRUE,(Factor!$C$10*12)*SUM(E16:F16)*112%,0),0),0))*0+ROUND(IF(OR(MONTH($B16)=6,MONTH($B16)=12)=TRUE,(Factor!$C$9/2)*12*SUM(E16:F16),IF(MONTH($B16)=1,(Factor!$C$10*12)*SUM(E15:F15)*112%,0)),0)</f>
        <v>0</v>
      </c>
      <c r="H16" s="175">
        <f t="shared" si="4"/>
        <v>49921247.400000006</v>
      </c>
      <c r="I16" s="175">
        <f>SUMIF('RF 2015'!$D$10:$D$25,$I$4,'RF 2015'!$O$10:$O$25)</f>
        <v>11858500</v>
      </c>
      <c r="J16" s="175">
        <f>SUMIF('RV 2015'!$E$7:$O$7,$I$4,'RV 2015'!$E$33:$O$33)</f>
        <v>10927717</v>
      </c>
      <c r="K16" s="175">
        <f t="shared" si="1"/>
        <v>22786217</v>
      </c>
      <c r="L16" s="175">
        <f t="shared" si="5"/>
        <v>72707464.400000006</v>
      </c>
      <c r="M16" s="175">
        <f t="shared" si="2"/>
        <v>30989391.930000003</v>
      </c>
      <c r="N16" s="175">
        <f t="shared" si="16"/>
        <v>2634098.3140500006</v>
      </c>
      <c r="O16" s="175">
        <f t="shared" si="16"/>
        <v>3718727.0316000003</v>
      </c>
      <c r="P16" s="175">
        <f t="shared" si="16"/>
        <v>309893.91930000007</v>
      </c>
      <c r="Q16" s="175">
        <f>HLOOKUP(YEAR($B16),'Factor Proy'!$C$4:$L$15,9,0)*$M16*Q$7</f>
        <v>0</v>
      </c>
      <c r="R16" s="175">
        <f>HLOOKUP(YEAR($B16),'Factor Proy'!$C$4:$L$15,9,0)*$M16*R$7</f>
        <v>0</v>
      </c>
      <c r="S16" s="175">
        <f>HLOOKUP(YEAR($B16),'Factor Proy'!$C$4:$L$15,9,0)*$M16*S$7</f>
        <v>0</v>
      </c>
      <c r="T16" s="175">
        <f t="shared" si="6"/>
        <v>6662719.2649500007</v>
      </c>
      <c r="U16" s="175">
        <f t="shared" si="7"/>
        <v>5650687.5</v>
      </c>
      <c r="V16" s="175">
        <f>IF($U16&lt;=HLOOKUP(YEAR($B16),'Ing Proyect'!$B$6:$G$7,2,0)*20,0,$U16*V$7)</f>
        <v>0</v>
      </c>
      <c r="W16" s="175">
        <f t="shared" si="8"/>
        <v>678082.5</v>
      </c>
      <c r="X16" s="175">
        <f t="shared" si="8"/>
        <v>56506.875</v>
      </c>
      <c r="Y16" s="175">
        <f>IF($U16&lt;=HLOOKUP(YEAR($B16),'Ing Proyect'!$B$6:$G$7,2,0)*20,0,HLOOKUP(YEAR($B16),'Factor Proy'!$C$4:$L$15,9,0)*$U16*Y$7)</f>
        <v>0</v>
      </c>
      <c r="Z16" s="175">
        <f>IF($U16&lt;=HLOOKUP(YEAR($B16),'Ing Proyect'!$B$6:$G$7,2,0)*20,0,HLOOKUP(YEAR($B16),'Factor Proy'!$C$4:$L$15,9,0)*$U16*Z$7)</f>
        <v>0</v>
      </c>
      <c r="AA16" s="175">
        <f>HLOOKUP(YEAR($B16),'Factor Proy'!$C$4:$L$15,9,0)*$U16*AA$7</f>
        <v>0</v>
      </c>
      <c r="AB16" s="175">
        <f t="shared" si="9"/>
        <v>734589.375</v>
      </c>
      <c r="AC16" s="175">
        <f t="shared" si="10"/>
        <v>7397308.6399500007</v>
      </c>
      <c r="AD16" s="175">
        <f t="shared" si="11"/>
        <v>80104773.039950013</v>
      </c>
      <c r="AE16" s="175">
        <f t="shared" si="12"/>
        <v>72707464.400000006</v>
      </c>
      <c r="AF16" s="359">
        <f t="shared" si="13"/>
        <v>7397308.6399500007</v>
      </c>
      <c r="AG16" s="359">
        <f t="shared" si="14"/>
        <v>0</v>
      </c>
      <c r="AH16" s="175">
        <f>ROUND((Factor!$D$13/1)*1*SUM(E16:F16),0)</f>
        <v>998288</v>
      </c>
      <c r="AI16" s="175">
        <f t="shared" si="15"/>
        <v>4162672</v>
      </c>
      <c r="AJ16" s="349"/>
    </row>
    <row r="17" spans="1:35" x14ac:dyDescent="0.35">
      <c r="A17" s="18">
        <v>8</v>
      </c>
      <c r="B17" s="184">
        <v>42247</v>
      </c>
      <c r="C17" s="175">
        <f>SUMIF('RF 2015'!$D$10:$D$20,$C$4,'RF 2015'!$O$10:$O$20)</f>
        <v>21153000</v>
      </c>
      <c r="D17" s="175">
        <f>SUMIF('RV 2015'!$E$7:$M$7,$C$4,'RV 2015'!$E$33:$M$33)</f>
        <v>23117559.900000002</v>
      </c>
      <c r="E17" s="175">
        <f>SUMIF('RF 2015'!$D$22:$D$25,$C$4,'RF 2015'!$O$22:$O$25)</f>
        <v>2884500</v>
      </c>
      <c r="F17" s="175">
        <f>SUMIF('RV 2015'!$N$7:$O$7,$C$4,'RV 2015'!$N$33:$O$33)</f>
        <v>2766187.5</v>
      </c>
      <c r="G17" s="175">
        <f>IF(B17=MAX($B$9:$B$69),AI16+AH17,ROUND(IF(OR(MONTH($B17)=6,MONTH($B17)=12)=TRUE,(Factor!$C$9/2)*12*SUM(E17:F17),IF(MONTH($B17)=1,(Factor!$C$10*12)*SUM(E16:F16)*112%,0))+ROUND(IF(AND(MONTH($B17)=12,YEAR($B17)=2019)=TRUE,(Factor!$C$10*12)*SUM(E17:F17)*112%,0),0),0))*0+ROUND(IF(OR(MONTH($B17)=6,MONTH($B17)=12)=TRUE,(Factor!$C$9/2)*12*SUM(E17:F17),IF(MONTH($B17)=1,(Factor!$C$10*12)*SUM(E16:F16)*112%,0)),0)</f>
        <v>0</v>
      </c>
      <c r="H17" s="175">
        <f t="shared" si="4"/>
        <v>49921247.400000006</v>
      </c>
      <c r="I17" s="175">
        <f>SUMIF('RF 2015'!$D$10:$D$25,$I$4,'RF 2015'!$O$10:$O$25)</f>
        <v>11858500</v>
      </c>
      <c r="J17" s="175">
        <f>SUMIF('RV 2015'!$E$7:$O$7,$I$4,'RV 2015'!$E$33:$O$33)</f>
        <v>10927717</v>
      </c>
      <c r="K17" s="175">
        <f t="shared" si="1"/>
        <v>22786217</v>
      </c>
      <c r="L17" s="175">
        <f t="shared" si="5"/>
        <v>72707464.400000006</v>
      </c>
      <c r="M17" s="175">
        <f t="shared" si="2"/>
        <v>30989391.930000003</v>
      </c>
      <c r="N17" s="175">
        <f t="shared" si="16"/>
        <v>2634098.3140500006</v>
      </c>
      <c r="O17" s="175">
        <f t="shared" si="16"/>
        <v>3718727.0316000003</v>
      </c>
      <c r="P17" s="175">
        <f t="shared" si="16"/>
        <v>309893.91930000007</v>
      </c>
      <c r="Q17" s="175">
        <f>HLOOKUP(YEAR($B17),'Factor Proy'!$C$4:$L$15,9,0)*$M17*Q$7</f>
        <v>0</v>
      </c>
      <c r="R17" s="175">
        <f>HLOOKUP(YEAR($B17),'Factor Proy'!$C$4:$L$15,9,0)*$M17*R$7</f>
        <v>0</v>
      </c>
      <c r="S17" s="175">
        <f>HLOOKUP(YEAR($B17),'Factor Proy'!$C$4:$L$15,9,0)*$M17*S$7</f>
        <v>0</v>
      </c>
      <c r="T17" s="175">
        <f t="shared" si="6"/>
        <v>6662719.2649500007</v>
      </c>
      <c r="U17" s="175">
        <f t="shared" si="7"/>
        <v>5650687.5</v>
      </c>
      <c r="V17" s="175">
        <f>IF($U17&lt;=HLOOKUP(YEAR($B17),'Ing Proyect'!$B$6:$G$7,2,0)*20,0,$U17*V$7)</f>
        <v>0</v>
      </c>
      <c r="W17" s="175">
        <f t="shared" si="8"/>
        <v>678082.5</v>
      </c>
      <c r="X17" s="175">
        <f t="shared" si="8"/>
        <v>56506.875</v>
      </c>
      <c r="Y17" s="175">
        <f>IF($U17&lt;=HLOOKUP(YEAR($B17),'Ing Proyect'!$B$6:$G$7,2,0)*20,0,HLOOKUP(YEAR($B17),'Factor Proy'!$C$4:$L$15,9,0)*$U17*Y$7)</f>
        <v>0</v>
      </c>
      <c r="Z17" s="175">
        <f>IF($U17&lt;=HLOOKUP(YEAR($B17),'Ing Proyect'!$B$6:$G$7,2,0)*20,0,HLOOKUP(YEAR($B17),'Factor Proy'!$C$4:$L$15,9,0)*$U17*Z$7)</f>
        <v>0</v>
      </c>
      <c r="AA17" s="175">
        <f>HLOOKUP(YEAR($B17),'Factor Proy'!$C$4:$L$15,9,0)*$U17*AA$7</f>
        <v>0</v>
      </c>
      <c r="AB17" s="175">
        <f t="shared" si="9"/>
        <v>734589.375</v>
      </c>
      <c r="AC17" s="175">
        <f t="shared" si="10"/>
        <v>7397308.6399500007</v>
      </c>
      <c r="AD17" s="175">
        <f t="shared" si="11"/>
        <v>80104773.039950013</v>
      </c>
      <c r="AE17" s="175">
        <f t="shared" si="12"/>
        <v>72707464.400000006</v>
      </c>
      <c r="AF17" s="359">
        <f t="shared" si="13"/>
        <v>7397308.6399500007</v>
      </c>
      <c r="AG17" s="359">
        <f t="shared" si="14"/>
        <v>0</v>
      </c>
      <c r="AH17" s="175">
        <f>ROUND((Factor!$D$13/1)*1*SUM(E17:F17),0)</f>
        <v>998288</v>
      </c>
      <c r="AI17" s="175">
        <f t="shared" si="15"/>
        <v>5160960</v>
      </c>
    </row>
    <row r="18" spans="1:35" x14ac:dyDescent="0.35">
      <c r="A18" s="18">
        <v>9</v>
      </c>
      <c r="B18" s="184">
        <v>42277</v>
      </c>
      <c r="C18" s="175">
        <f>SUMIF('RF 2015'!$D$10:$D$20,$C$4,'RF 2015'!$O$10:$O$20)</f>
        <v>21153000</v>
      </c>
      <c r="D18" s="175">
        <f>SUMIF('RV 2015'!$E$7:$M$7,$C$4,'RV 2015'!$E$33:$M$33)</f>
        <v>23117559.900000002</v>
      </c>
      <c r="E18" s="175">
        <f>SUMIF('RF 2015'!$D$22:$D$25,$C$4,'RF 2015'!$O$22:$O$25)</f>
        <v>2884500</v>
      </c>
      <c r="F18" s="175">
        <f>SUMIF('RV 2015'!$N$7:$O$7,$C$4,'RV 2015'!$N$33:$O$33)</f>
        <v>2766187.5</v>
      </c>
      <c r="G18" s="175">
        <f>IF(B18=MAX($B$9:$B$69),AI17+AH18,ROUND(IF(OR(MONTH($B18)=6,MONTH($B18)=12)=TRUE,(Factor!$C$9/2)*12*SUM(E18:F18),IF(MONTH($B18)=1,(Factor!$C$10*12)*SUM(E17:F17)*112%,0))+ROUND(IF(AND(MONTH($B18)=12,YEAR($B18)=2019)=TRUE,(Factor!$C$10*12)*SUM(E18:F18)*112%,0),0),0))*0+ROUND(IF(OR(MONTH($B18)=6,MONTH($B18)=12)=TRUE,(Factor!$C$9/2)*12*SUM(E18:F18),IF(MONTH($B18)=1,(Factor!$C$10*12)*SUM(E17:F17)*112%,0)),0)</f>
        <v>0</v>
      </c>
      <c r="H18" s="175">
        <f t="shared" si="4"/>
        <v>49921247.400000006</v>
      </c>
      <c r="I18" s="175">
        <f>SUMIF('RF 2015'!$D$10:$D$25,$I$4,'RF 2015'!$O$10:$O$25)</f>
        <v>11858500</v>
      </c>
      <c r="J18" s="175">
        <f>SUMIF('RV 2015'!$E$7:$O$7,$I$4,'RV 2015'!$E$33:$O$33)</f>
        <v>10927717</v>
      </c>
      <c r="K18" s="175">
        <f t="shared" si="1"/>
        <v>22786217</v>
      </c>
      <c r="L18" s="175">
        <f t="shared" si="5"/>
        <v>72707464.400000006</v>
      </c>
      <c r="M18" s="175">
        <f t="shared" si="2"/>
        <v>30989391.930000003</v>
      </c>
      <c r="N18" s="175">
        <f t="shared" si="16"/>
        <v>2634098.3140500006</v>
      </c>
      <c r="O18" s="175">
        <f t="shared" si="16"/>
        <v>3718727.0316000003</v>
      </c>
      <c r="P18" s="175">
        <f t="shared" si="16"/>
        <v>309893.91930000007</v>
      </c>
      <c r="Q18" s="175">
        <f>HLOOKUP(YEAR($B18),'Factor Proy'!$C$4:$L$15,9,0)*$M18*Q$7</f>
        <v>0</v>
      </c>
      <c r="R18" s="175">
        <f>HLOOKUP(YEAR($B18),'Factor Proy'!$C$4:$L$15,9,0)*$M18*R$7</f>
        <v>0</v>
      </c>
      <c r="S18" s="175">
        <f>HLOOKUP(YEAR($B18),'Factor Proy'!$C$4:$L$15,9,0)*$M18*S$7</f>
        <v>0</v>
      </c>
      <c r="T18" s="175">
        <f t="shared" si="6"/>
        <v>6662719.2649500007</v>
      </c>
      <c r="U18" s="175">
        <f t="shared" si="7"/>
        <v>5650687.5</v>
      </c>
      <c r="V18" s="175">
        <f>IF($U18&lt;=HLOOKUP(YEAR($B18),'Ing Proyect'!$B$6:$G$7,2,0)*20,0,$U18*V$7)</f>
        <v>0</v>
      </c>
      <c r="W18" s="175">
        <f t="shared" si="8"/>
        <v>678082.5</v>
      </c>
      <c r="X18" s="175">
        <f t="shared" si="8"/>
        <v>56506.875</v>
      </c>
      <c r="Y18" s="175">
        <f>IF($U18&lt;=HLOOKUP(YEAR($B18),'Ing Proyect'!$B$6:$G$7,2,0)*20,0,HLOOKUP(YEAR($B18),'Factor Proy'!$C$4:$L$15,9,0)*$U18*Y$7)</f>
        <v>0</v>
      </c>
      <c r="Z18" s="175">
        <f>IF($U18&lt;=HLOOKUP(YEAR($B18),'Ing Proyect'!$B$6:$G$7,2,0)*20,0,HLOOKUP(YEAR($B18),'Factor Proy'!$C$4:$L$15,9,0)*$U18*Z$7)</f>
        <v>0</v>
      </c>
      <c r="AA18" s="175">
        <f>HLOOKUP(YEAR($B18),'Factor Proy'!$C$4:$L$15,9,0)*$U18*AA$7</f>
        <v>0</v>
      </c>
      <c r="AB18" s="175">
        <f t="shared" si="9"/>
        <v>734589.375</v>
      </c>
      <c r="AC18" s="175">
        <f t="shared" si="10"/>
        <v>7397308.6399500007</v>
      </c>
      <c r="AD18" s="175">
        <f t="shared" si="11"/>
        <v>80104773.039950013</v>
      </c>
      <c r="AE18" s="175">
        <f t="shared" si="12"/>
        <v>72707464.400000006</v>
      </c>
      <c r="AF18" s="359">
        <f t="shared" si="13"/>
        <v>7397308.6399500007</v>
      </c>
      <c r="AG18" s="359">
        <f t="shared" si="14"/>
        <v>0</v>
      </c>
      <c r="AH18" s="175">
        <f>ROUND((Factor!$D$13/1)*1*SUM(E18:F18),0)</f>
        <v>998288</v>
      </c>
      <c r="AI18" s="175">
        <f t="shared" si="15"/>
        <v>6159248</v>
      </c>
    </row>
    <row r="19" spans="1:35" x14ac:dyDescent="0.35">
      <c r="A19" s="18">
        <v>10</v>
      </c>
      <c r="B19" s="184">
        <v>42308</v>
      </c>
      <c r="C19" s="175">
        <f>SUMIF('RF 2015'!$D$10:$D$20,$C$4,'RF 2015'!$O$10:$O$20)</f>
        <v>21153000</v>
      </c>
      <c r="D19" s="175">
        <f>SUMIF('RV 2015'!$E$7:$M$7,$C$4,'RV 2015'!$E$33:$M$33)</f>
        <v>23117559.900000002</v>
      </c>
      <c r="E19" s="175">
        <f>SUMIF('RF 2015'!$D$22:$D$25,$C$4,'RF 2015'!$O$22:$O$25)</f>
        <v>2884500</v>
      </c>
      <c r="F19" s="175">
        <f>SUMIF('RV 2015'!$N$7:$O$7,$C$4,'RV 2015'!$N$33:$O$33)</f>
        <v>2766187.5</v>
      </c>
      <c r="G19" s="175">
        <f>IF(B19=MAX($B$9:$B$69),AI18+AH19,ROUND(IF(OR(MONTH($B19)=6,MONTH($B19)=12)=TRUE,(Factor!$C$9/2)*12*SUM(E19:F19),IF(MONTH($B19)=1,(Factor!$C$10*12)*SUM(E18:F18)*112%,0))+ROUND(IF(AND(MONTH($B19)=12,YEAR($B19)=2019)=TRUE,(Factor!$C$10*12)*SUM(E19:F19)*112%,0),0),0))*0+ROUND(IF(OR(MONTH($B19)=6,MONTH($B19)=12)=TRUE,(Factor!$C$9/2)*12*SUM(E19:F19),IF(MONTH($B19)=1,(Factor!$C$10*12)*SUM(E18:F18)*112%,0)),0)</f>
        <v>0</v>
      </c>
      <c r="H19" s="175">
        <f t="shared" si="4"/>
        <v>49921247.400000006</v>
      </c>
      <c r="I19" s="175">
        <f>SUMIF('RF 2015'!$D$10:$D$25,$I$4,'RF 2015'!$O$10:$O$25)</f>
        <v>11858500</v>
      </c>
      <c r="J19" s="175">
        <f>SUMIF('RV 2015'!$E$7:$O$7,$I$4,'RV 2015'!$E$33:$O$33)</f>
        <v>10927717</v>
      </c>
      <c r="K19" s="175">
        <f t="shared" si="1"/>
        <v>22786217</v>
      </c>
      <c r="L19" s="175">
        <f t="shared" si="5"/>
        <v>72707464.400000006</v>
      </c>
      <c r="M19" s="175">
        <f t="shared" si="2"/>
        <v>30989391.930000003</v>
      </c>
      <c r="N19" s="175">
        <f t="shared" si="16"/>
        <v>2634098.3140500006</v>
      </c>
      <c r="O19" s="175">
        <f t="shared" si="16"/>
        <v>3718727.0316000003</v>
      </c>
      <c r="P19" s="175">
        <f t="shared" si="16"/>
        <v>309893.91930000007</v>
      </c>
      <c r="Q19" s="175">
        <f>HLOOKUP(YEAR($B19),'Factor Proy'!$C$4:$L$15,9,0)*$M19*Q$7</f>
        <v>0</v>
      </c>
      <c r="R19" s="175">
        <f>HLOOKUP(YEAR($B19),'Factor Proy'!$C$4:$L$15,9,0)*$M19*R$7</f>
        <v>0</v>
      </c>
      <c r="S19" s="175">
        <f>HLOOKUP(YEAR($B19),'Factor Proy'!$C$4:$L$15,9,0)*$M19*S$7</f>
        <v>0</v>
      </c>
      <c r="T19" s="175">
        <f t="shared" si="6"/>
        <v>6662719.2649500007</v>
      </c>
      <c r="U19" s="175">
        <f t="shared" si="7"/>
        <v>5650687.5</v>
      </c>
      <c r="V19" s="175">
        <f>IF($U19&lt;=HLOOKUP(YEAR($B19),'Ing Proyect'!$B$6:$G$7,2,0)*20,0,$U19*V$7)</f>
        <v>0</v>
      </c>
      <c r="W19" s="175">
        <f t="shared" si="8"/>
        <v>678082.5</v>
      </c>
      <c r="X19" s="175">
        <f t="shared" si="8"/>
        <v>56506.875</v>
      </c>
      <c r="Y19" s="175">
        <f>IF($U19&lt;=HLOOKUP(YEAR($B19),'Ing Proyect'!$B$6:$G$7,2,0)*20,0,HLOOKUP(YEAR($B19),'Factor Proy'!$C$4:$L$15,9,0)*$U19*Y$7)</f>
        <v>0</v>
      </c>
      <c r="Z19" s="175">
        <f>IF($U19&lt;=HLOOKUP(YEAR($B19),'Ing Proyect'!$B$6:$G$7,2,0)*20,0,HLOOKUP(YEAR($B19),'Factor Proy'!$C$4:$L$15,9,0)*$U19*Z$7)</f>
        <v>0</v>
      </c>
      <c r="AA19" s="175">
        <f>HLOOKUP(YEAR($B19),'Factor Proy'!$C$4:$L$15,9,0)*$U19*AA$7</f>
        <v>0</v>
      </c>
      <c r="AB19" s="175">
        <f t="shared" si="9"/>
        <v>734589.375</v>
      </c>
      <c r="AC19" s="175">
        <f t="shared" si="10"/>
        <v>7397308.6399500007</v>
      </c>
      <c r="AD19" s="175">
        <f t="shared" si="11"/>
        <v>80104773.039950013</v>
      </c>
      <c r="AE19" s="175">
        <f t="shared" si="12"/>
        <v>72707464.400000006</v>
      </c>
      <c r="AF19" s="359">
        <f t="shared" si="13"/>
        <v>7397308.6399500007</v>
      </c>
      <c r="AG19" s="359">
        <f t="shared" si="14"/>
        <v>0</v>
      </c>
      <c r="AH19" s="175">
        <f>ROUND((Factor!$D$13/1)*1*SUM(E19:F19),0)</f>
        <v>998288</v>
      </c>
      <c r="AI19" s="175">
        <f t="shared" si="15"/>
        <v>7157536</v>
      </c>
    </row>
    <row r="20" spans="1:35" x14ac:dyDescent="0.35">
      <c r="A20" s="18">
        <v>11</v>
      </c>
      <c r="B20" s="184">
        <v>42338</v>
      </c>
      <c r="C20" s="175">
        <f>SUMIF('RF 2015'!$D$10:$D$20,$C$4,'RF 2015'!$O$10:$O$20)</f>
        <v>21153000</v>
      </c>
      <c r="D20" s="175">
        <f>SUMIF('RV 2015'!$E$7:$M$7,$C$4,'RV 2015'!$E$33:$M$33)</f>
        <v>23117559.900000002</v>
      </c>
      <c r="E20" s="175">
        <f>SUMIF('RF 2015'!$D$22:$D$25,$C$4,'RF 2015'!$O$22:$O$25)</f>
        <v>2884500</v>
      </c>
      <c r="F20" s="175">
        <f>SUMIF('RV 2015'!$N$7:$O$7,$C$4,'RV 2015'!$N$33:$O$33)</f>
        <v>2766187.5</v>
      </c>
      <c r="G20" s="175">
        <f>IF(B20=MAX($B$9:$B$69),AI19+AH20,ROUND(IF(OR(MONTH($B20)=6,MONTH($B20)=12)=TRUE,(Factor!$C$9/2)*12*SUM(E20:F20),IF(MONTH($B20)=1,(Factor!$C$10*12)*SUM(E19:F19)*112%,0))+ROUND(IF(AND(MONTH($B20)=12,YEAR($B20)=2019)=TRUE,(Factor!$C$10*12)*SUM(E20:F20)*112%,0),0),0))*0+ROUND(IF(OR(MONTH($B20)=6,MONTH($B20)=12)=TRUE,(Factor!$C$9/2)*12*SUM(E20:F20),IF(MONTH($B20)=1,(Factor!$C$10*12)*SUM(E19:F19)*112%,0)),0)</f>
        <v>0</v>
      </c>
      <c r="H20" s="175">
        <f t="shared" si="4"/>
        <v>49921247.400000006</v>
      </c>
      <c r="I20" s="175">
        <f>SUMIF('RF 2015'!$D$10:$D$25,$I$4,'RF 2015'!$O$10:$O$25)</f>
        <v>11858500</v>
      </c>
      <c r="J20" s="175">
        <f>SUMIF('RV 2015'!$E$7:$O$7,$I$4,'RV 2015'!$E$33:$O$33)</f>
        <v>10927717</v>
      </c>
      <c r="K20" s="175">
        <f t="shared" si="1"/>
        <v>22786217</v>
      </c>
      <c r="L20" s="175">
        <f t="shared" si="5"/>
        <v>72707464.400000006</v>
      </c>
      <c r="M20" s="175">
        <f t="shared" si="2"/>
        <v>30989391.930000003</v>
      </c>
      <c r="N20" s="175">
        <f t="shared" si="16"/>
        <v>2634098.3140500006</v>
      </c>
      <c r="O20" s="175">
        <f t="shared" si="16"/>
        <v>3718727.0316000003</v>
      </c>
      <c r="P20" s="175">
        <f t="shared" si="16"/>
        <v>309893.91930000007</v>
      </c>
      <c r="Q20" s="175">
        <f>HLOOKUP(YEAR($B20),'Factor Proy'!$C$4:$L$15,9,0)*$M20*Q$7</f>
        <v>0</v>
      </c>
      <c r="R20" s="175">
        <f>HLOOKUP(YEAR($B20),'Factor Proy'!$C$4:$L$15,9,0)*$M20*R$7</f>
        <v>0</v>
      </c>
      <c r="S20" s="175">
        <f>HLOOKUP(YEAR($B20),'Factor Proy'!$C$4:$L$15,9,0)*$M20*S$7</f>
        <v>0</v>
      </c>
      <c r="T20" s="175">
        <f t="shared" si="6"/>
        <v>6662719.2649500007</v>
      </c>
      <c r="U20" s="175">
        <f t="shared" si="7"/>
        <v>5650687.5</v>
      </c>
      <c r="V20" s="175">
        <f>IF($U20&lt;=HLOOKUP(YEAR($B20),'Ing Proyect'!$B$6:$G$7,2,0)*20,0,$U20*V$7)</f>
        <v>0</v>
      </c>
      <c r="W20" s="175">
        <f t="shared" si="8"/>
        <v>678082.5</v>
      </c>
      <c r="X20" s="175">
        <f t="shared" si="8"/>
        <v>56506.875</v>
      </c>
      <c r="Y20" s="175">
        <f>IF($U20&lt;=HLOOKUP(YEAR($B20),'Ing Proyect'!$B$6:$G$7,2,0)*20,0,HLOOKUP(YEAR($B20),'Factor Proy'!$C$4:$L$15,9,0)*$U20*Y$7)</f>
        <v>0</v>
      </c>
      <c r="Z20" s="175">
        <f>IF($U20&lt;=HLOOKUP(YEAR($B20),'Ing Proyect'!$B$6:$G$7,2,0)*20,0,HLOOKUP(YEAR($B20),'Factor Proy'!$C$4:$L$15,9,0)*$U20*Z$7)</f>
        <v>0</v>
      </c>
      <c r="AA20" s="175">
        <f>HLOOKUP(YEAR($B20),'Factor Proy'!$C$4:$L$15,9,0)*$U20*AA$7</f>
        <v>0</v>
      </c>
      <c r="AB20" s="175">
        <f t="shared" si="9"/>
        <v>734589.375</v>
      </c>
      <c r="AC20" s="175">
        <f t="shared" si="10"/>
        <v>7397308.6399500007</v>
      </c>
      <c r="AD20" s="175">
        <f t="shared" si="11"/>
        <v>80104773.039950013</v>
      </c>
      <c r="AE20" s="175">
        <f t="shared" si="12"/>
        <v>72707464.400000006</v>
      </c>
      <c r="AF20" s="359">
        <f t="shared" si="13"/>
        <v>7397308.6399500007</v>
      </c>
      <c r="AG20" s="359">
        <f t="shared" si="14"/>
        <v>0</v>
      </c>
      <c r="AH20" s="175">
        <f>ROUND((Factor!$D$13/1)*1*SUM(E20:F20),0)</f>
        <v>998288</v>
      </c>
      <c r="AI20" s="175">
        <f t="shared" si="15"/>
        <v>8155824</v>
      </c>
    </row>
    <row r="21" spans="1:35" x14ac:dyDescent="0.35">
      <c r="A21" s="18">
        <v>12</v>
      </c>
      <c r="B21" s="184">
        <v>42369</v>
      </c>
      <c r="C21" s="175">
        <f>SUMIF('RF 2015'!$D$10:$D$20,$C$4,'RF 2015'!$O$10:$O$20)</f>
        <v>21153000</v>
      </c>
      <c r="D21" s="175">
        <f>SUMIF('RV 2015'!$E$7:$M$7,$C$4,'RV 2015'!$E$33:$M$33)</f>
        <v>23117559.900000002</v>
      </c>
      <c r="E21" s="175">
        <f>SUMIF('RF 2015'!$D$22:$D$25,$C$4,'RF 2015'!$O$22:$O$25)</f>
        <v>2884500</v>
      </c>
      <c r="F21" s="175">
        <f>SUMIF('RV 2015'!$N$7:$O$7,$C$4,'RV 2015'!$N$33:$O$33)</f>
        <v>2766187.5</v>
      </c>
      <c r="G21" s="175">
        <f>IF(B21=MAX($B$9:$B$69),AI20+AH21,ROUND(IF(OR(MONTH($B21)=6,MONTH($B21)=12)=TRUE,(Factor!$C$9/2)*12*SUM(E21:F21),IF(MONTH($B21)=1,(Factor!$C$10*12)*SUM(E20:F20)*112%,0))+ROUND(IF(AND(MONTH($B21)=12,YEAR($B21)=2019)=TRUE,(Factor!$C$10*12)*SUM(E21:F21)*112%,0),0),0))*0+ROUND(IF(OR(MONTH($B21)=6,MONTH($B21)=12)=TRUE,(Factor!$C$9/2)*12*SUM(E21:F21),IF(MONTH($B21)=1,(Factor!$C$10*12)*SUM(E20:F20)*112%,0)),0)</f>
        <v>2825344</v>
      </c>
      <c r="H21" s="175">
        <f t="shared" si="4"/>
        <v>52746591.400000006</v>
      </c>
      <c r="I21" s="175">
        <f>SUMIF('RF 2015'!$D$10:$D$25,$I$4,'RF 2015'!$O$10:$O$25)</f>
        <v>11858500</v>
      </c>
      <c r="J21" s="175">
        <f>SUMIF('RV 2015'!$E$7:$O$7,$I$4,'RV 2015'!$E$33:$O$33)</f>
        <v>10927717</v>
      </c>
      <c r="K21" s="175">
        <f t="shared" si="1"/>
        <v>22786217</v>
      </c>
      <c r="L21" s="175">
        <f t="shared" si="5"/>
        <v>75532808.400000006</v>
      </c>
      <c r="M21" s="175">
        <f t="shared" si="2"/>
        <v>30989391.930000003</v>
      </c>
      <c r="N21" s="175">
        <f t="shared" si="16"/>
        <v>2634098.3140500006</v>
      </c>
      <c r="O21" s="175">
        <f t="shared" si="16"/>
        <v>3718727.0316000003</v>
      </c>
      <c r="P21" s="175">
        <f t="shared" si="16"/>
        <v>309893.91930000007</v>
      </c>
      <c r="Q21" s="175">
        <f>HLOOKUP(YEAR($B21),'Factor Proy'!$C$4:$L$15,9,0)*$M21*Q$7</f>
        <v>0</v>
      </c>
      <c r="R21" s="175">
        <f>HLOOKUP(YEAR($B21),'Factor Proy'!$C$4:$L$15,9,0)*$M21*R$7</f>
        <v>0</v>
      </c>
      <c r="S21" s="175">
        <f>HLOOKUP(YEAR($B21),'Factor Proy'!$C$4:$L$15,9,0)*$M21*S$7</f>
        <v>0</v>
      </c>
      <c r="T21" s="175">
        <f>SUM(N21:S21)</f>
        <v>6662719.2649500007</v>
      </c>
      <c r="U21" s="175">
        <f t="shared" si="7"/>
        <v>5650687.5</v>
      </c>
      <c r="V21" s="175">
        <f>IF($U21&lt;=HLOOKUP(YEAR($B21),'Ing Proyect'!$B$6:$G$7,2,0)*20,0,$U21*V$7)</f>
        <v>0</v>
      </c>
      <c r="W21" s="175">
        <f t="shared" si="8"/>
        <v>678082.5</v>
      </c>
      <c r="X21" s="175">
        <f t="shared" si="8"/>
        <v>56506.875</v>
      </c>
      <c r="Y21" s="175">
        <f>IF($U21&lt;=HLOOKUP(YEAR($B21),'Ing Proyect'!$B$6:$G$7,2,0)*20,0,HLOOKUP(YEAR($B21),'Factor Proy'!$C$4:$L$15,9,0)*$U21*Y$7)</f>
        <v>0</v>
      </c>
      <c r="Z21" s="175">
        <f>IF($U21&lt;=HLOOKUP(YEAR($B21),'Ing Proyect'!$B$6:$G$7,2,0)*20,0,HLOOKUP(YEAR($B21),'Factor Proy'!$C$4:$L$15,9,0)*$U21*Z$7)</f>
        <v>0</v>
      </c>
      <c r="AA21" s="175">
        <f>HLOOKUP(YEAR($B21),'Factor Proy'!$C$4:$L$15,9,0)*$U21*AA$7</f>
        <v>0</v>
      </c>
      <c r="AB21" s="175">
        <f t="shared" si="9"/>
        <v>734589.375</v>
      </c>
      <c r="AC21" s="175">
        <f t="shared" si="10"/>
        <v>7397308.6399500007</v>
      </c>
      <c r="AD21" s="175">
        <f t="shared" si="11"/>
        <v>82930117.039950013</v>
      </c>
      <c r="AE21" s="175">
        <f t="shared" si="12"/>
        <v>72707464.400000006</v>
      </c>
      <c r="AF21" s="359">
        <f t="shared" si="13"/>
        <v>7397308.6399500007</v>
      </c>
      <c r="AG21" s="359">
        <f t="shared" si="14"/>
        <v>2825344</v>
      </c>
      <c r="AH21" s="175">
        <f>ROUND((Factor!$D$13/1)*1*SUM(E21:F21),0)</f>
        <v>998288</v>
      </c>
      <c r="AI21" s="175">
        <f t="shared" si="15"/>
        <v>6328768</v>
      </c>
    </row>
    <row r="22" spans="1:35" x14ac:dyDescent="0.35">
      <c r="A22" s="18">
        <v>13</v>
      </c>
      <c r="B22" s="184">
        <v>42400</v>
      </c>
      <c r="C22" s="175">
        <f>SUMIF('RF 2016'!$D$10:$D$20,$C$4,'RF 2016'!$O$10:$O$20)</f>
        <v>22811400</v>
      </c>
      <c r="D22" s="175">
        <f>SUMIF('RV 2016'!$E$7:$M$7,$C$4,'RV 2016'!$E$33:$M$33)</f>
        <v>24705325.600000001</v>
      </c>
      <c r="E22" s="175">
        <f>SUMIF('RF 2016'!$D$22:$D$25,$C$4,'RF 2016'!$O$22:$O$25)</f>
        <v>3001500</v>
      </c>
      <c r="F22" s="175">
        <f>SUMIF('RV 2016'!$N$7:$O$7,$C$4,'RV 2016'!$N$33:$O$33)</f>
        <v>3160929.7</v>
      </c>
      <c r="G22" s="175">
        <f>IF(B22=MAX($B$9:$B$69),AI21+AH22,ROUND(IF(OR(MONTH($B22)=6,MONTH($B22)=12)=TRUE,(Factor!$C$9/2)*12*SUM(E22:F22),IF(MONTH($B22)=1,(Factor!$C$10*12)*SUM(E21:F21)*112%,0))+ROUND(IF(AND(MONTH($B22)=12,YEAR($B22)=2019)=TRUE,(Factor!$C$10*12)*SUM(E22:F22)*112%,0),0),0))*0+ROUND(IF(OR(MONTH($B22)=6,MONTH($B22)=12)=TRUE,(Factor!$C$9/2)*12*SUM(E22:F22),IF(MONTH($B22)=1,(Factor!$C$10*12)*SUM(E21:F21)*112%,0)),0)</f>
        <v>6328770</v>
      </c>
      <c r="H22" s="175">
        <f t="shared" si="4"/>
        <v>60007925.300000004</v>
      </c>
      <c r="I22" s="175">
        <f>SUMIF('RF 2016'!$D$10:$D$25,$I$4,'RF 2016'!$O$10:$O$25)</f>
        <v>16541600</v>
      </c>
      <c r="J22" s="175">
        <f>SUMIF('RV 2016'!$E$7:$O$7,$I$4,'RV 2016'!$E$33:$O$33)</f>
        <v>14273904.5</v>
      </c>
      <c r="K22" s="175">
        <f t="shared" si="1"/>
        <v>30815504.5</v>
      </c>
      <c r="L22" s="175">
        <f t="shared" si="5"/>
        <v>90823429.800000012</v>
      </c>
      <c r="M22" s="175">
        <f t="shared" si="2"/>
        <v>33261707.919999998</v>
      </c>
      <c r="N22" s="175">
        <f t="shared" si="16"/>
        <v>2827245.1732000001</v>
      </c>
      <c r="O22" s="175">
        <f t="shared" si="16"/>
        <v>3991404.9503999995</v>
      </c>
      <c r="P22" s="175">
        <f t="shared" si="16"/>
        <v>332617.07919999998</v>
      </c>
      <c r="Q22" s="175">
        <f>HLOOKUP(YEAR($B22),'Factor Proy'!$C$4:$L$15,9,0)*$M22*Q$7</f>
        <v>0</v>
      </c>
      <c r="R22" s="175">
        <f>HLOOKUP(YEAR($B22),'Factor Proy'!$C$4:$L$15,9,0)*$M22*R$7</f>
        <v>0</v>
      </c>
      <c r="S22" s="175">
        <f>HLOOKUP(YEAR($B22),'Factor Proy'!$C$4:$L$15,9,0)*$M22*S$7</f>
        <v>0</v>
      </c>
      <c r="T22" s="175">
        <f t="shared" si="6"/>
        <v>7151267.2027999992</v>
      </c>
      <c r="U22" s="175">
        <f t="shared" si="7"/>
        <v>6162429.7000000002</v>
      </c>
      <c r="V22" s="175">
        <f>IF($U22&lt;=HLOOKUP(YEAR($B22),'Ing Proyect'!$B$6:$G$7,2,0)*20,0,$U22*V$7)</f>
        <v>0</v>
      </c>
      <c r="W22" s="175">
        <f t="shared" si="8"/>
        <v>739491.56400000001</v>
      </c>
      <c r="X22" s="175">
        <f t="shared" si="8"/>
        <v>61624.297000000006</v>
      </c>
      <c r="Y22" s="175">
        <f>IF($U22&lt;=HLOOKUP(YEAR($B22),'Ing Proyect'!$B$6:$G$7,2,0)*20,0,HLOOKUP(YEAR($B22),'Factor Proy'!$C$4:$L$15,9,0)*$U22*Y$7)</f>
        <v>0</v>
      </c>
      <c r="Z22" s="175">
        <f>IF($U22&lt;=HLOOKUP(YEAR($B22),'Ing Proyect'!$B$6:$G$7,2,0)*20,0,HLOOKUP(YEAR($B22),'Factor Proy'!$C$4:$L$15,9,0)*$U22*Z$7)</f>
        <v>0</v>
      </c>
      <c r="AA22" s="175">
        <f>HLOOKUP(YEAR($B22),'Factor Proy'!$C$4:$L$15,9,0)*$U22*AA$7</f>
        <v>0</v>
      </c>
      <c r="AB22" s="175">
        <f t="shared" si="9"/>
        <v>801115.86100000003</v>
      </c>
      <c r="AC22" s="175">
        <f t="shared" si="10"/>
        <v>7952383.0637999997</v>
      </c>
      <c r="AD22" s="175">
        <f t="shared" si="11"/>
        <v>98775812.863800019</v>
      </c>
      <c r="AE22" s="175">
        <f t="shared" si="12"/>
        <v>84494659.800000012</v>
      </c>
      <c r="AF22" s="359">
        <f t="shared" si="13"/>
        <v>7952383.0637999997</v>
      </c>
      <c r="AG22" s="359">
        <f t="shared" si="14"/>
        <v>6328770</v>
      </c>
      <c r="AH22" s="175">
        <f>ROUND((Factor!$D$13/1)*1*SUM(E22:F22),0)</f>
        <v>1088696</v>
      </c>
      <c r="AI22" s="175">
        <f t="shared" si="15"/>
        <v>1088694</v>
      </c>
    </row>
    <row r="23" spans="1:35" x14ac:dyDescent="0.35">
      <c r="A23" s="18">
        <v>14</v>
      </c>
      <c r="B23" s="184">
        <v>42429</v>
      </c>
      <c r="C23" s="175">
        <f>SUMIF('RF 2016'!$D$10:$D$20,$C$4,'RF 2016'!$O$10:$O$20)</f>
        <v>22811400</v>
      </c>
      <c r="D23" s="175">
        <f>SUMIF('RV 2016'!$E$7:$M$7,$C$4,'RV 2016'!$E$33:$M$33)</f>
        <v>24705325.600000001</v>
      </c>
      <c r="E23" s="175">
        <f>SUMIF('RF 2016'!$D$22:$D$25,$C$4,'RF 2016'!$O$22:$O$25)</f>
        <v>3001500</v>
      </c>
      <c r="F23" s="175">
        <f>SUMIF('RV 2016'!$N$7:$O$7,$C$4,'RV 2016'!$N$33:$O$33)</f>
        <v>3160929.7</v>
      </c>
      <c r="G23" s="175">
        <f>IF(B23=MAX($B$9:$B$69),AI22+AH23,ROUND(IF(OR(MONTH($B23)=6,MONTH($B23)=12)=TRUE,(Factor!$C$9/2)*12*SUM(E23:F23),IF(MONTH($B23)=1,(Factor!$C$10*12)*SUM(E22:F22)*112%,0))+ROUND(IF(AND(MONTH($B23)=12,YEAR($B23)=2019)=TRUE,(Factor!$C$10*12)*SUM(E23:F23)*112%,0),0),0))*0+ROUND(IF(OR(MONTH($B23)=6,MONTH($B23)=12)=TRUE,(Factor!$C$9/2)*12*SUM(E23:F23),IF(MONTH($B23)=1,(Factor!$C$10*12)*SUM(E22:F22)*112%,0)),0)</f>
        <v>0</v>
      </c>
      <c r="H23" s="175">
        <f t="shared" si="4"/>
        <v>53679155.300000004</v>
      </c>
      <c r="I23" s="175">
        <f>SUMIF('RF 2016'!$D$10:$D$25,$I$4,'RF 2016'!$O$10:$O$25)</f>
        <v>16541600</v>
      </c>
      <c r="J23" s="175">
        <f>SUMIF('RV 2016'!$E$7:$O$7,$I$4,'RV 2016'!$E$33:$O$33)</f>
        <v>14273904.5</v>
      </c>
      <c r="K23" s="175">
        <f t="shared" si="1"/>
        <v>30815504.5</v>
      </c>
      <c r="L23" s="175">
        <f t="shared" si="5"/>
        <v>84494659.800000012</v>
      </c>
      <c r="M23" s="175">
        <f t="shared" si="2"/>
        <v>33261707.919999998</v>
      </c>
      <c r="N23" s="175">
        <f t="shared" si="16"/>
        <v>2827245.1732000001</v>
      </c>
      <c r="O23" s="175">
        <f t="shared" si="16"/>
        <v>3991404.9503999995</v>
      </c>
      <c r="P23" s="175">
        <f t="shared" si="16"/>
        <v>332617.07919999998</v>
      </c>
      <c r="Q23" s="175">
        <f>HLOOKUP(YEAR($B23),'Factor Proy'!$C$4:$L$15,9,0)*$M23*Q$7</f>
        <v>0</v>
      </c>
      <c r="R23" s="175">
        <f>HLOOKUP(YEAR($B23),'Factor Proy'!$C$4:$L$15,9,0)*$M23*R$7</f>
        <v>0</v>
      </c>
      <c r="S23" s="175">
        <f>HLOOKUP(YEAR($B23),'Factor Proy'!$C$4:$L$15,9,0)*$M23*S$7</f>
        <v>0</v>
      </c>
      <c r="T23" s="175">
        <f t="shared" si="6"/>
        <v>7151267.2027999992</v>
      </c>
      <c r="U23" s="175">
        <f t="shared" si="7"/>
        <v>6162429.7000000002</v>
      </c>
      <c r="V23" s="175">
        <f>IF($U23&lt;=HLOOKUP(YEAR($B23),'Ing Proyect'!$B$6:$G$7,2,0)*20,0,$U23*V$7)</f>
        <v>0</v>
      </c>
      <c r="W23" s="175">
        <f t="shared" si="8"/>
        <v>739491.56400000001</v>
      </c>
      <c r="X23" s="175">
        <f t="shared" si="8"/>
        <v>61624.297000000006</v>
      </c>
      <c r="Y23" s="175">
        <f>IF($U23&lt;=HLOOKUP(YEAR($B23),'Ing Proyect'!$B$6:$G$7,2,0)*20,0,HLOOKUP(YEAR($B23),'Factor Proy'!$C$4:$L$15,9,0)*$U23*Y$7)</f>
        <v>0</v>
      </c>
      <c r="Z23" s="175">
        <f>IF($U23&lt;=HLOOKUP(YEAR($B23),'Ing Proyect'!$B$6:$G$7,2,0)*20,0,HLOOKUP(YEAR($B23),'Factor Proy'!$C$4:$L$15,9,0)*$U23*Z$7)</f>
        <v>0</v>
      </c>
      <c r="AA23" s="175">
        <f>HLOOKUP(YEAR($B23),'Factor Proy'!$C$4:$L$15,9,0)*$U23*AA$7</f>
        <v>0</v>
      </c>
      <c r="AB23" s="175">
        <f t="shared" si="9"/>
        <v>801115.86100000003</v>
      </c>
      <c r="AC23" s="175">
        <f t="shared" si="10"/>
        <v>7952383.0637999997</v>
      </c>
      <c r="AD23" s="175">
        <f t="shared" si="11"/>
        <v>92447042.863800019</v>
      </c>
      <c r="AE23" s="175">
        <f t="shared" si="12"/>
        <v>84494659.800000012</v>
      </c>
      <c r="AF23" s="359">
        <f t="shared" si="13"/>
        <v>7952383.0637999997</v>
      </c>
      <c r="AG23" s="359">
        <f t="shared" si="14"/>
        <v>0</v>
      </c>
      <c r="AH23" s="175">
        <f>ROUND((Factor!$D$13/1)*1*SUM(E23:F23),0)</f>
        <v>1088696</v>
      </c>
      <c r="AI23" s="175">
        <f t="shared" si="15"/>
        <v>2177390</v>
      </c>
    </row>
    <row r="24" spans="1:35" x14ac:dyDescent="0.35">
      <c r="A24" s="18">
        <v>15</v>
      </c>
      <c r="B24" s="184">
        <v>42460</v>
      </c>
      <c r="C24" s="175">
        <f>SUMIF('RF 2016'!$D$10:$D$20,$C$4,'RF 2016'!$O$10:$O$20)</f>
        <v>22811400</v>
      </c>
      <c r="D24" s="175">
        <f>SUMIF('RV 2016'!$E$7:$M$7,$C$4,'RV 2016'!$E$33:$M$33)</f>
        <v>24705325.600000001</v>
      </c>
      <c r="E24" s="175">
        <f>SUMIF('RF 2016'!$D$22:$D$25,$C$4,'RF 2016'!$O$22:$O$25)</f>
        <v>3001500</v>
      </c>
      <c r="F24" s="175">
        <f>SUMIF('RV 2016'!$N$7:$O$7,$C$4,'RV 2016'!$N$33:$O$33)</f>
        <v>3160929.7</v>
      </c>
      <c r="G24" s="175">
        <f>IF(B24=MAX($B$9:$B$69),AI23+AH24,ROUND(IF(OR(MONTH($B24)=6,MONTH($B24)=12)=TRUE,(Factor!$C$9/2)*12*SUM(E24:F24),IF(MONTH($B24)=1,(Factor!$C$10*12)*SUM(E23:F23)*112%,0))+ROUND(IF(AND(MONTH($B24)=12,YEAR($B24)=2019)=TRUE,(Factor!$C$10*12)*SUM(E24:F24)*112%,0),0),0))*0+ROUND(IF(OR(MONTH($B24)=6,MONTH($B24)=12)=TRUE,(Factor!$C$9/2)*12*SUM(E24:F24),IF(MONTH($B24)=1,(Factor!$C$10*12)*SUM(E23:F23)*112%,0)),0)</f>
        <v>0</v>
      </c>
      <c r="H24" s="175">
        <f t="shared" si="4"/>
        <v>53679155.300000004</v>
      </c>
      <c r="I24" s="175">
        <f>SUMIF('RF 2016'!$D$10:$D$25,$I$4,'RF 2016'!$O$10:$O$25)</f>
        <v>16541600</v>
      </c>
      <c r="J24" s="175">
        <f>SUMIF('RV 2016'!$E$7:$O$7,$I$4,'RV 2016'!$E$33:$O$33)</f>
        <v>14273904.5</v>
      </c>
      <c r="K24" s="175">
        <f t="shared" si="1"/>
        <v>30815504.5</v>
      </c>
      <c r="L24" s="175">
        <f t="shared" si="5"/>
        <v>84494659.800000012</v>
      </c>
      <c r="M24" s="175">
        <f t="shared" si="2"/>
        <v>33261707.919999998</v>
      </c>
      <c r="N24" s="175">
        <f t="shared" si="16"/>
        <v>2827245.1732000001</v>
      </c>
      <c r="O24" s="175">
        <f t="shared" si="16"/>
        <v>3991404.9503999995</v>
      </c>
      <c r="P24" s="175">
        <f t="shared" si="16"/>
        <v>332617.07919999998</v>
      </c>
      <c r="Q24" s="175">
        <f>HLOOKUP(YEAR($B24),'Factor Proy'!$C$4:$L$15,9,0)*$M24*Q$7</f>
        <v>0</v>
      </c>
      <c r="R24" s="175">
        <f>HLOOKUP(YEAR($B24),'Factor Proy'!$C$4:$L$15,9,0)*$M24*R$7</f>
        <v>0</v>
      </c>
      <c r="S24" s="175">
        <f>HLOOKUP(YEAR($B24),'Factor Proy'!$C$4:$L$15,9,0)*$M24*S$7</f>
        <v>0</v>
      </c>
      <c r="T24" s="175">
        <f t="shared" si="6"/>
        <v>7151267.2027999992</v>
      </c>
      <c r="U24" s="175">
        <f t="shared" si="7"/>
        <v>6162429.7000000002</v>
      </c>
      <c r="V24" s="175">
        <f>IF($U24&lt;=HLOOKUP(YEAR($B24),'Ing Proyect'!$B$6:$G$7,2,0)*20,0,$U24*V$7)</f>
        <v>0</v>
      </c>
      <c r="W24" s="175">
        <f t="shared" si="8"/>
        <v>739491.56400000001</v>
      </c>
      <c r="X24" s="175">
        <f t="shared" si="8"/>
        <v>61624.297000000006</v>
      </c>
      <c r="Y24" s="175">
        <f>IF($U24&lt;=HLOOKUP(YEAR($B24),'Ing Proyect'!$B$6:$G$7,2,0)*20,0,HLOOKUP(YEAR($B24),'Factor Proy'!$C$4:$L$15,9,0)*$U24*Y$7)</f>
        <v>0</v>
      </c>
      <c r="Z24" s="175">
        <f>IF($U24&lt;=HLOOKUP(YEAR($B24),'Ing Proyect'!$B$6:$G$7,2,0)*20,0,HLOOKUP(YEAR($B24),'Factor Proy'!$C$4:$L$15,9,0)*$U24*Z$7)</f>
        <v>0</v>
      </c>
      <c r="AA24" s="175">
        <f>HLOOKUP(YEAR($B24),'Factor Proy'!$C$4:$L$15,9,0)*$U24*AA$7</f>
        <v>0</v>
      </c>
      <c r="AB24" s="175">
        <f t="shared" si="9"/>
        <v>801115.86100000003</v>
      </c>
      <c r="AC24" s="175">
        <f t="shared" si="10"/>
        <v>7952383.0637999997</v>
      </c>
      <c r="AD24" s="175">
        <f t="shared" si="11"/>
        <v>92447042.863800019</v>
      </c>
      <c r="AE24" s="175">
        <f t="shared" si="12"/>
        <v>84494659.800000012</v>
      </c>
      <c r="AF24" s="359">
        <f t="shared" si="13"/>
        <v>7952383.0637999997</v>
      </c>
      <c r="AG24" s="359">
        <f t="shared" si="14"/>
        <v>0</v>
      </c>
      <c r="AH24" s="175">
        <f>ROUND((Factor!$D$13/1)*1*SUM(E24:F24),0)</f>
        <v>1088696</v>
      </c>
      <c r="AI24" s="175">
        <f t="shared" si="15"/>
        <v>3266086</v>
      </c>
    </row>
    <row r="25" spans="1:35" x14ac:dyDescent="0.35">
      <c r="A25" s="18">
        <v>16</v>
      </c>
      <c r="B25" s="184">
        <v>42490</v>
      </c>
      <c r="C25" s="175">
        <f>SUMIF('RF 2016'!$D$10:$D$20,$C$4,'RF 2016'!$O$10:$O$20)</f>
        <v>22811400</v>
      </c>
      <c r="D25" s="175">
        <f>SUMIF('RV 2016'!$E$7:$M$7,$C$4,'RV 2016'!$E$33:$M$33)</f>
        <v>24705325.600000001</v>
      </c>
      <c r="E25" s="175">
        <f>SUMIF('RF 2016'!$D$22:$D$25,$C$4,'RF 2016'!$O$22:$O$25)</f>
        <v>3001500</v>
      </c>
      <c r="F25" s="175">
        <f>SUMIF('RV 2016'!$N$7:$O$7,$C$4,'RV 2016'!$N$33:$O$33)</f>
        <v>3160929.7</v>
      </c>
      <c r="G25" s="175">
        <f>IF(B25=MAX($B$9:$B$69),AI24+AH25,ROUND(IF(OR(MONTH($B25)=6,MONTH($B25)=12)=TRUE,(Factor!$C$9/2)*12*SUM(E25:F25),IF(MONTH($B25)=1,(Factor!$C$10*12)*SUM(E24:F24)*112%,0))+ROUND(IF(AND(MONTH($B25)=12,YEAR($B25)=2019)=TRUE,(Factor!$C$10*12)*SUM(E25:F25)*112%,0),0),0))*0+ROUND(IF(OR(MONTH($B25)=6,MONTH($B25)=12)=TRUE,(Factor!$C$9/2)*12*SUM(E25:F25),IF(MONTH($B25)=1,(Factor!$C$10*12)*SUM(E24:F24)*112%,0)),0)</f>
        <v>0</v>
      </c>
      <c r="H25" s="175">
        <f t="shared" si="4"/>
        <v>53679155.300000004</v>
      </c>
      <c r="I25" s="175">
        <f>SUMIF('RF 2016'!$D$10:$D$25,$I$4,'RF 2016'!$O$10:$O$25)</f>
        <v>16541600</v>
      </c>
      <c r="J25" s="175">
        <f>SUMIF('RV 2016'!$E$7:$O$7,$I$4,'RV 2016'!$E$33:$O$33)</f>
        <v>14273904.5</v>
      </c>
      <c r="K25" s="175">
        <f t="shared" si="1"/>
        <v>30815504.5</v>
      </c>
      <c r="L25" s="175">
        <f t="shared" si="5"/>
        <v>84494659.800000012</v>
      </c>
      <c r="M25" s="175">
        <f t="shared" si="2"/>
        <v>33261707.919999998</v>
      </c>
      <c r="N25" s="175">
        <f t="shared" si="16"/>
        <v>2827245.1732000001</v>
      </c>
      <c r="O25" s="175">
        <f t="shared" si="16"/>
        <v>3991404.9503999995</v>
      </c>
      <c r="P25" s="175">
        <f t="shared" si="16"/>
        <v>332617.07919999998</v>
      </c>
      <c r="Q25" s="175">
        <f>HLOOKUP(YEAR($B25),'Factor Proy'!$C$4:$L$15,9,0)*$M25*Q$7</f>
        <v>0</v>
      </c>
      <c r="R25" s="175">
        <f>HLOOKUP(YEAR($B25),'Factor Proy'!$C$4:$L$15,9,0)*$M25*R$7</f>
        <v>0</v>
      </c>
      <c r="S25" s="175">
        <f>HLOOKUP(YEAR($B25),'Factor Proy'!$C$4:$L$15,9,0)*$M25*S$7</f>
        <v>0</v>
      </c>
      <c r="T25" s="175">
        <f t="shared" si="6"/>
        <v>7151267.2027999992</v>
      </c>
      <c r="U25" s="175">
        <f t="shared" si="7"/>
        <v>6162429.7000000002</v>
      </c>
      <c r="V25" s="175">
        <f>IF($U25&lt;=HLOOKUP(YEAR($B25),'Ing Proyect'!$B$6:$G$7,2,0)*20,0,$U25*V$7)</f>
        <v>0</v>
      </c>
      <c r="W25" s="175">
        <f t="shared" si="8"/>
        <v>739491.56400000001</v>
      </c>
      <c r="X25" s="175">
        <f t="shared" si="8"/>
        <v>61624.297000000006</v>
      </c>
      <c r="Y25" s="175">
        <f>IF($U25&lt;=HLOOKUP(YEAR($B25),'Ing Proyect'!$B$6:$G$7,2,0)*20,0,HLOOKUP(YEAR($B25),'Factor Proy'!$C$4:$L$15,9,0)*$U25*Y$7)</f>
        <v>0</v>
      </c>
      <c r="Z25" s="175">
        <f>IF($U25&lt;=HLOOKUP(YEAR($B25),'Ing Proyect'!$B$6:$G$7,2,0)*20,0,HLOOKUP(YEAR($B25),'Factor Proy'!$C$4:$L$15,9,0)*$U25*Z$7)</f>
        <v>0</v>
      </c>
      <c r="AA25" s="175">
        <f>HLOOKUP(YEAR($B25),'Factor Proy'!$C$4:$L$15,9,0)*$U25*AA$7</f>
        <v>0</v>
      </c>
      <c r="AB25" s="175">
        <f t="shared" si="9"/>
        <v>801115.86100000003</v>
      </c>
      <c r="AC25" s="175">
        <f t="shared" si="10"/>
        <v>7952383.0637999997</v>
      </c>
      <c r="AD25" s="175">
        <f t="shared" si="11"/>
        <v>92447042.863800019</v>
      </c>
      <c r="AE25" s="175">
        <f t="shared" si="12"/>
        <v>84494659.800000012</v>
      </c>
      <c r="AF25" s="359">
        <f t="shared" si="13"/>
        <v>7952383.0637999997</v>
      </c>
      <c r="AG25" s="359">
        <f t="shared" si="14"/>
        <v>0</v>
      </c>
      <c r="AH25" s="175">
        <f>ROUND((Factor!$D$13/1)*1*SUM(E25:F25),0)</f>
        <v>1088696</v>
      </c>
      <c r="AI25" s="175">
        <f t="shared" si="15"/>
        <v>4354782</v>
      </c>
    </row>
    <row r="26" spans="1:35" x14ac:dyDescent="0.35">
      <c r="A26" s="18">
        <v>17</v>
      </c>
      <c r="B26" s="184">
        <v>42521</v>
      </c>
      <c r="C26" s="175">
        <f>SUMIF('RF 2016'!$D$10:$D$20,$C$4,'RF 2016'!$O$10:$O$20)</f>
        <v>22811400</v>
      </c>
      <c r="D26" s="175">
        <f>SUMIF('RV 2016'!$E$7:$M$7,$C$4,'RV 2016'!$E$33:$M$33)</f>
        <v>24705325.600000001</v>
      </c>
      <c r="E26" s="175">
        <f>SUMIF('RF 2016'!$D$22:$D$25,$C$4,'RF 2016'!$O$22:$O$25)</f>
        <v>3001500</v>
      </c>
      <c r="F26" s="175">
        <f>SUMIF('RV 2016'!$N$7:$O$7,$C$4,'RV 2016'!$N$33:$O$33)</f>
        <v>3160929.7</v>
      </c>
      <c r="G26" s="175">
        <f>IF(B26=MAX($B$9:$B$69),AI25+AH26,ROUND(IF(OR(MONTH($B26)=6,MONTH($B26)=12)=TRUE,(Factor!$C$9/2)*12*SUM(E26:F26),IF(MONTH($B26)=1,(Factor!$C$10*12)*SUM(E25:F25)*112%,0))+ROUND(IF(AND(MONTH($B26)=12,YEAR($B26)=2019)=TRUE,(Factor!$C$10*12)*SUM(E26:F26)*112%,0),0),0))*0+ROUND(IF(OR(MONTH($B26)=6,MONTH($B26)=12)=TRUE,(Factor!$C$9/2)*12*SUM(E26:F26),IF(MONTH($B26)=1,(Factor!$C$10*12)*SUM(E25:F25)*112%,0)),0)</f>
        <v>0</v>
      </c>
      <c r="H26" s="175">
        <f t="shared" si="4"/>
        <v>53679155.300000004</v>
      </c>
      <c r="I26" s="175">
        <f>SUMIF('RF 2016'!$D$10:$D$25,$I$4,'RF 2016'!$O$10:$O$25)</f>
        <v>16541600</v>
      </c>
      <c r="J26" s="175">
        <f>SUMIF('RV 2016'!$E$7:$O$7,$I$4,'RV 2016'!$E$33:$O$33)</f>
        <v>14273904.5</v>
      </c>
      <c r="K26" s="175">
        <f t="shared" si="1"/>
        <v>30815504.5</v>
      </c>
      <c r="L26" s="175">
        <f t="shared" si="5"/>
        <v>84494659.800000012</v>
      </c>
      <c r="M26" s="175">
        <f t="shared" si="2"/>
        <v>33261707.919999998</v>
      </c>
      <c r="N26" s="175">
        <f t="shared" si="16"/>
        <v>2827245.1732000001</v>
      </c>
      <c r="O26" s="175">
        <f t="shared" si="16"/>
        <v>3991404.9503999995</v>
      </c>
      <c r="P26" s="175">
        <f t="shared" si="16"/>
        <v>332617.07919999998</v>
      </c>
      <c r="Q26" s="175">
        <f>HLOOKUP(YEAR($B26),'Factor Proy'!$C$4:$L$15,9,0)*$M26*Q$7</f>
        <v>0</v>
      </c>
      <c r="R26" s="175">
        <f>HLOOKUP(YEAR($B26),'Factor Proy'!$C$4:$L$15,9,0)*$M26*R$7</f>
        <v>0</v>
      </c>
      <c r="S26" s="175">
        <f>HLOOKUP(YEAR($B26),'Factor Proy'!$C$4:$L$15,9,0)*$M26*S$7</f>
        <v>0</v>
      </c>
      <c r="T26" s="175">
        <f t="shared" si="6"/>
        <v>7151267.2027999992</v>
      </c>
      <c r="U26" s="175">
        <f t="shared" si="7"/>
        <v>6162429.7000000002</v>
      </c>
      <c r="V26" s="175">
        <f>IF($U26&lt;=HLOOKUP(YEAR($B26),'Ing Proyect'!$B$6:$G$7,2,0)*20,0,$U26*V$7)</f>
        <v>0</v>
      </c>
      <c r="W26" s="175">
        <f t="shared" si="8"/>
        <v>739491.56400000001</v>
      </c>
      <c r="X26" s="175">
        <f t="shared" si="8"/>
        <v>61624.297000000006</v>
      </c>
      <c r="Y26" s="175">
        <f>IF($U26&lt;=HLOOKUP(YEAR($B26),'Ing Proyect'!$B$6:$G$7,2,0)*20,0,HLOOKUP(YEAR($B26),'Factor Proy'!$C$4:$L$15,9,0)*$U26*Y$7)</f>
        <v>0</v>
      </c>
      <c r="Z26" s="175">
        <f>IF($U26&lt;=HLOOKUP(YEAR($B26),'Ing Proyect'!$B$6:$G$7,2,0)*20,0,HLOOKUP(YEAR($B26),'Factor Proy'!$C$4:$L$15,9,0)*$U26*Z$7)</f>
        <v>0</v>
      </c>
      <c r="AA26" s="175">
        <f>HLOOKUP(YEAR($B26),'Factor Proy'!$C$4:$L$15,9,0)*$U26*AA$7</f>
        <v>0</v>
      </c>
      <c r="AB26" s="175">
        <f t="shared" si="9"/>
        <v>801115.86100000003</v>
      </c>
      <c r="AC26" s="175">
        <f t="shared" si="10"/>
        <v>7952383.0637999997</v>
      </c>
      <c r="AD26" s="175">
        <f t="shared" si="11"/>
        <v>92447042.863800019</v>
      </c>
      <c r="AE26" s="175">
        <f t="shared" si="12"/>
        <v>84494659.800000012</v>
      </c>
      <c r="AF26" s="359">
        <f t="shared" si="13"/>
        <v>7952383.0637999997</v>
      </c>
      <c r="AG26" s="359">
        <f t="shared" si="14"/>
        <v>0</v>
      </c>
      <c r="AH26" s="175">
        <f>ROUND((Factor!$D$13/1)*1*SUM(E26:F26),0)</f>
        <v>1088696</v>
      </c>
      <c r="AI26" s="175">
        <f t="shared" si="15"/>
        <v>5443478</v>
      </c>
    </row>
    <row r="27" spans="1:35" x14ac:dyDescent="0.35">
      <c r="A27" s="18">
        <v>18</v>
      </c>
      <c r="B27" s="184">
        <v>42551</v>
      </c>
      <c r="C27" s="175">
        <f>SUMIF('RF 2016'!$D$10:$D$20,$C$4,'RF 2016'!$O$10:$O$20)</f>
        <v>22811400</v>
      </c>
      <c r="D27" s="175">
        <f>SUMIF('RV 2016'!$E$7:$M$7,$C$4,'RV 2016'!$E$33:$M$33)</f>
        <v>24705325.600000001</v>
      </c>
      <c r="E27" s="175">
        <f>SUMIF('RF 2016'!$D$22:$D$25,$C$4,'RF 2016'!$O$22:$O$25)</f>
        <v>3001500</v>
      </c>
      <c r="F27" s="175">
        <f>SUMIF('RV 2016'!$N$7:$O$7,$C$4,'RV 2016'!$N$33:$O$33)</f>
        <v>3160929.7</v>
      </c>
      <c r="G27" s="175">
        <f>IF(B27=MAX($B$9:$B$69),AI26+AH27,ROUND(IF(OR(MONTH($B27)=6,MONTH($B27)=12)=TRUE,(Factor!$C$9/2)*12*SUM(E27:F27),IF(MONTH($B27)=1,(Factor!$C$10*12)*SUM(E26:F26)*112%,0))+ROUND(IF(AND(MONTH($B27)=12,YEAR($B27)=2019)=TRUE,(Factor!$C$10*12)*SUM(E27:F27)*112%,0),0),0))*0+ROUND(IF(OR(MONTH($B27)=6,MONTH($B27)=12)=TRUE,(Factor!$C$9/2)*12*SUM(E27:F27),IF(MONTH($B27)=1,(Factor!$C$10*12)*SUM(E26:F26)*112%,0)),0)</f>
        <v>3081215</v>
      </c>
      <c r="H27" s="175">
        <f t="shared" si="4"/>
        <v>56760370.300000004</v>
      </c>
      <c r="I27" s="175">
        <f>SUMIF('RF 2016'!$D$10:$D$25,$I$4,'RF 2016'!$O$10:$O$25)</f>
        <v>16541600</v>
      </c>
      <c r="J27" s="175">
        <f>SUMIF('RV 2016'!$E$7:$O$7,$I$4,'RV 2016'!$E$33:$O$33)</f>
        <v>14273904.5</v>
      </c>
      <c r="K27" s="175">
        <f t="shared" si="1"/>
        <v>30815504.5</v>
      </c>
      <c r="L27" s="175">
        <f t="shared" si="5"/>
        <v>87575874.800000012</v>
      </c>
      <c r="M27" s="175">
        <f t="shared" si="2"/>
        <v>33261707.919999998</v>
      </c>
      <c r="N27" s="175">
        <f t="shared" si="16"/>
        <v>2827245.1732000001</v>
      </c>
      <c r="O27" s="175">
        <f t="shared" si="16"/>
        <v>3991404.9503999995</v>
      </c>
      <c r="P27" s="175">
        <f t="shared" si="16"/>
        <v>332617.07919999998</v>
      </c>
      <c r="Q27" s="175">
        <f>HLOOKUP(YEAR($B27),'Factor Proy'!$C$4:$L$15,9,0)*$M27*Q$7</f>
        <v>0</v>
      </c>
      <c r="R27" s="175">
        <f>HLOOKUP(YEAR($B27),'Factor Proy'!$C$4:$L$15,9,0)*$M27*R$7</f>
        <v>0</v>
      </c>
      <c r="S27" s="175">
        <f>HLOOKUP(YEAR($B27),'Factor Proy'!$C$4:$L$15,9,0)*$M27*S$7</f>
        <v>0</v>
      </c>
      <c r="T27" s="175">
        <f t="shared" si="6"/>
        <v>7151267.2027999992</v>
      </c>
      <c r="U27" s="175">
        <f t="shared" si="7"/>
        <v>6162429.7000000002</v>
      </c>
      <c r="V27" s="175">
        <f>IF($U27&lt;=HLOOKUP(YEAR($B27),'Ing Proyect'!$B$6:$G$7,2,0)*20,0,$U27*V$7)</f>
        <v>0</v>
      </c>
      <c r="W27" s="175">
        <f t="shared" si="8"/>
        <v>739491.56400000001</v>
      </c>
      <c r="X27" s="175">
        <f t="shared" si="8"/>
        <v>61624.297000000006</v>
      </c>
      <c r="Y27" s="175">
        <f>IF($U27&lt;=HLOOKUP(YEAR($B27),'Ing Proyect'!$B$6:$G$7,2,0)*20,0,HLOOKUP(YEAR($B27),'Factor Proy'!$C$4:$L$15,9,0)*$U27*Y$7)</f>
        <v>0</v>
      </c>
      <c r="Z27" s="175">
        <f>IF($U27&lt;=HLOOKUP(YEAR($B27),'Ing Proyect'!$B$6:$G$7,2,0)*20,0,HLOOKUP(YEAR($B27),'Factor Proy'!$C$4:$L$15,9,0)*$U27*Z$7)</f>
        <v>0</v>
      </c>
      <c r="AA27" s="175">
        <f>HLOOKUP(YEAR($B27),'Factor Proy'!$C$4:$L$15,9,0)*$U27*AA$7</f>
        <v>0</v>
      </c>
      <c r="AB27" s="175">
        <f t="shared" si="9"/>
        <v>801115.86100000003</v>
      </c>
      <c r="AC27" s="175">
        <f t="shared" si="10"/>
        <v>7952383.0637999997</v>
      </c>
      <c r="AD27" s="175">
        <f t="shared" si="11"/>
        <v>95528257.863800019</v>
      </c>
      <c r="AE27" s="175">
        <f t="shared" si="12"/>
        <v>84494659.800000012</v>
      </c>
      <c r="AF27" s="359">
        <f t="shared" si="13"/>
        <v>7952383.0637999997</v>
      </c>
      <c r="AG27" s="359">
        <f t="shared" si="14"/>
        <v>3081215</v>
      </c>
      <c r="AH27" s="175">
        <f>ROUND((Factor!$D$13/1)*1*SUM(E27:F27),0)</f>
        <v>1088696</v>
      </c>
      <c r="AI27" s="175">
        <f t="shared" si="15"/>
        <v>3450959</v>
      </c>
    </row>
    <row r="28" spans="1:35" x14ac:dyDescent="0.35">
      <c r="A28" s="18">
        <v>19</v>
      </c>
      <c r="B28" s="184">
        <v>42582</v>
      </c>
      <c r="C28" s="175">
        <f>SUMIF('RF 2016'!$D$10:$D$20,$C$4,'RF 2016'!$O$10:$O$20)</f>
        <v>22811400</v>
      </c>
      <c r="D28" s="175">
        <f>SUMIF('RV 2016'!$E$7:$M$7,$C$4,'RV 2016'!$E$33:$M$33)</f>
        <v>24705325.600000001</v>
      </c>
      <c r="E28" s="175">
        <f>SUMIF('RF 2016'!$D$22:$D$25,$C$4,'RF 2016'!$O$22:$O$25)</f>
        <v>3001500</v>
      </c>
      <c r="F28" s="175">
        <f>SUMIF('RV 2016'!$N$7:$O$7,$C$4,'RV 2016'!$N$33:$O$33)</f>
        <v>3160929.7</v>
      </c>
      <c r="G28" s="175">
        <f>IF(B28=MAX($B$9:$B$69),AI27+AH28,ROUND(IF(OR(MONTH($B28)=6,MONTH($B28)=12)=TRUE,(Factor!$C$9/2)*12*SUM(E28:F28),IF(MONTH($B28)=1,(Factor!$C$10*12)*SUM(E27:F27)*112%,0))+ROUND(IF(AND(MONTH($B28)=12,YEAR($B28)=2019)=TRUE,(Factor!$C$10*12)*SUM(E28:F28)*112%,0),0),0))*0+ROUND(IF(OR(MONTH($B28)=6,MONTH($B28)=12)=TRUE,(Factor!$C$9/2)*12*SUM(E28:F28),IF(MONTH($B28)=1,(Factor!$C$10*12)*SUM(E27:F27)*112%,0)),0)</f>
        <v>0</v>
      </c>
      <c r="H28" s="175">
        <f t="shared" si="4"/>
        <v>53679155.300000004</v>
      </c>
      <c r="I28" s="175">
        <f>SUMIF('RF 2016'!$D$10:$D$25,$I$4,'RF 2016'!$O$10:$O$25)</f>
        <v>16541600</v>
      </c>
      <c r="J28" s="175">
        <f>SUMIF('RV 2016'!$E$7:$O$7,$I$4,'RV 2016'!$E$33:$O$33)</f>
        <v>14273904.5</v>
      </c>
      <c r="K28" s="175">
        <f t="shared" si="1"/>
        <v>30815504.5</v>
      </c>
      <c r="L28" s="175">
        <f t="shared" si="5"/>
        <v>84494659.800000012</v>
      </c>
      <c r="M28" s="175">
        <f t="shared" si="2"/>
        <v>33261707.919999998</v>
      </c>
      <c r="N28" s="175">
        <f t="shared" si="16"/>
        <v>2827245.1732000001</v>
      </c>
      <c r="O28" s="175">
        <f t="shared" si="16"/>
        <v>3991404.9503999995</v>
      </c>
      <c r="P28" s="175">
        <f t="shared" si="16"/>
        <v>332617.07919999998</v>
      </c>
      <c r="Q28" s="175">
        <f>HLOOKUP(YEAR($B28),'Factor Proy'!$C$4:$L$15,9,0)*$M28*Q$7</f>
        <v>0</v>
      </c>
      <c r="R28" s="175">
        <f>HLOOKUP(YEAR($B28),'Factor Proy'!$C$4:$L$15,9,0)*$M28*R$7</f>
        <v>0</v>
      </c>
      <c r="S28" s="175">
        <f>HLOOKUP(YEAR($B28),'Factor Proy'!$C$4:$L$15,9,0)*$M28*S$7</f>
        <v>0</v>
      </c>
      <c r="T28" s="175">
        <f t="shared" si="6"/>
        <v>7151267.2027999992</v>
      </c>
      <c r="U28" s="175">
        <f t="shared" si="7"/>
        <v>6162429.7000000002</v>
      </c>
      <c r="V28" s="175">
        <f>IF($U28&lt;=HLOOKUP(YEAR($B28),'Ing Proyect'!$B$6:$G$7,2,0)*20,0,$U28*V$7)</f>
        <v>0</v>
      </c>
      <c r="W28" s="175">
        <f t="shared" si="8"/>
        <v>739491.56400000001</v>
      </c>
      <c r="X28" s="175">
        <f t="shared" si="8"/>
        <v>61624.297000000006</v>
      </c>
      <c r="Y28" s="175">
        <f>IF($U28&lt;=HLOOKUP(YEAR($B28),'Ing Proyect'!$B$6:$G$7,2,0)*20,0,HLOOKUP(YEAR($B28),'Factor Proy'!$C$4:$L$15,9,0)*$U28*Y$7)</f>
        <v>0</v>
      </c>
      <c r="Z28" s="175">
        <f>IF($U28&lt;=HLOOKUP(YEAR($B28),'Ing Proyect'!$B$6:$G$7,2,0)*20,0,HLOOKUP(YEAR($B28),'Factor Proy'!$C$4:$L$15,9,0)*$U28*Z$7)</f>
        <v>0</v>
      </c>
      <c r="AA28" s="175">
        <f>HLOOKUP(YEAR($B28),'Factor Proy'!$C$4:$L$15,9,0)*$U28*AA$7</f>
        <v>0</v>
      </c>
      <c r="AB28" s="175">
        <f t="shared" si="9"/>
        <v>801115.86100000003</v>
      </c>
      <c r="AC28" s="175">
        <f t="shared" si="10"/>
        <v>7952383.0637999997</v>
      </c>
      <c r="AD28" s="175">
        <f t="shared" si="11"/>
        <v>92447042.863800019</v>
      </c>
      <c r="AE28" s="175">
        <f t="shared" si="12"/>
        <v>84494659.800000012</v>
      </c>
      <c r="AF28" s="359">
        <f t="shared" si="13"/>
        <v>7952383.0637999997</v>
      </c>
      <c r="AG28" s="359">
        <f t="shared" si="14"/>
        <v>0</v>
      </c>
      <c r="AH28" s="175">
        <f>ROUND((Factor!$D$13/1)*1*SUM(E28:F28),0)</f>
        <v>1088696</v>
      </c>
      <c r="AI28" s="175">
        <f t="shared" si="15"/>
        <v>4539655</v>
      </c>
    </row>
    <row r="29" spans="1:35" x14ac:dyDescent="0.35">
      <c r="A29" s="18">
        <v>20</v>
      </c>
      <c r="B29" s="184">
        <v>42613</v>
      </c>
      <c r="C29" s="175">
        <f>SUMIF('RF 2016'!$D$10:$D$20,$C$4,'RF 2016'!$O$10:$O$20)</f>
        <v>22811400</v>
      </c>
      <c r="D29" s="175">
        <f>SUMIF('RV 2016'!$E$7:$M$7,$C$4,'RV 2016'!$E$33:$M$33)</f>
        <v>24705325.600000001</v>
      </c>
      <c r="E29" s="175">
        <f>SUMIF('RF 2016'!$D$22:$D$25,$C$4,'RF 2016'!$O$22:$O$25)</f>
        <v>3001500</v>
      </c>
      <c r="F29" s="175">
        <f>SUMIF('RV 2016'!$N$7:$O$7,$C$4,'RV 2016'!$N$33:$O$33)</f>
        <v>3160929.7</v>
      </c>
      <c r="G29" s="175">
        <f>IF(B29=MAX($B$9:$B$69),AI28+AH29,ROUND(IF(OR(MONTH($B29)=6,MONTH($B29)=12)=TRUE,(Factor!$C$9/2)*12*SUM(E29:F29),IF(MONTH($B29)=1,(Factor!$C$10*12)*SUM(E28:F28)*112%,0))+ROUND(IF(AND(MONTH($B29)=12,YEAR($B29)=2019)=TRUE,(Factor!$C$10*12)*SUM(E29:F29)*112%,0),0),0))*0+ROUND(IF(OR(MONTH($B29)=6,MONTH($B29)=12)=TRUE,(Factor!$C$9/2)*12*SUM(E29:F29),IF(MONTH($B29)=1,(Factor!$C$10*12)*SUM(E28:F28)*112%,0)),0)</f>
        <v>0</v>
      </c>
      <c r="H29" s="175">
        <f t="shared" si="4"/>
        <v>53679155.300000004</v>
      </c>
      <c r="I29" s="175">
        <f>SUMIF('RF 2016'!$D$10:$D$25,$I$4,'RF 2016'!$O$10:$O$25)</f>
        <v>16541600</v>
      </c>
      <c r="J29" s="175">
        <f>SUMIF('RV 2016'!$E$7:$O$7,$I$4,'RV 2016'!$E$33:$O$33)</f>
        <v>14273904.5</v>
      </c>
      <c r="K29" s="175">
        <f t="shared" si="1"/>
        <v>30815504.5</v>
      </c>
      <c r="L29" s="175">
        <f t="shared" si="5"/>
        <v>84494659.800000012</v>
      </c>
      <c r="M29" s="175">
        <f t="shared" si="2"/>
        <v>33261707.919999998</v>
      </c>
      <c r="N29" s="175">
        <f t="shared" si="16"/>
        <v>2827245.1732000001</v>
      </c>
      <c r="O29" s="175">
        <f t="shared" si="16"/>
        <v>3991404.9503999995</v>
      </c>
      <c r="P29" s="175">
        <f t="shared" si="16"/>
        <v>332617.07919999998</v>
      </c>
      <c r="Q29" s="175">
        <f>HLOOKUP(YEAR($B29),'Factor Proy'!$C$4:$L$15,9,0)*$M29*Q$7</f>
        <v>0</v>
      </c>
      <c r="R29" s="175">
        <f>HLOOKUP(YEAR($B29),'Factor Proy'!$C$4:$L$15,9,0)*$M29*R$7</f>
        <v>0</v>
      </c>
      <c r="S29" s="175">
        <f>HLOOKUP(YEAR($B29),'Factor Proy'!$C$4:$L$15,9,0)*$M29*S$7</f>
        <v>0</v>
      </c>
      <c r="T29" s="175">
        <f t="shared" si="6"/>
        <v>7151267.2027999992</v>
      </c>
      <c r="U29" s="175">
        <f t="shared" si="7"/>
        <v>6162429.7000000002</v>
      </c>
      <c r="V29" s="175">
        <f>IF($U29&lt;=HLOOKUP(YEAR($B29),'Ing Proyect'!$B$6:$G$7,2,0)*20,0,$U29*V$7)</f>
        <v>0</v>
      </c>
      <c r="W29" s="175">
        <f t="shared" si="8"/>
        <v>739491.56400000001</v>
      </c>
      <c r="X29" s="175">
        <f t="shared" si="8"/>
        <v>61624.297000000006</v>
      </c>
      <c r="Y29" s="175">
        <f>IF($U29&lt;=HLOOKUP(YEAR($B29),'Ing Proyect'!$B$6:$G$7,2,0)*20,0,HLOOKUP(YEAR($B29),'Factor Proy'!$C$4:$L$15,9,0)*$U29*Y$7)</f>
        <v>0</v>
      </c>
      <c r="Z29" s="175">
        <f>IF($U29&lt;=HLOOKUP(YEAR($B29),'Ing Proyect'!$B$6:$G$7,2,0)*20,0,HLOOKUP(YEAR($B29),'Factor Proy'!$C$4:$L$15,9,0)*$U29*Z$7)</f>
        <v>0</v>
      </c>
      <c r="AA29" s="175">
        <f>HLOOKUP(YEAR($B29),'Factor Proy'!$C$4:$L$15,9,0)*$U29*AA$7</f>
        <v>0</v>
      </c>
      <c r="AB29" s="175">
        <f t="shared" si="9"/>
        <v>801115.86100000003</v>
      </c>
      <c r="AC29" s="175">
        <f t="shared" si="10"/>
        <v>7952383.0637999997</v>
      </c>
      <c r="AD29" s="175">
        <f t="shared" si="11"/>
        <v>92447042.863800019</v>
      </c>
      <c r="AE29" s="175">
        <f t="shared" si="12"/>
        <v>84494659.800000012</v>
      </c>
      <c r="AF29" s="359">
        <f t="shared" si="13"/>
        <v>7952383.0637999997</v>
      </c>
      <c r="AG29" s="359">
        <f t="shared" si="14"/>
        <v>0</v>
      </c>
      <c r="AH29" s="175">
        <f>ROUND((Factor!$D$13/1)*1*SUM(E29:F29),0)</f>
        <v>1088696</v>
      </c>
      <c r="AI29" s="175">
        <f t="shared" si="15"/>
        <v>5628351</v>
      </c>
    </row>
    <row r="30" spans="1:35" x14ac:dyDescent="0.35">
      <c r="A30" s="18">
        <v>21</v>
      </c>
      <c r="B30" s="184">
        <v>42643</v>
      </c>
      <c r="C30" s="175">
        <f>SUMIF('RF 2016'!$D$10:$D$20,$C$4,'RF 2016'!$O$10:$O$20)</f>
        <v>22811400</v>
      </c>
      <c r="D30" s="175">
        <f>SUMIF('RV 2016'!$E$7:$M$7,$C$4,'RV 2016'!$E$33:$M$33)</f>
        <v>24705325.600000001</v>
      </c>
      <c r="E30" s="175">
        <f>SUMIF('RF 2016'!$D$22:$D$25,$C$4,'RF 2016'!$O$22:$O$25)</f>
        <v>3001500</v>
      </c>
      <c r="F30" s="175">
        <f>SUMIF('RV 2016'!$N$7:$O$7,$C$4,'RV 2016'!$N$33:$O$33)</f>
        <v>3160929.7</v>
      </c>
      <c r="G30" s="175">
        <f>IF(B30=MAX($B$9:$B$69),AI29+AH30,ROUND(IF(OR(MONTH($B30)=6,MONTH($B30)=12)=TRUE,(Factor!$C$9/2)*12*SUM(E30:F30),IF(MONTH($B30)=1,(Factor!$C$10*12)*SUM(E29:F29)*112%,0))+ROUND(IF(AND(MONTH($B30)=12,YEAR($B30)=2019)=TRUE,(Factor!$C$10*12)*SUM(E30:F30)*112%,0),0),0))*0+ROUND(IF(OR(MONTH($B30)=6,MONTH($B30)=12)=TRUE,(Factor!$C$9/2)*12*SUM(E30:F30),IF(MONTH($B30)=1,(Factor!$C$10*12)*SUM(E29:F29)*112%,0)),0)</f>
        <v>0</v>
      </c>
      <c r="H30" s="175">
        <f t="shared" si="4"/>
        <v>53679155.300000004</v>
      </c>
      <c r="I30" s="175">
        <f>SUMIF('RF 2016'!$D$10:$D$25,$I$4,'RF 2016'!$O$10:$O$25)</f>
        <v>16541600</v>
      </c>
      <c r="J30" s="175">
        <f>SUMIF('RV 2016'!$E$7:$O$7,$I$4,'RV 2016'!$E$33:$O$33)</f>
        <v>14273904.5</v>
      </c>
      <c r="K30" s="175">
        <f t="shared" si="1"/>
        <v>30815504.5</v>
      </c>
      <c r="L30" s="175">
        <f t="shared" si="5"/>
        <v>84494659.800000012</v>
      </c>
      <c r="M30" s="175">
        <f t="shared" si="2"/>
        <v>33261707.919999998</v>
      </c>
      <c r="N30" s="175">
        <f t="shared" si="16"/>
        <v>2827245.1732000001</v>
      </c>
      <c r="O30" s="175">
        <f t="shared" si="16"/>
        <v>3991404.9503999995</v>
      </c>
      <c r="P30" s="175">
        <f t="shared" si="16"/>
        <v>332617.07919999998</v>
      </c>
      <c r="Q30" s="175">
        <f>HLOOKUP(YEAR($B30),'Factor Proy'!$C$4:$L$15,9,0)*$M30*Q$7</f>
        <v>0</v>
      </c>
      <c r="R30" s="175">
        <f>HLOOKUP(YEAR($B30),'Factor Proy'!$C$4:$L$15,9,0)*$M30*R$7</f>
        <v>0</v>
      </c>
      <c r="S30" s="175">
        <f>HLOOKUP(YEAR($B30),'Factor Proy'!$C$4:$L$15,9,0)*$M30*S$7</f>
        <v>0</v>
      </c>
      <c r="T30" s="175">
        <f t="shared" si="6"/>
        <v>7151267.2027999992</v>
      </c>
      <c r="U30" s="175">
        <f t="shared" si="7"/>
        <v>6162429.7000000002</v>
      </c>
      <c r="V30" s="175">
        <f>IF($U30&lt;=HLOOKUP(YEAR($B30),'Ing Proyect'!$B$6:$G$7,2,0)*20,0,$U30*V$7)</f>
        <v>0</v>
      </c>
      <c r="W30" s="175">
        <f t="shared" si="8"/>
        <v>739491.56400000001</v>
      </c>
      <c r="X30" s="175">
        <f t="shared" si="8"/>
        <v>61624.297000000006</v>
      </c>
      <c r="Y30" s="175">
        <f>IF($U30&lt;=HLOOKUP(YEAR($B30),'Ing Proyect'!$B$6:$G$7,2,0)*20,0,HLOOKUP(YEAR($B30),'Factor Proy'!$C$4:$L$15,9,0)*$U30*Y$7)</f>
        <v>0</v>
      </c>
      <c r="Z30" s="175">
        <f>IF($U30&lt;=HLOOKUP(YEAR($B30),'Ing Proyect'!$B$6:$G$7,2,0)*20,0,HLOOKUP(YEAR($B30),'Factor Proy'!$C$4:$L$15,9,0)*$U30*Z$7)</f>
        <v>0</v>
      </c>
      <c r="AA30" s="175">
        <f>HLOOKUP(YEAR($B30),'Factor Proy'!$C$4:$L$15,9,0)*$U30*AA$7</f>
        <v>0</v>
      </c>
      <c r="AB30" s="175">
        <f t="shared" si="9"/>
        <v>801115.86100000003</v>
      </c>
      <c r="AC30" s="175">
        <f t="shared" si="10"/>
        <v>7952383.0637999997</v>
      </c>
      <c r="AD30" s="175">
        <f t="shared" si="11"/>
        <v>92447042.863800019</v>
      </c>
      <c r="AE30" s="175">
        <f t="shared" si="12"/>
        <v>84494659.800000012</v>
      </c>
      <c r="AF30" s="359">
        <f t="shared" si="13"/>
        <v>7952383.0637999997</v>
      </c>
      <c r="AG30" s="359">
        <f t="shared" si="14"/>
        <v>0</v>
      </c>
      <c r="AH30" s="175">
        <f>ROUND((Factor!$D$13/1)*1*SUM(E30:F30),0)</f>
        <v>1088696</v>
      </c>
      <c r="AI30" s="175">
        <f t="shared" si="15"/>
        <v>6717047</v>
      </c>
    </row>
    <row r="31" spans="1:35" x14ac:dyDescent="0.35">
      <c r="A31" s="18">
        <v>22</v>
      </c>
      <c r="B31" s="184">
        <v>42674</v>
      </c>
      <c r="C31" s="175">
        <f>SUMIF('RF 2016'!$D$10:$D$20,$C$4,'RF 2016'!$O$10:$O$20)</f>
        <v>22811400</v>
      </c>
      <c r="D31" s="175">
        <f>SUMIF('RV 2016'!$E$7:$M$7,$C$4,'RV 2016'!$E$33:$M$33)</f>
        <v>24705325.600000001</v>
      </c>
      <c r="E31" s="175">
        <f>SUMIF('RF 2016'!$D$22:$D$25,$C$4,'RF 2016'!$O$22:$O$25)</f>
        <v>3001500</v>
      </c>
      <c r="F31" s="175">
        <f>SUMIF('RV 2016'!$N$7:$O$7,$C$4,'RV 2016'!$N$33:$O$33)</f>
        <v>3160929.7</v>
      </c>
      <c r="G31" s="175">
        <f>IF(B31=MAX($B$9:$B$69),AI30+AH31,ROUND(IF(OR(MONTH($B31)=6,MONTH($B31)=12)=TRUE,(Factor!$C$9/2)*12*SUM(E31:F31),IF(MONTH($B31)=1,(Factor!$C$10*12)*SUM(E30:F30)*112%,0))+ROUND(IF(AND(MONTH($B31)=12,YEAR($B31)=2019)=TRUE,(Factor!$C$10*12)*SUM(E31:F31)*112%,0),0),0))*0+ROUND(IF(OR(MONTH($B31)=6,MONTH($B31)=12)=TRUE,(Factor!$C$9/2)*12*SUM(E31:F31),IF(MONTH($B31)=1,(Factor!$C$10*12)*SUM(E30:F30)*112%,0)),0)</f>
        <v>0</v>
      </c>
      <c r="H31" s="175">
        <f t="shared" si="4"/>
        <v>53679155.300000004</v>
      </c>
      <c r="I31" s="175">
        <f>SUMIF('RF 2016'!$D$10:$D$25,$I$4,'RF 2016'!$O$10:$O$25)</f>
        <v>16541600</v>
      </c>
      <c r="J31" s="175">
        <f>SUMIF('RV 2016'!$E$7:$O$7,$I$4,'RV 2016'!$E$33:$O$33)</f>
        <v>14273904.5</v>
      </c>
      <c r="K31" s="175">
        <f t="shared" si="1"/>
        <v>30815504.5</v>
      </c>
      <c r="L31" s="175">
        <f t="shared" si="5"/>
        <v>84494659.800000012</v>
      </c>
      <c r="M31" s="175">
        <f t="shared" si="2"/>
        <v>33261707.919999998</v>
      </c>
      <c r="N31" s="175">
        <f t="shared" si="16"/>
        <v>2827245.1732000001</v>
      </c>
      <c r="O31" s="175">
        <f t="shared" si="16"/>
        <v>3991404.9503999995</v>
      </c>
      <c r="P31" s="175">
        <f t="shared" si="16"/>
        <v>332617.07919999998</v>
      </c>
      <c r="Q31" s="175">
        <f>HLOOKUP(YEAR($B31),'Factor Proy'!$C$4:$L$15,9,0)*$M31*Q$7</f>
        <v>0</v>
      </c>
      <c r="R31" s="175">
        <f>HLOOKUP(YEAR($B31),'Factor Proy'!$C$4:$L$15,9,0)*$M31*R$7</f>
        <v>0</v>
      </c>
      <c r="S31" s="175">
        <f>HLOOKUP(YEAR($B31),'Factor Proy'!$C$4:$L$15,9,0)*$M31*S$7</f>
        <v>0</v>
      </c>
      <c r="T31" s="175">
        <f t="shared" si="6"/>
        <v>7151267.2027999992</v>
      </c>
      <c r="U31" s="175">
        <f t="shared" si="7"/>
        <v>6162429.7000000002</v>
      </c>
      <c r="V31" s="175">
        <f>IF($U31&lt;=HLOOKUP(YEAR($B31),'Ing Proyect'!$B$6:$G$7,2,0)*20,0,$U31*V$7)</f>
        <v>0</v>
      </c>
      <c r="W31" s="175">
        <f t="shared" si="8"/>
        <v>739491.56400000001</v>
      </c>
      <c r="X31" s="175">
        <f t="shared" si="8"/>
        <v>61624.297000000006</v>
      </c>
      <c r="Y31" s="175">
        <f>IF($U31&lt;=HLOOKUP(YEAR($B31),'Ing Proyect'!$B$6:$G$7,2,0)*20,0,HLOOKUP(YEAR($B31),'Factor Proy'!$C$4:$L$15,9,0)*$U31*Y$7)</f>
        <v>0</v>
      </c>
      <c r="Z31" s="175">
        <f>IF($U31&lt;=HLOOKUP(YEAR($B31),'Ing Proyect'!$B$6:$G$7,2,0)*20,0,HLOOKUP(YEAR($B31),'Factor Proy'!$C$4:$L$15,9,0)*$U31*Z$7)</f>
        <v>0</v>
      </c>
      <c r="AA31" s="175">
        <f>HLOOKUP(YEAR($B31),'Factor Proy'!$C$4:$L$15,9,0)*$U31*AA$7</f>
        <v>0</v>
      </c>
      <c r="AB31" s="175">
        <f t="shared" si="9"/>
        <v>801115.86100000003</v>
      </c>
      <c r="AC31" s="175">
        <f t="shared" si="10"/>
        <v>7952383.0637999997</v>
      </c>
      <c r="AD31" s="175">
        <f t="shared" si="11"/>
        <v>92447042.863800019</v>
      </c>
      <c r="AE31" s="175">
        <f t="shared" si="12"/>
        <v>84494659.800000012</v>
      </c>
      <c r="AF31" s="359">
        <f t="shared" si="13"/>
        <v>7952383.0637999997</v>
      </c>
      <c r="AG31" s="359">
        <f t="shared" si="14"/>
        <v>0</v>
      </c>
      <c r="AH31" s="175">
        <f>ROUND((Factor!$D$13/1)*1*SUM(E31:F31),0)</f>
        <v>1088696</v>
      </c>
      <c r="AI31" s="175">
        <f t="shared" si="15"/>
        <v>7805743</v>
      </c>
    </row>
    <row r="32" spans="1:35" x14ac:dyDescent="0.35">
      <c r="A32" s="18">
        <v>23</v>
      </c>
      <c r="B32" s="184">
        <v>42704</v>
      </c>
      <c r="C32" s="175">
        <f>SUMIF('RF 2016'!$D$10:$D$20,$C$4,'RF 2016'!$O$10:$O$20)</f>
        <v>22811400</v>
      </c>
      <c r="D32" s="175">
        <f>SUMIF('RV 2016'!$E$7:$M$7,$C$4,'RV 2016'!$E$33:$M$33)</f>
        <v>24705325.600000001</v>
      </c>
      <c r="E32" s="175">
        <f>SUMIF('RF 2016'!$D$22:$D$25,$C$4,'RF 2016'!$O$22:$O$25)</f>
        <v>3001500</v>
      </c>
      <c r="F32" s="175">
        <f>SUMIF('RV 2016'!$N$7:$O$7,$C$4,'RV 2016'!$N$33:$O$33)</f>
        <v>3160929.7</v>
      </c>
      <c r="G32" s="175">
        <f>IF(B32=MAX($B$9:$B$69),AI31+AH32,ROUND(IF(OR(MONTH($B32)=6,MONTH($B32)=12)=TRUE,(Factor!$C$9/2)*12*SUM(E32:F32),IF(MONTH($B32)=1,(Factor!$C$10*12)*SUM(E31:F31)*112%,0))+ROUND(IF(AND(MONTH($B32)=12,YEAR($B32)=2019)=TRUE,(Factor!$C$10*12)*SUM(E32:F32)*112%,0),0),0))*0+ROUND(IF(OR(MONTH($B32)=6,MONTH($B32)=12)=TRUE,(Factor!$C$9/2)*12*SUM(E32:F32),IF(MONTH($B32)=1,(Factor!$C$10*12)*SUM(E31:F31)*112%,0)),0)</f>
        <v>0</v>
      </c>
      <c r="H32" s="175">
        <f t="shared" si="4"/>
        <v>53679155.300000004</v>
      </c>
      <c r="I32" s="175">
        <f>SUMIF('RF 2016'!$D$10:$D$25,$I$4,'RF 2016'!$O$10:$O$25)</f>
        <v>16541600</v>
      </c>
      <c r="J32" s="175">
        <f>SUMIF('RV 2016'!$E$7:$O$7,$I$4,'RV 2016'!$E$33:$O$33)</f>
        <v>14273904.5</v>
      </c>
      <c r="K32" s="175">
        <f t="shared" si="1"/>
        <v>30815504.5</v>
      </c>
      <c r="L32" s="175">
        <f t="shared" si="5"/>
        <v>84494659.800000012</v>
      </c>
      <c r="M32" s="175">
        <f t="shared" si="2"/>
        <v>33261707.919999998</v>
      </c>
      <c r="N32" s="175">
        <f t="shared" si="16"/>
        <v>2827245.1732000001</v>
      </c>
      <c r="O32" s="175">
        <f t="shared" si="16"/>
        <v>3991404.9503999995</v>
      </c>
      <c r="P32" s="175">
        <f t="shared" si="16"/>
        <v>332617.07919999998</v>
      </c>
      <c r="Q32" s="175">
        <f>HLOOKUP(YEAR($B32),'Factor Proy'!$C$4:$L$15,9,0)*$M32*Q$7</f>
        <v>0</v>
      </c>
      <c r="R32" s="175">
        <f>HLOOKUP(YEAR($B32),'Factor Proy'!$C$4:$L$15,9,0)*$M32*R$7</f>
        <v>0</v>
      </c>
      <c r="S32" s="175">
        <f>HLOOKUP(YEAR($B32),'Factor Proy'!$C$4:$L$15,9,0)*$M32*S$7</f>
        <v>0</v>
      </c>
      <c r="T32" s="175">
        <f t="shared" si="6"/>
        <v>7151267.2027999992</v>
      </c>
      <c r="U32" s="175">
        <f t="shared" si="7"/>
        <v>6162429.7000000002</v>
      </c>
      <c r="V32" s="175">
        <f>IF($U32&lt;=HLOOKUP(YEAR($B32),'Ing Proyect'!$B$6:$G$7,2,0)*20,0,$U32*V$7)</f>
        <v>0</v>
      </c>
      <c r="W32" s="175">
        <f t="shared" si="8"/>
        <v>739491.56400000001</v>
      </c>
      <c r="X32" s="175">
        <f t="shared" si="8"/>
        <v>61624.297000000006</v>
      </c>
      <c r="Y32" s="175">
        <f>IF($U32&lt;=HLOOKUP(YEAR($B32),'Ing Proyect'!$B$6:$G$7,2,0)*20,0,HLOOKUP(YEAR($B32),'Factor Proy'!$C$4:$L$15,9,0)*$U32*Y$7)</f>
        <v>0</v>
      </c>
      <c r="Z32" s="175">
        <f>IF($U32&lt;=HLOOKUP(YEAR($B32),'Ing Proyect'!$B$6:$G$7,2,0)*20,0,HLOOKUP(YEAR($B32),'Factor Proy'!$C$4:$L$15,9,0)*$U32*Z$7)</f>
        <v>0</v>
      </c>
      <c r="AA32" s="175">
        <f>HLOOKUP(YEAR($B32),'Factor Proy'!$C$4:$L$15,9,0)*$U32*AA$7</f>
        <v>0</v>
      </c>
      <c r="AB32" s="175">
        <f t="shared" si="9"/>
        <v>801115.86100000003</v>
      </c>
      <c r="AC32" s="175">
        <f t="shared" si="10"/>
        <v>7952383.0637999997</v>
      </c>
      <c r="AD32" s="175">
        <f t="shared" si="11"/>
        <v>92447042.863800019</v>
      </c>
      <c r="AE32" s="175">
        <f t="shared" si="12"/>
        <v>84494659.800000012</v>
      </c>
      <c r="AF32" s="359">
        <f t="shared" si="13"/>
        <v>7952383.0637999997</v>
      </c>
      <c r="AG32" s="359">
        <f t="shared" si="14"/>
        <v>0</v>
      </c>
      <c r="AH32" s="175">
        <f>ROUND((Factor!$D$13/1)*1*SUM(E32:F32),0)</f>
        <v>1088696</v>
      </c>
      <c r="AI32" s="175">
        <f t="shared" si="15"/>
        <v>8894439</v>
      </c>
    </row>
    <row r="33" spans="1:35" x14ac:dyDescent="0.35">
      <c r="A33" s="18">
        <v>24</v>
      </c>
      <c r="B33" s="184">
        <v>42735</v>
      </c>
      <c r="C33" s="175">
        <f>SUMIF('RF 2016'!$D$10:$D$20,$C$4,'RF 2016'!$O$10:$O$20)</f>
        <v>22811400</v>
      </c>
      <c r="D33" s="175">
        <f>SUMIF('RV 2016'!$E$7:$M$7,$C$4,'RV 2016'!$E$33:$M$33)</f>
        <v>24705325.600000001</v>
      </c>
      <c r="E33" s="175">
        <f>SUMIF('RF 2016'!$D$22:$D$25,$C$4,'RF 2016'!$O$22:$O$25)</f>
        <v>3001500</v>
      </c>
      <c r="F33" s="175">
        <f>SUMIF('RV 2016'!$N$7:$O$7,$C$4,'RV 2016'!$N$33:$O$33)</f>
        <v>3160929.7</v>
      </c>
      <c r="G33" s="175">
        <f>IF(B33=MAX($B$9:$B$69),AI32+AH33,ROUND(IF(OR(MONTH($B33)=6,MONTH($B33)=12)=TRUE,(Factor!$C$9/2)*12*SUM(E33:F33),IF(MONTH($B33)=1,(Factor!$C$10*12)*SUM(E32:F32)*112%,0))+ROUND(IF(AND(MONTH($B33)=12,YEAR($B33)=2019)=TRUE,(Factor!$C$10*12)*SUM(E33:F33)*112%,0),0),0))*0+ROUND(IF(OR(MONTH($B33)=6,MONTH($B33)=12)=TRUE,(Factor!$C$9/2)*12*SUM(E33:F33),IF(MONTH($B33)=1,(Factor!$C$10*12)*SUM(E32:F32)*112%,0)),0)</f>
        <v>3081215</v>
      </c>
      <c r="H33" s="175">
        <f t="shared" si="4"/>
        <v>56760370.300000004</v>
      </c>
      <c r="I33" s="175">
        <f>SUMIF('RF 2016'!$D$10:$D$25,$I$4,'RF 2016'!$O$10:$O$25)</f>
        <v>16541600</v>
      </c>
      <c r="J33" s="175">
        <f>SUMIF('RV 2016'!$E$7:$O$7,$I$4,'RV 2016'!$E$33:$O$33)</f>
        <v>14273904.5</v>
      </c>
      <c r="K33" s="175">
        <f t="shared" si="1"/>
        <v>30815504.5</v>
      </c>
      <c r="L33" s="175">
        <f t="shared" si="5"/>
        <v>87575874.800000012</v>
      </c>
      <c r="M33" s="175">
        <f t="shared" si="2"/>
        <v>33261707.919999998</v>
      </c>
      <c r="N33" s="175">
        <f t="shared" si="16"/>
        <v>2827245.1732000001</v>
      </c>
      <c r="O33" s="175">
        <f t="shared" si="16"/>
        <v>3991404.9503999995</v>
      </c>
      <c r="P33" s="175">
        <f t="shared" si="16"/>
        <v>332617.07919999998</v>
      </c>
      <c r="Q33" s="175">
        <f>HLOOKUP(YEAR($B33),'Factor Proy'!$C$4:$L$15,9,0)*$M33*Q$7</f>
        <v>0</v>
      </c>
      <c r="R33" s="175">
        <f>HLOOKUP(YEAR($B33),'Factor Proy'!$C$4:$L$15,9,0)*$M33*R$7</f>
        <v>0</v>
      </c>
      <c r="S33" s="175">
        <f>HLOOKUP(YEAR($B33),'Factor Proy'!$C$4:$L$15,9,0)*$M33*S$7</f>
        <v>0</v>
      </c>
      <c r="T33" s="175">
        <f t="shared" si="6"/>
        <v>7151267.2027999992</v>
      </c>
      <c r="U33" s="175">
        <f t="shared" si="7"/>
        <v>6162429.7000000002</v>
      </c>
      <c r="V33" s="175">
        <f>IF($U33&lt;=HLOOKUP(YEAR($B33),'Ing Proyect'!$B$6:$G$7,2,0)*20,0,$U33*V$7)</f>
        <v>0</v>
      </c>
      <c r="W33" s="175">
        <f t="shared" si="8"/>
        <v>739491.56400000001</v>
      </c>
      <c r="X33" s="175">
        <f t="shared" si="8"/>
        <v>61624.297000000006</v>
      </c>
      <c r="Y33" s="175">
        <f>IF($U33&lt;=HLOOKUP(YEAR($B33),'Ing Proyect'!$B$6:$G$7,2,0)*20,0,HLOOKUP(YEAR($B33),'Factor Proy'!$C$4:$L$15,9,0)*$U33*Y$7)</f>
        <v>0</v>
      </c>
      <c r="Z33" s="175">
        <f>IF($U33&lt;=HLOOKUP(YEAR($B33),'Ing Proyect'!$B$6:$G$7,2,0)*20,0,HLOOKUP(YEAR($B33),'Factor Proy'!$C$4:$L$15,9,0)*$U33*Z$7)</f>
        <v>0</v>
      </c>
      <c r="AA33" s="175">
        <f>HLOOKUP(YEAR($B33),'Factor Proy'!$C$4:$L$15,9,0)*$U33*AA$7</f>
        <v>0</v>
      </c>
      <c r="AB33" s="175">
        <f t="shared" si="9"/>
        <v>801115.86100000003</v>
      </c>
      <c r="AC33" s="175">
        <f t="shared" si="10"/>
        <v>7952383.0637999997</v>
      </c>
      <c r="AD33" s="175">
        <f t="shared" si="11"/>
        <v>95528257.863800019</v>
      </c>
      <c r="AE33" s="175">
        <f t="shared" si="12"/>
        <v>84494659.800000012</v>
      </c>
      <c r="AF33" s="359">
        <f t="shared" si="13"/>
        <v>7952383.0637999997</v>
      </c>
      <c r="AG33" s="359">
        <f t="shared" si="14"/>
        <v>3081215</v>
      </c>
      <c r="AH33" s="175">
        <f>ROUND((Factor!$D$13/1)*1*SUM(E33:F33),0)</f>
        <v>1088696</v>
      </c>
      <c r="AI33" s="175">
        <f t="shared" si="15"/>
        <v>6901920</v>
      </c>
    </row>
    <row r="34" spans="1:35" x14ac:dyDescent="0.35">
      <c r="A34" s="18">
        <v>25</v>
      </c>
      <c r="B34" s="184">
        <v>42766</v>
      </c>
      <c r="C34" s="175">
        <f>SUMIF('RF 2017'!$D$10:$D$20,$C$4,'RF 2017'!$O$10:$O$20)</f>
        <v>24567600</v>
      </c>
      <c r="D34" s="175">
        <f>SUMIF('RV 2017'!$E$7:$M$7,$C$4,'RV 2017'!$E$33:$M$33)</f>
        <v>26684734.700000003</v>
      </c>
      <c r="E34" s="175">
        <f>SUMIF('RF 2017'!$D$22:$D$25,$C$4,'RF 2017'!$O$22:$O$25)</f>
        <v>3123000</v>
      </c>
      <c r="F34" s="175">
        <f>SUMIF('RV 2017'!$N$7:$O$7,$C$4,'RV 2017'!$N$33:$O$33)</f>
        <v>3619609</v>
      </c>
      <c r="G34" s="175">
        <f>IF(B34=MAX($B$9:$B$69),AI33+AH34,ROUND(IF(OR(MONTH($B34)=6,MONTH($B34)=12)=TRUE,(Factor!$C$9/2)*12*SUM(E34:F34),IF(MONTH($B34)=1,(Factor!$C$10*12)*SUM(E33:F33)*112%,0))+ROUND(IF(AND(MONTH($B34)=12,YEAR($B34)=2019)=TRUE,(Factor!$C$10*12)*SUM(E34:F34)*112%,0),0),0))*0+ROUND(IF(OR(MONTH($B34)=6,MONTH($B34)=12)=TRUE,(Factor!$C$9/2)*12*SUM(E34:F34),IF(MONTH($B34)=1,(Factor!$C$10*12)*SUM(E33:F33)*112%,0)),0)</f>
        <v>6901921</v>
      </c>
      <c r="H34" s="175">
        <f t="shared" si="4"/>
        <v>64896864.700000003</v>
      </c>
      <c r="I34" s="175">
        <f>SUMIF('RF 2017'!$D$10:$D$25,$I$4,'RF 2017'!$O$10:$O$25)</f>
        <v>21861000</v>
      </c>
      <c r="J34" s="175">
        <f>SUMIF('RV 2017'!$E$7:$O$7,$I$4,'RV 2017'!$E$33:$O$33)</f>
        <v>18267254.5</v>
      </c>
      <c r="K34" s="175">
        <f t="shared" si="1"/>
        <v>40128254.5</v>
      </c>
      <c r="L34" s="175">
        <f t="shared" si="5"/>
        <v>105025119.2</v>
      </c>
      <c r="M34" s="175">
        <f t="shared" si="2"/>
        <v>35876634.289999999</v>
      </c>
      <c r="N34" s="175">
        <f t="shared" si="16"/>
        <v>3049513.9146500002</v>
      </c>
      <c r="O34" s="175">
        <f t="shared" si="16"/>
        <v>4305196.1147999996</v>
      </c>
      <c r="P34" s="175">
        <f t="shared" si="16"/>
        <v>358766.34289999999</v>
      </c>
      <c r="Q34" s="175">
        <f>HLOOKUP(YEAR($B34),'Factor Proy'!$C$4:$L$15,9,0)*$M34*Q$7</f>
        <v>179383.17144999999</v>
      </c>
      <c r="R34" s="175">
        <f>HLOOKUP(YEAR($B34),'Factor Proy'!$C$4:$L$15,9,0)*$M34*R$7</f>
        <v>269074.75717499998</v>
      </c>
      <c r="S34" s="175">
        <f>HLOOKUP(YEAR($B34),'Factor Proy'!$C$4:$L$15,9,0)*$M34*S$7</f>
        <v>358766.34289999999</v>
      </c>
      <c r="T34" s="175">
        <f t="shared" si="6"/>
        <v>8520700.6438749991</v>
      </c>
      <c r="U34" s="175">
        <f t="shared" si="7"/>
        <v>6742609</v>
      </c>
      <c r="V34" s="175">
        <f>IF($U34&lt;=HLOOKUP(YEAR($B34),'Ing Proyect'!$B$6:$G$7,2,0)*20,0,$U34*V$7)</f>
        <v>0</v>
      </c>
      <c r="W34" s="175">
        <f t="shared" si="8"/>
        <v>809113.08</v>
      </c>
      <c r="X34" s="175">
        <f t="shared" si="8"/>
        <v>67426.09</v>
      </c>
      <c r="Y34" s="175">
        <f>IF($U34&lt;=HLOOKUP(YEAR($B34),'Ing Proyect'!$B$6:$G$7,2,0)*20,0,HLOOKUP(YEAR($B34),'Factor Proy'!$C$4:$L$15,9,0)*$U34*Y$7)</f>
        <v>0</v>
      </c>
      <c r="Z34" s="175">
        <f>IF($U34&lt;=HLOOKUP(YEAR($B34),'Ing Proyect'!$B$6:$G$7,2,0)*20,0,HLOOKUP(YEAR($B34),'Factor Proy'!$C$4:$L$15,9,0)*$U34*Z$7)</f>
        <v>0</v>
      </c>
      <c r="AA34" s="175">
        <f>HLOOKUP(YEAR($B34),'Factor Proy'!$C$4:$L$15,9,0)*$U34*AA$7</f>
        <v>67426.09</v>
      </c>
      <c r="AB34" s="175">
        <f t="shared" si="9"/>
        <v>943965.25999999989</v>
      </c>
      <c r="AC34" s="175">
        <f t="shared" si="10"/>
        <v>9464665.9038749989</v>
      </c>
      <c r="AD34" s="175">
        <f t="shared" si="11"/>
        <v>114489785.103875</v>
      </c>
      <c r="AE34" s="175">
        <f t="shared" si="12"/>
        <v>98123198.200000003</v>
      </c>
      <c r="AF34" s="359">
        <f t="shared" si="13"/>
        <v>9464665.9038749989</v>
      </c>
      <c r="AG34" s="359">
        <f t="shared" si="14"/>
        <v>6901921</v>
      </c>
      <c r="AH34" s="175">
        <f>ROUND((Factor!$D$13/1)*1*SUM(E34:F34),0)</f>
        <v>1191194</v>
      </c>
      <c r="AI34" s="175">
        <f t="shared" si="15"/>
        <v>1191193</v>
      </c>
    </row>
    <row r="35" spans="1:35" x14ac:dyDescent="0.35">
      <c r="A35" s="18">
        <v>26</v>
      </c>
      <c r="B35" s="184">
        <v>42794</v>
      </c>
      <c r="C35" s="175">
        <f>SUMIF('RF 2017'!$D$10:$D$20,$C$4,'RF 2017'!$O$10:$O$20)</f>
        <v>24567600</v>
      </c>
      <c r="D35" s="175">
        <f>SUMIF('RV 2017'!$E$7:$M$7,$C$4,'RV 2017'!$E$33:$M$33)</f>
        <v>26684734.700000003</v>
      </c>
      <c r="E35" s="175">
        <f>SUMIF('RF 2017'!$D$22:$D$25,$C$4,'RF 2017'!$O$22:$O$25)</f>
        <v>3123000</v>
      </c>
      <c r="F35" s="175">
        <f>SUMIF('RV 2017'!$N$7:$O$7,$C$4,'RV 2017'!$N$33:$O$33)</f>
        <v>3619609</v>
      </c>
      <c r="G35" s="175">
        <f>IF(B35=MAX($B$9:$B$69),AI34+AH35,ROUND(IF(OR(MONTH($B35)=6,MONTH($B35)=12)=TRUE,(Factor!$C$9/2)*12*SUM(E35:F35),IF(MONTH($B35)=1,(Factor!$C$10*12)*SUM(E34:F34)*112%,0))+ROUND(IF(AND(MONTH($B35)=12,YEAR($B35)=2019)=TRUE,(Factor!$C$10*12)*SUM(E35:F35)*112%,0),0),0))*0+ROUND(IF(OR(MONTH($B35)=6,MONTH($B35)=12)=TRUE,(Factor!$C$9/2)*12*SUM(E35:F35),IF(MONTH($B35)=1,(Factor!$C$10*12)*SUM(E34:F34)*112%,0)),0)</f>
        <v>0</v>
      </c>
      <c r="H35" s="175">
        <f t="shared" si="4"/>
        <v>57994943.700000003</v>
      </c>
      <c r="I35" s="175">
        <f>SUMIF('RF 2017'!$D$10:$D$25,$I$4,'RF 2017'!$O$10:$O$25)</f>
        <v>21861000</v>
      </c>
      <c r="J35" s="175">
        <f>SUMIF('RV 2017'!$E$7:$O$7,$I$4,'RV 2017'!$E$33:$O$33)</f>
        <v>18267254.5</v>
      </c>
      <c r="K35" s="175">
        <f t="shared" si="1"/>
        <v>40128254.5</v>
      </c>
      <c r="L35" s="175">
        <f t="shared" si="5"/>
        <v>98123198.200000003</v>
      </c>
      <c r="M35" s="175">
        <f t="shared" si="2"/>
        <v>35876634.289999999</v>
      </c>
      <c r="N35" s="175">
        <f t="shared" si="16"/>
        <v>3049513.9146500002</v>
      </c>
      <c r="O35" s="175">
        <f t="shared" si="16"/>
        <v>4305196.1147999996</v>
      </c>
      <c r="P35" s="175">
        <f t="shared" si="16"/>
        <v>358766.34289999999</v>
      </c>
      <c r="Q35" s="175">
        <f>HLOOKUP(YEAR($B35),'Factor Proy'!$C$4:$L$15,9,0)*$M35*Q$7</f>
        <v>179383.17144999999</v>
      </c>
      <c r="R35" s="175">
        <f>HLOOKUP(YEAR($B35),'Factor Proy'!$C$4:$L$15,9,0)*$M35*R$7</f>
        <v>269074.75717499998</v>
      </c>
      <c r="S35" s="175">
        <f>HLOOKUP(YEAR($B35),'Factor Proy'!$C$4:$L$15,9,0)*$M35*S$7</f>
        <v>358766.34289999999</v>
      </c>
      <c r="T35" s="175">
        <f t="shared" si="6"/>
        <v>8520700.6438749991</v>
      </c>
      <c r="U35" s="175">
        <f t="shared" si="7"/>
        <v>6742609</v>
      </c>
      <c r="V35" s="175">
        <f>IF($U35&lt;=HLOOKUP(YEAR($B35),'Ing Proyect'!$B$6:$G$7,2,0)*20,0,$U35*V$7)</f>
        <v>0</v>
      </c>
      <c r="W35" s="175">
        <f t="shared" si="8"/>
        <v>809113.08</v>
      </c>
      <c r="X35" s="175">
        <f t="shared" si="8"/>
        <v>67426.09</v>
      </c>
      <c r="Y35" s="175">
        <f>IF($U35&lt;=HLOOKUP(YEAR($B35),'Ing Proyect'!$B$6:$G$7,2,0)*20,0,HLOOKUP(YEAR($B35),'Factor Proy'!$C$4:$L$15,9,0)*$U35*Y$7)</f>
        <v>0</v>
      </c>
      <c r="Z35" s="175">
        <f>IF($U35&lt;=HLOOKUP(YEAR($B35),'Ing Proyect'!$B$6:$G$7,2,0)*20,0,HLOOKUP(YEAR($B35),'Factor Proy'!$C$4:$L$15,9,0)*$U35*Z$7)</f>
        <v>0</v>
      </c>
      <c r="AA35" s="175">
        <f>HLOOKUP(YEAR($B35),'Factor Proy'!$C$4:$L$15,9,0)*$U35*AA$7</f>
        <v>67426.09</v>
      </c>
      <c r="AB35" s="175">
        <f t="shared" si="9"/>
        <v>943965.25999999989</v>
      </c>
      <c r="AC35" s="175">
        <f t="shared" si="10"/>
        <v>9464665.9038749989</v>
      </c>
      <c r="AD35" s="175">
        <f t="shared" si="11"/>
        <v>107587864.103875</v>
      </c>
      <c r="AE35" s="175">
        <f t="shared" si="12"/>
        <v>98123198.200000003</v>
      </c>
      <c r="AF35" s="359">
        <f t="shared" si="13"/>
        <v>9464665.9038749989</v>
      </c>
      <c r="AG35" s="359">
        <f t="shared" si="14"/>
        <v>0</v>
      </c>
      <c r="AH35" s="175">
        <f>ROUND((Factor!$D$13/1)*1*SUM(E35:F35),0)</f>
        <v>1191194</v>
      </c>
      <c r="AI35" s="175">
        <f t="shared" si="15"/>
        <v>2382387</v>
      </c>
    </row>
    <row r="36" spans="1:35" x14ac:dyDescent="0.35">
      <c r="A36" s="18">
        <v>27</v>
      </c>
      <c r="B36" s="184">
        <v>42825</v>
      </c>
      <c r="C36" s="175">
        <f>SUMIF('RF 2017'!$D$10:$D$20,$C$4,'RF 2017'!$O$10:$O$20)</f>
        <v>24567600</v>
      </c>
      <c r="D36" s="175">
        <f>SUMIF('RV 2017'!$E$7:$M$7,$C$4,'RV 2017'!$E$33:$M$33)</f>
        <v>26684734.700000003</v>
      </c>
      <c r="E36" s="175">
        <f>SUMIF('RF 2017'!$D$22:$D$25,$C$4,'RF 2017'!$O$22:$O$25)</f>
        <v>3123000</v>
      </c>
      <c r="F36" s="175">
        <f>SUMIF('RV 2017'!$N$7:$O$7,$C$4,'RV 2017'!$N$33:$O$33)</f>
        <v>3619609</v>
      </c>
      <c r="G36" s="175">
        <f>IF(B36=MAX($B$9:$B$69),AI35+AH36,ROUND(IF(OR(MONTH($B36)=6,MONTH($B36)=12)=TRUE,(Factor!$C$9/2)*12*SUM(E36:F36),IF(MONTH($B36)=1,(Factor!$C$10*12)*SUM(E35:F35)*112%,0))+ROUND(IF(AND(MONTH($B36)=12,YEAR($B36)=2019)=TRUE,(Factor!$C$10*12)*SUM(E36:F36)*112%,0),0),0))*0+ROUND(IF(OR(MONTH($B36)=6,MONTH($B36)=12)=TRUE,(Factor!$C$9/2)*12*SUM(E36:F36),IF(MONTH($B36)=1,(Factor!$C$10*12)*SUM(E35:F35)*112%,0)),0)</f>
        <v>0</v>
      </c>
      <c r="H36" s="175">
        <f t="shared" si="4"/>
        <v>57994943.700000003</v>
      </c>
      <c r="I36" s="175">
        <f>SUMIF('RF 2017'!$D$10:$D$25,$I$4,'RF 2017'!$O$10:$O$25)</f>
        <v>21861000</v>
      </c>
      <c r="J36" s="175">
        <f>SUMIF('RV 2017'!$E$7:$O$7,$I$4,'RV 2017'!$E$33:$O$33)</f>
        <v>18267254.5</v>
      </c>
      <c r="K36" s="175">
        <f t="shared" si="1"/>
        <v>40128254.5</v>
      </c>
      <c r="L36" s="175">
        <f t="shared" si="5"/>
        <v>98123198.200000003</v>
      </c>
      <c r="M36" s="175">
        <f t="shared" si="2"/>
        <v>35876634.289999999</v>
      </c>
      <c r="N36" s="175">
        <f t="shared" si="16"/>
        <v>3049513.9146500002</v>
      </c>
      <c r="O36" s="175">
        <f t="shared" si="16"/>
        <v>4305196.1147999996</v>
      </c>
      <c r="P36" s="175">
        <f t="shared" si="16"/>
        <v>358766.34289999999</v>
      </c>
      <c r="Q36" s="175">
        <f>HLOOKUP(YEAR($B36),'Factor Proy'!$C$4:$L$15,9,0)*$M36*Q$7</f>
        <v>179383.17144999999</v>
      </c>
      <c r="R36" s="175">
        <f>HLOOKUP(YEAR($B36),'Factor Proy'!$C$4:$L$15,9,0)*$M36*R$7</f>
        <v>269074.75717499998</v>
      </c>
      <c r="S36" s="175">
        <f>HLOOKUP(YEAR($B36),'Factor Proy'!$C$4:$L$15,9,0)*$M36*S$7</f>
        <v>358766.34289999999</v>
      </c>
      <c r="T36" s="175">
        <f t="shared" si="6"/>
        <v>8520700.6438749991</v>
      </c>
      <c r="U36" s="175">
        <f t="shared" si="7"/>
        <v>6742609</v>
      </c>
      <c r="V36" s="175">
        <f>IF($U36&lt;=HLOOKUP(YEAR($B36),'Ing Proyect'!$B$6:$G$7,2,0)*20,0,$U36*V$7)</f>
        <v>0</v>
      </c>
      <c r="W36" s="175">
        <f t="shared" si="8"/>
        <v>809113.08</v>
      </c>
      <c r="X36" s="175">
        <f t="shared" si="8"/>
        <v>67426.09</v>
      </c>
      <c r="Y36" s="175">
        <f>IF($U36&lt;=HLOOKUP(YEAR($B36),'Ing Proyect'!$B$6:$G$7,2,0)*20,0,HLOOKUP(YEAR($B36),'Factor Proy'!$C$4:$L$15,9,0)*$U36*Y$7)</f>
        <v>0</v>
      </c>
      <c r="Z36" s="175">
        <f>IF($U36&lt;=HLOOKUP(YEAR($B36),'Ing Proyect'!$B$6:$G$7,2,0)*20,0,HLOOKUP(YEAR($B36),'Factor Proy'!$C$4:$L$15,9,0)*$U36*Z$7)</f>
        <v>0</v>
      </c>
      <c r="AA36" s="175">
        <f>HLOOKUP(YEAR($B36),'Factor Proy'!$C$4:$L$15,9,0)*$U36*AA$7</f>
        <v>67426.09</v>
      </c>
      <c r="AB36" s="175">
        <f t="shared" si="9"/>
        <v>943965.25999999989</v>
      </c>
      <c r="AC36" s="175">
        <f t="shared" si="10"/>
        <v>9464665.9038749989</v>
      </c>
      <c r="AD36" s="175">
        <f t="shared" si="11"/>
        <v>107587864.103875</v>
      </c>
      <c r="AE36" s="175">
        <f t="shared" si="12"/>
        <v>98123198.200000003</v>
      </c>
      <c r="AF36" s="359">
        <f t="shared" si="13"/>
        <v>9464665.9038749989</v>
      </c>
      <c r="AG36" s="359">
        <f t="shared" si="14"/>
        <v>0</v>
      </c>
      <c r="AH36" s="175">
        <f>ROUND((Factor!$D$13/1)*1*SUM(E36:F36),0)</f>
        <v>1191194</v>
      </c>
      <c r="AI36" s="175">
        <f t="shared" si="15"/>
        <v>3573581</v>
      </c>
    </row>
    <row r="37" spans="1:35" x14ac:dyDescent="0.35">
      <c r="A37" s="18">
        <v>28</v>
      </c>
      <c r="B37" s="184">
        <v>42855</v>
      </c>
      <c r="C37" s="175">
        <f>SUMIF('RF 2017'!$D$10:$D$20,$C$4,'RF 2017'!$O$10:$O$20)</f>
        <v>24567600</v>
      </c>
      <c r="D37" s="175">
        <f>SUMIF('RV 2017'!$E$7:$M$7,$C$4,'RV 2017'!$E$33:$M$33)</f>
        <v>26684734.700000003</v>
      </c>
      <c r="E37" s="175">
        <f>SUMIF('RF 2017'!$D$22:$D$25,$C$4,'RF 2017'!$O$22:$O$25)</f>
        <v>3123000</v>
      </c>
      <c r="F37" s="175">
        <f>SUMIF('RV 2017'!$N$7:$O$7,$C$4,'RV 2017'!$N$33:$O$33)</f>
        <v>3619609</v>
      </c>
      <c r="G37" s="175">
        <f>IF(B37=MAX($B$9:$B$69),AI36+AH37,ROUND(IF(OR(MONTH($B37)=6,MONTH($B37)=12)=TRUE,(Factor!$C$9/2)*12*SUM(E37:F37),IF(MONTH($B37)=1,(Factor!$C$10*12)*SUM(E36:F36)*112%,0))+ROUND(IF(AND(MONTH($B37)=12,YEAR($B37)=2019)=TRUE,(Factor!$C$10*12)*SUM(E37:F37)*112%,0),0),0))*0+ROUND(IF(OR(MONTH($B37)=6,MONTH($B37)=12)=TRUE,(Factor!$C$9/2)*12*SUM(E37:F37),IF(MONTH($B37)=1,(Factor!$C$10*12)*SUM(E36:F36)*112%,0)),0)</f>
        <v>0</v>
      </c>
      <c r="H37" s="175">
        <f t="shared" si="4"/>
        <v>57994943.700000003</v>
      </c>
      <c r="I37" s="175">
        <f>SUMIF('RF 2017'!$D$10:$D$25,$I$4,'RF 2017'!$O$10:$O$25)</f>
        <v>21861000</v>
      </c>
      <c r="J37" s="175">
        <f>SUMIF('RV 2017'!$E$7:$O$7,$I$4,'RV 2017'!$E$33:$O$33)</f>
        <v>18267254.5</v>
      </c>
      <c r="K37" s="175">
        <f t="shared" si="1"/>
        <v>40128254.5</v>
      </c>
      <c r="L37" s="175">
        <f t="shared" si="5"/>
        <v>98123198.200000003</v>
      </c>
      <c r="M37" s="175">
        <f t="shared" si="2"/>
        <v>35876634.289999999</v>
      </c>
      <c r="N37" s="175">
        <f t="shared" si="16"/>
        <v>3049513.9146500002</v>
      </c>
      <c r="O37" s="175">
        <f t="shared" si="16"/>
        <v>4305196.1147999996</v>
      </c>
      <c r="P37" s="175">
        <f t="shared" si="16"/>
        <v>358766.34289999999</v>
      </c>
      <c r="Q37" s="175">
        <f>HLOOKUP(YEAR($B37),'Factor Proy'!$C$4:$L$15,9,0)*$M37*Q$7</f>
        <v>179383.17144999999</v>
      </c>
      <c r="R37" s="175">
        <f>HLOOKUP(YEAR($B37),'Factor Proy'!$C$4:$L$15,9,0)*$M37*R$7</f>
        <v>269074.75717499998</v>
      </c>
      <c r="S37" s="175">
        <f>HLOOKUP(YEAR($B37),'Factor Proy'!$C$4:$L$15,9,0)*$M37*S$7</f>
        <v>358766.34289999999</v>
      </c>
      <c r="T37" s="175">
        <f t="shared" si="6"/>
        <v>8520700.6438749991</v>
      </c>
      <c r="U37" s="175">
        <f t="shared" si="7"/>
        <v>6742609</v>
      </c>
      <c r="V37" s="175">
        <f>IF($U37&lt;=HLOOKUP(YEAR($B37),'Ing Proyect'!$B$6:$G$7,2,0)*20,0,$U37*V$7)</f>
        <v>0</v>
      </c>
      <c r="W37" s="175">
        <f t="shared" si="8"/>
        <v>809113.08</v>
      </c>
      <c r="X37" s="175">
        <f t="shared" si="8"/>
        <v>67426.09</v>
      </c>
      <c r="Y37" s="175">
        <f>IF($U37&lt;=HLOOKUP(YEAR($B37),'Ing Proyect'!$B$6:$G$7,2,0)*20,0,HLOOKUP(YEAR($B37),'Factor Proy'!$C$4:$L$15,9,0)*$U37*Y$7)</f>
        <v>0</v>
      </c>
      <c r="Z37" s="175">
        <f>IF($U37&lt;=HLOOKUP(YEAR($B37),'Ing Proyect'!$B$6:$G$7,2,0)*20,0,HLOOKUP(YEAR($B37),'Factor Proy'!$C$4:$L$15,9,0)*$U37*Z$7)</f>
        <v>0</v>
      </c>
      <c r="AA37" s="175">
        <f>HLOOKUP(YEAR($B37),'Factor Proy'!$C$4:$L$15,9,0)*$U37*AA$7</f>
        <v>67426.09</v>
      </c>
      <c r="AB37" s="175">
        <f t="shared" si="9"/>
        <v>943965.25999999989</v>
      </c>
      <c r="AC37" s="175">
        <f t="shared" si="10"/>
        <v>9464665.9038749989</v>
      </c>
      <c r="AD37" s="175">
        <f t="shared" si="11"/>
        <v>107587864.103875</v>
      </c>
      <c r="AE37" s="175">
        <f t="shared" si="12"/>
        <v>98123198.200000003</v>
      </c>
      <c r="AF37" s="359">
        <f t="shared" si="13"/>
        <v>9464665.9038749989</v>
      </c>
      <c r="AG37" s="359">
        <f t="shared" si="14"/>
        <v>0</v>
      </c>
      <c r="AH37" s="175">
        <f>ROUND((Factor!$D$13/1)*1*SUM(E37:F37),0)</f>
        <v>1191194</v>
      </c>
      <c r="AI37" s="175">
        <f t="shared" si="15"/>
        <v>4764775</v>
      </c>
    </row>
    <row r="38" spans="1:35" x14ac:dyDescent="0.35">
      <c r="A38" s="18">
        <v>29</v>
      </c>
      <c r="B38" s="184">
        <v>42886</v>
      </c>
      <c r="C38" s="175">
        <f>SUMIF('RF 2017'!$D$10:$D$20,$C$4,'RF 2017'!$O$10:$O$20)</f>
        <v>24567600</v>
      </c>
      <c r="D38" s="175">
        <f>SUMIF('RV 2017'!$E$7:$M$7,$C$4,'RV 2017'!$E$33:$M$33)</f>
        <v>26684734.700000003</v>
      </c>
      <c r="E38" s="175">
        <f>SUMIF('RF 2017'!$D$22:$D$25,$C$4,'RF 2017'!$O$22:$O$25)</f>
        <v>3123000</v>
      </c>
      <c r="F38" s="175">
        <f>SUMIF('RV 2017'!$N$7:$O$7,$C$4,'RV 2017'!$N$33:$O$33)</f>
        <v>3619609</v>
      </c>
      <c r="G38" s="175">
        <f>IF(B38=MAX($B$9:$B$69),AI37+AH38,ROUND(IF(OR(MONTH($B38)=6,MONTH($B38)=12)=TRUE,(Factor!$C$9/2)*12*SUM(E38:F38),IF(MONTH($B38)=1,(Factor!$C$10*12)*SUM(E37:F37)*112%,0))+ROUND(IF(AND(MONTH($B38)=12,YEAR($B38)=2019)=TRUE,(Factor!$C$10*12)*SUM(E38:F38)*112%,0),0),0))*0+ROUND(IF(OR(MONTH($B38)=6,MONTH($B38)=12)=TRUE,(Factor!$C$9/2)*12*SUM(E38:F38),IF(MONTH($B38)=1,(Factor!$C$10*12)*SUM(E37:F37)*112%,0)),0)</f>
        <v>0</v>
      </c>
      <c r="H38" s="175">
        <f t="shared" si="4"/>
        <v>57994943.700000003</v>
      </c>
      <c r="I38" s="175">
        <f>SUMIF('RF 2017'!$D$10:$D$25,$I$4,'RF 2017'!$O$10:$O$25)</f>
        <v>21861000</v>
      </c>
      <c r="J38" s="175">
        <f>SUMIF('RV 2017'!$E$7:$O$7,$I$4,'RV 2017'!$E$33:$O$33)</f>
        <v>18267254.5</v>
      </c>
      <c r="K38" s="175">
        <f t="shared" si="1"/>
        <v>40128254.5</v>
      </c>
      <c r="L38" s="175">
        <f t="shared" si="5"/>
        <v>98123198.200000003</v>
      </c>
      <c r="M38" s="175">
        <f t="shared" si="2"/>
        <v>35876634.289999999</v>
      </c>
      <c r="N38" s="175">
        <f t="shared" si="16"/>
        <v>3049513.9146500002</v>
      </c>
      <c r="O38" s="175">
        <f t="shared" si="16"/>
        <v>4305196.1147999996</v>
      </c>
      <c r="P38" s="175">
        <f t="shared" si="16"/>
        <v>358766.34289999999</v>
      </c>
      <c r="Q38" s="175">
        <f>HLOOKUP(YEAR($B38),'Factor Proy'!$C$4:$L$15,9,0)*$M38*Q$7</f>
        <v>179383.17144999999</v>
      </c>
      <c r="R38" s="175">
        <f>HLOOKUP(YEAR($B38),'Factor Proy'!$C$4:$L$15,9,0)*$M38*R$7</f>
        <v>269074.75717499998</v>
      </c>
      <c r="S38" s="175">
        <f>HLOOKUP(YEAR($B38),'Factor Proy'!$C$4:$L$15,9,0)*$M38*S$7</f>
        <v>358766.34289999999</v>
      </c>
      <c r="T38" s="175">
        <f t="shared" si="6"/>
        <v>8520700.6438749991</v>
      </c>
      <c r="U38" s="175">
        <f t="shared" si="7"/>
        <v>6742609</v>
      </c>
      <c r="V38" s="175">
        <f>IF($U38&lt;=HLOOKUP(YEAR($B38),'Ing Proyect'!$B$6:$G$7,2,0)*20,0,$U38*V$7)</f>
        <v>0</v>
      </c>
      <c r="W38" s="175">
        <f t="shared" si="8"/>
        <v>809113.08</v>
      </c>
      <c r="X38" s="175">
        <f t="shared" si="8"/>
        <v>67426.09</v>
      </c>
      <c r="Y38" s="175">
        <f>IF($U38&lt;=HLOOKUP(YEAR($B38),'Ing Proyect'!$B$6:$G$7,2,0)*20,0,HLOOKUP(YEAR($B38),'Factor Proy'!$C$4:$L$15,9,0)*$U38*Y$7)</f>
        <v>0</v>
      </c>
      <c r="Z38" s="175">
        <f>IF($U38&lt;=HLOOKUP(YEAR($B38),'Ing Proyect'!$B$6:$G$7,2,0)*20,0,HLOOKUP(YEAR($B38),'Factor Proy'!$C$4:$L$15,9,0)*$U38*Z$7)</f>
        <v>0</v>
      </c>
      <c r="AA38" s="175">
        <f>HLOOKUP(YEAR($B38),'Factor Proy'!$C$4:$L$15,9,0)*$U38*AA$7</f>
        <v>67426.09</v>
      </c>
      <c r="AB38" s="175">
        <f t="shared" si="9"/>
        <v>943965.25999999989</v>
      </c>
      <c r="AC38" s="175">
        <f t="shared" si="10"/>
        <v>9464665.9038749989</v>
      </c>
      <c r="AD38" s="175">
        <f t="shared" si="11"/>
        <v>107587864.103875</v>
      </c>
      <c r="AE38" s="175">
        <f t="shared" si="12"/>
        <v>98123198.200000003</v>
      </c>
      <c r="AF38" s="359">
        <f t="shared" si="13"/>
        <v>9464665.9038749989</v>
      </c>
      <c r="AG38" s="359">
        <f t="shared" si="14"/>
        <v>0</v>
      </c>
      <c r="AH38" s="175">
        <f>ROUND((Factor!$D$13/1)*1*SUM(E38:F38),0)</f>
        <v>1191194</v>
      </c>
      <c r="AI38" s="175">
        <f t="shared" si="15"/>
        <v>5955969</v>
      </c>
    </row>
    <row r="39" spans="1:35" x14ac:dyDescent="0.35">
      <c r="A39" s="18">
        <v>30</v>
      </c>
      <c r="B39" s="184">
        <v>42916</v>
      </c>
      <c r="C39" s="175">
        <f>SUMIF('RF 2017'!$D$10:$D$20,$C$4,'RF 2017'!$O$10:$O$20)</f>
        <v>24567600</v>
      </c>
      <c r="D39" s="175">
        <f>SUMIF('RV 2017'!$E$7:$M$7,$C$4,'RV 2017'!$E$33:$M$33)</f>
        <v>26684734.700000003</v>
      </c>
      <c r="E39" s="175">
        <f>SUMIF('RF 2017'!$D$22:$D$25,$C$4,'RF 2017'!$O$22:$O$25)</f>
        <v>3123000</v>
      </c>
      <c r="F39" s="175">
        <f>SUMIF('RV 2017'!$N$7:$O$7,$C$4,'RV 2017'!$N$33:$O$33)</f>
        <v>3619609</v>
      </c>
      <c r="G39" s="175">
        <f>IF(B39=MAX($B$9:$B$69),AI38+AH39,ROUND(IF(OR(MONTH($B39)=6,MONTH($B39)=12)=TRUE,(Factor!$C$9/2)*12*SUM(E39:F39),IF(MONTH($B39)=1,(Factor!$C$10*12)*SUM(E38:F38)*112%,0))+ROUND(IF(AND(MONTH($B39)=12,YEAR($B39)=2019)=TRUE,(Factor!$C$10*12)*SUM(E39:F39)*112%,0),0),0))*0+ROUND(IF(OR(MONTH($B39)=6,MONTH($B39)=12)=TRUE,(Factor!$C$9/2)*12*SUM(E39:F39),IF(MONTH($B39)=1,(Factor!$C$10*12)*SUM(E38:F38)*112%,0)),0)</f>
        <v>3371305</v>
      </c>
      <c r="H39" s="175">
        <f t="shared" si="4"/>
        <v>61366248.700000003</v>
      </c>
      <c r="I39" s="175">
        <f>SUMIF('RF 2017'!$D$10:$D$25,$I$4,'RF 2017'!$O$10:$O$25)</f>
        <v>21861000</v>
      </c>
      <c r="J39" s="175">
        <f>SUMIF('RV 2017'!$E$7:$O$7,$I$4,'RV 2017'!$E$33:$O$33)</f>
        <v>18267254.5</v>
      </c>
      <c r="K39" s="175">
        <f t="shared" si="1"/>
        <v>40128254.5</v>
      </c>
      <c r="L39" s="175">
        <f t="shared" si="5"/>
        <v>101494503.2</v>
      </c>
      <c r="M39" s="175">
        <f t="shared" si="2"/>
        <v>35876634.289999999</v>
      </c>
      <c r="N39" s="175">
        <f t="shared" si="16"/>
        <v>3049513.9146500002</v>
      </c>
      <c r="O39" s="175">
        <f t="shared" si="16"/>
        <v>4305196.1147999996</v>
      </c>
      <c r="P39" s="175">
        <f t="shared" si="16"/>
        <v>358766.34289999999</v>
      </c>
      <c r="Q39" s="175">
        <f>HLOOKUP(YEAR($B39),'Factor Proy'!$C$4:$L$15,9,0)*$M39*Q$7</f>
        <v>179383.17144999999</v>
      </c>
      <c r="R39" s="175">
        <f>HLOOKUP(YEAR($B39),'Factor Proy'!$C$4:$L$15,9,0)*$M39*R$7</f>
        <v>269074.75717499998</v>
      </c>
      <c r="S39" s="175">
        <f>HLOOKUP(YEAR($B39),'Factor Proy'!$C$4:$L$15,9,0)*$M39*S$7</f>
        <v>358766.34289999999</v>
      </c>
      <c r="T39" s="175">
        <f t="shared" si="6"/>
        <v>8520700.6438749991</v>
      </c>
      <c r="U39" s="175">
        <f t="shared" si="7"/>
        <v>6742609</v>
      </c>
      <c r="V39" s="175">
        <f>IF($U39&lt;=HLOOKUP(YEAR($B39),'Ing Proyect'!$B$6:$G$7,2,0)*20,0,$U39*V$7)</f>
        <v>0</v>
      </c>
      <c r="W39" s="175">
        <f t="shared" si="8"/>
        <v>809113.08</v>
      </c>
      <c r="X39" s="175">
        <f t="shared" si="8"/>
        <v>67426.09</v>
      </c>
      <c r="Y39" s="175">
        <f>IF($U39&lt;=HLOOKUP(YEAR($B39),'Ing Proyect'!$B$6:$G$7,2,0)*20,0,HLOOKUP(YEAR($B39),'Factor Proy'!$C$4:$L$15,9,0)*$U39*Y$7)</f>
        <v>0</v>
      </c>
      <c r="Z39" s="175">
        <f>IF($U39&lt;=HLOOKUP(YEAR($B39),'Ing Proyect'!$B$6:$G$7,2,0)*20,0,HLOOKUP(YEAR($B39),'Factor Proy'!$C$4:$L$15,9,0)*$U39*Z$7)</f>
        <v>0</v>
      </c>
      <c r="AA39" s="175">
        <f>HLOOKUP(YEAR($B39),'Factor Proy'!$C$4:$L$15,9,0)*$U39*AA$7</f>
        <v>67426.09</v>
      </c>
      <c r="AB39" s="175">
        <f t="shared" si="9"/>
        <v>943965.25999999989</v>
      </c>
      <c r="AC39" s="175">
        <f t="shared" si="10"/>
        <v>9464665.9038749989</v>
      </c>
      <c r="AD39" s="175">
        <f t="shared" si="11"/>
        <v>110959169.103875</v>
      </c>
      <c r="AE39" s="175">
        <f t="shared" si="12"/>
        <v>98123198.200000003</v>
      </c>
      <c r="AF39" s="359">
        <f t="shared" si="13"/>
        <v>9464665.9038749989</v>
      </c>
      <c r="AG39" s="359">
        <f t="shared" si="14"/>
        <v>3371305</v>
      </c>
      <c r="AH39" s="175">
        <f>ROUND((Factor!$D$13/1)*1*SUM(E39:F39),0)</f>
        <v>1191194</v>
      </c>
      <c r="AI39" s="175">
        <f t="shared" si="15"/>
        <v>3775858</v>
      </c>
    </row>
    <row r="40" spans="1:35" x14ac:dyDescent="0.35">
      <c r="A40" s="18">
        <v>31</v>
      </c>
      <c r="B40" s="184">
        <v>42947</v>
      </c>
      <c r="C40" s="175">
        <f>SUMIF('RF 2017'!$D$10:$D$20,$C$4,'RF 2017'!$O$10:$O$20)</f>
        <v>24567600</v>
      </c>
      <c r="D40" s="175">
        <f>SUMIF('RV 2017'!$E$7:$M$7,$C$4,'RV 2017'!$E$33:$M$33)</f>
        <v>26684734.700000003</v>
      </c>
      <c r="E40" s="175">
        <f>SUMIF('RF 2017'!$D$22:$D$25,$C$4,'RF 2017'!$O$22:$O$25)</f>
        <v>3123000</v>
      </c>
      <c r="F40" s="175">
        <f>SUMIF('RV 2017'!$N$7:$O$7,$C$4,'RV 2017'!$N$33:$O$33)</f>
        <v>3619609</v>
      </c>
      <c r="G40" s="175">
        <f>IF(B40=MAX($B$9:$B$69),AI39+AH40,ROUND(IF(OR(MONTH($B40)=6,MONTH($B40)=12)=TRUE,(Factor!$C$9/2)*12*SUM(E40:F40),IF(MONTH($B40)=1,(Factor!$C$10*12)*SUM(E39:F39)*112%,0))+ROUND(IF(AND(MONTH($B40)=12,YEAR($B40)=2019)=TRUE,(Factor!$C$10*12)*SUM(E40:F40)*112%,0),0),0))*0+ROUND(IF(OR(MONTH($B40)=6,MONTH($B40)=12)=TRUE,(Factor!$C$9/2)*12*SUM(E40:F40),IF(MONTH($B40)=1,(Factor!$C$10*12)*SUM(E39:F39)*112%,0)),0)</f>
        <v>0</v>
      </c>
      <c r="H40" s="175">
        <f t="shared" si="4"/>
        <v>57994943.700000003</v>
      </c>
      <c r="I40" s="175">
        <f>SUMIF('RF 2017'!$D$10:$D$25,$I$4,'RF 2017'!$O$10:$O$25)</f>
        <v>21861000</v>
      </c>
      <c r="J40" s="175">
        <f>SUMIF('RV 2017'!$E$7:$O$7,$I$4,'RV 2017'!$E$33:$O$33)</f>
        <v>18267254.5</v>
      </c>
      <c r="K40" s="175">
        <f t="shared" si="1"/>
        <v>40128254.5</v>
      </c>
      <c r="L40" s="175">
        <f t="shared" si="5"/>
        <v>98123198.200000003</v>
      </c>
      <c r="M40" s="175">
        <f t="shared" si="2"/>
        <v>35876634.289999999</v>
      </c>
      <c r="N40" s="175">
        <f t="shared" si="16"/>
        <v>3049513.9146500002</v>
      </c>
      <c r="O40" s="175">
        <f t="shared" si="16"/>
        <v>4305196.1147999996</v>
      </c>
      <c r="P40" s="175">
        <f t="shared" si="16"/>
        <v>358766.34289999999</v>
      </c>
      <c r="Q40" s="175">
        <f>HLOOKUP(YEAR($B40),'Factor Proy'!$C$4:$L$15,9,0)*$M40*Q$7</f>
        <v>179383.17144999999</v>
      </c>
      <c r="R40" s="175">
        <f>HLOOKUP(YEAR($B40),'Factor Proy'!$C$4:$L$15,9,0)*$M40*R$7</f>
        <v>269074.75717499998</v>
      </c>
      <c r="S40" s="175">
        <f>HLOOKUP(YEAR($B40),'Factor Proy'!$C$4:$L$15,9,0)*$M40*S$7</f>
        <v>358766.34289999999</v>
      </c>
      <c r="T40" s="175">
        <f t="shared" si="6"/>
        <v>8520700.6438749991</v>
      </c>
      <c r="U40" s="175">
        <f t="shared" si="7"/>
        <v>6742609</v>
      </c>
      <c r="V40" s="175">
        <f>IF($U40&lt;=HLOOKUP(YEAR($B40),'Ing Proyect'!$B$6:$G$7,2,0)*20,0,$U40*V$7)</f>
        <v>0</v>
      </c>
      <c r="W40" s="175">
        <f t="shared" si="8"/>
        <v>809113.08</v>
      </c>
      <c r="X40" s="175">
        <f t="shared" si="8"/>
        <v>67426.09</v>
      </c>
      <c r="Y40" s="175">
        <f>IF($U40&lt;=HLOOKUP(YEAR($B40),'Ing Proyect'!$B$6:$G$7,2,0)*20,0,HLOOKUP(YEAR($B40),'Factor Proy'!$C$4:$L$15,9,0)*$U40*Y$7)</f>
        <v>0</v>
      </c>
      <c r="Z40" s="175">
        <f>IF($U40&lt;=HLOOKUP(YEAR($B40),'Ing Proyect'!$B$6:$G$7,2,0)*20,0,HLOOKUP(YEAR($B40),'Factor Proy'!$C$4:$L$15,9,0)*$U40*Z$7)</f>
        <v>0</v>
      </c>
      <c r="AA40" s="175">
        <f>HLOOKUP(YEAR($B40),'Factor Proy'!$C$4:$L$15,9,0)*$U40*AA$7</f>
        <v>67426.09</v>
      </c>
      <c r="AB40" s="175">
        <f t="shared" si="9"/>
        <v>943965.25999999989</v>
      </c>
      <c r="AC40" s="175">
        <f t="shared" si="10"/>
        <v>9464665.9038749989</v>
      </c>
      <c r="AD40" s="175">
        <f t="shared" si="11"/>
        <v>107587864.103875</v>
      </c>
      <c r="AE40" s="175">
        <f t="shared" si="12"/>
        <v>98123198.200000003</v>
      </c>
      <c r="AF40" s="359">
        <f t="shared" si="13"/>
        <v>9464665.9038749989</v>
      </c>
      <c r="AG40" s="359">
        <f t="shared" si="14"/>
        <v>0</v>
      </c>
      <c r="AH40" s="175">
        <f>ROUND((Factor!$D$13/1)*1*SUM(E40:F40),0)</f>
        <v>1191194</v>
      </c>
      <c r="AI40" s="175">
        <f t="shared" si="15"/>
        <v>4967052</v>
      </c>
    </row>
    <row r="41" spans="1:35" x14ac:dyDescent="0.35">
      <c r="A41" s="18">
        <v>32</v>
      </c>
      <c r="B41" s="184">
        <v>42978</v>
      </c>
      <c r="C41" s="175">
        <f>SUMIF('RF 2017'!$D$10:$D$20,$C$4,'RF 2017'!$O$10:$O$20)</f>
        <v>24567600</v>
      </c>
      <c r="D41" s="175">
        <f>SUMIF('RV 2017'!$E$7:$M$7,$C$4,'RV 2017'!$E$33:$M$33)</f>
        <v>26684734.700000003</v>
      </c>
      <c r="E41" s="175">
        <f>SUMIF('RF 2017'!$D$22:$D$25,$C$4,'RF 2017'!$O$22:$O$25)</f>
        <v>3123000</v>
      </c>
      <c r="F41" s="175">
        <f>SUMIF('RV 2017'!$N$7:$O$7,$C$4,'RV 2017'!$N$33:$O$33)</f>
        <v>3619609</v>
      </c>
      <c r="G41" s="175">
        <f>IF(B41=MAX($B$9:$B$69),AI40+AH41,ROUND(IF(OR(MONTH($B41)=6,MONTH($B41)=12)=TRUE,(Factor!$C$9/2)*12*SUM(E41:F41),IF(MONTH($B41)=1,(Factor!$C$10*12)*SUM(E40:F40)*112%,0))+ROUND(IF(AND(MONTH($B41)=12,YEAR($B41)=2019)=TRUE,(Factor!$C$10*12)*SUM(E41:F41)*112%,0),0),0))*0+ROUND(IF(OR(MONTH($B41)=6,MONTH($B41)=12)=TRUE,(Factor!$C$9/2)*12*SUM(E41:F41),IF(MONTH($B41)=1,(Factor!$C$10*12)*SUM(E40:F40)*112%,0)),0)</f>
        <v>0</v>
      </c>
      <c r="H41" s="175">
        <f t="shared" si="4"/>
        <v>57994943.700000003</v>
      </c>
      <c r="I41" s="175">
        <f>SUMIF('RF 2017'!$D$10:$D$25,$I$4,'RF 2017'!$O$10:$O$25)</f>
        <v>21861000</v>
      </c>
      <c r="J41" s="175">
        <f>SUMIF('RV 2017'!$E$7:$O$7,$I$4,'RV 2017'!$E$33:$O$33)</f>
        <v>18267254.5</v>
      </c>
      <c r="K41" s="175">
        <f t="shared" ref="K41:K69" si="17">SUM(I41:J41)</f>
        <v>40128254.5</v>
      </c>
      <c r="L41" s="175">
        <f t="shared" si="5"/>
        <v>98123198.200000003</v>
      </c>
      <c r="M41" s="175">
        <f t="shared" ref="M41:M69" si="18">SUM(C41:D41)*70%</f>
        <v>35876634.289999999</v>
      </c>
      <c r="N41" s="175">
        <f t="shared" si="16"/>
        <v>3049513.9146500002</v>
      </c>
      <c r="O41" s="175">
        <f t="shared" si="16"/>
        <v>4305196.1147999996</v>
      </c>
      <c r="P41" s="175">
        <f t="shared" si="16"/>
        <v>358766.34289999999</v>
      </c>
      <c r="Q41" s="175">
        <f>HLOOKUP(YEAR($B41),'Factor Proy'!$C$4:$L$15,9,0)*$M41*Q$7</f>
        <v>179383.17144999999</v>
      </c>
      <c r="R41" s="175">
        <f>HLOOKUP(YEAR($B41),'Factor Proy'!$C$4:$L$15,9,0)*$M41*R$7</f>
        <v>269074.75717499998</v>
      </c>
      <c r="S41" s="175">
        <f>HLOOKUP(YEAR($B41),'Factor Proy'!$C$4:$L$15,9,0)*$M41*S$7</f>
        <v>358766.34289999999</v>
      </c>
      <c r="T41" s="175">
        <f t="shared" si="6"/>
        <v>8520700.6438749991</v>
      </c>
      <c r="U41" s="175">
        <f t="shared" si="7"/>
        <v>6742609</v>
      </c>
      <c r="V41" s="175">
        <f>IF($U41&lt;=HLOOKUP(YEAR($B41),'Ing Proyect'!$B$6:$G$7,2,0)*20,0,$U41*V$7)</f>
        <v>0</v>
      </c>
      <c r="W41" s="175">
        <f t="shared" si="8"/>
        <v>809113.08</v>
      </c>
      <c r="X41" s="175">
        <f t="shared" si="8"/>
        <v>67426.09</v>
      </c>
      <c r="Y41" s="175">
        <f>IF($U41&lt;=HLOOKUP(YEAR($B41),'Ing Proyect'!$B$6:$G$7,2,0)*20,0,HLOOKUP(YEAR($B41),'Factor Proy'!$C$4:$L$15,9,0)*$U41*Y$7)</f>
        <v>0</v>
      </c>
      <c r="Z41" s="175">
        <f>IF($U41&lt;=HLOOKUP(YEAR($B41),'Ing Proyect'!$B$6:$G$7,2,0)*20,0,HLOOKUP(YEAR($B41),'Factor Proy'!$C$4:$L$15,9,0)*$U41*Z$7)</f>
        <v>0</v>
      </c>
      <c r="AA41" s="175">
        <f>HLOOKUP(YEAR($B41),'Factor Proy'!$C$4:$L$15,9,0)*$U41*AA$7</f>
        <v>67426.09</v>
      </c>
      <c r="AB41" s="175">
        <f t="shared" si="9"/>
        <v>943965.25999999989</v>
      </c>
      <c r="AC41" s="175">
        <f t="shared" si="10"/>
        <v>9464665.9038749989</v>
      </c>
      <c r="AD41" s="175">
        <f t="shared" si="11"/>
        <v>107587864.103875</v>
      </c>
      <c r="AE41" s="175">
        <f t="shared" si="12"/>
        <v>98123198.200000003</v>
      </c>
      <c r="AF41" s="359">
        <f t="shared" si="13"/>
        <v>9464665.9038749989</v>
      </c>
      <c r="AG41" s="359">
        <f t="shared" si="14"/>
        <v>0</v>
      </c>
      <c r="AH41" s="175">
        <f>ROUND((Factor!$D$13/1)*1*SUM(E41:F41),0)</f>
        <v>1191194</v>
      </c>
      <c r="AI41" s="175">
        <f t="shared" si="15"/>
        <v>6158246</v>
      </c>
    </row>
    <row r="42" spans="1:35" x14ac:dyDescent="0.35">
      <c r="A42" s="18">
        <v>33</v>
      </c>
      <c r="B42" s="184">
        <v>43008</v>
      </c>
      <c r="C42" s="175">
        <f>SUMIF('RF 2017'!$D$10:$D$20,$C$4,'RF 2017'!$O$10:$O$20)</f>
        <v>24567600</v>
      </c>
      <c r="D42" s="175">
        <f>SUMIF('RV 2017'!$E$7:$M$7,$C$4,'RV 2017'!$E$33:$M$33)</f>
        <v>26684734.700000003</v>
      </c>
      <c r="E42" s="175">
        <f>SUMIF('RF 2017'!$D$22:$D$25,$C$4,'RF 2017'!$O$22:$O$25)</f>
        <v>3123000</v>
      </c>
      <c r="F42" s="175">
        <f>SUMIF('RV 2017'!$N$7:$O$7,$C$4,'RV 2017'!$N$33:$O$33)</f>
        <v>3619609</v>
      </c>
      <c r="G42" s="175">
        <f>IF(B42=MAX($B$9:$B$69),AI41+AH42,ROUND(IF(OR(MONTH($B42)=6,MONTH($B42)=12)=TRUE,(Factor!$C$9/2)*12*SUM(E42:F42),IF(MONTH($B42)=1,(Factor!$C$10*12)*SUM(E41:F41)*112%,0))+ROUND(IF(AND(MONTH($B42)=12,YEAR($B42)=2019)=TRUE,(Factor!$C$10*12)*SUM(E42:F42)*112%,0),0),0))*0+ROUND(IF(OR(MONTH($B42)=6,MONTH($B42)=12)=TRUE,(Factor!$C$9/2)*12*SUM(E42:F42),IF(MONTH($B42)=1,(Factor!$C$10*12)*SUM(E41:F41)*112%,0)),0)</f>
        <v>0</v>
      </c>
      <c r="H42" s="175">
        <f t="shared" si="4"/>
        <v>57994943.700000003</v>
      </c>
      <c r="I42" s="175">
        <f>SUMIF('RF 2017'!$D$10:$D$25,$I$4,'RF 2017'!$O$10:$O$25)</f>
        <v>21861000</v>
      </c>
      <c r="J42" s="175">
        <f>SUMIF('RV 2017'!$E$7:$O$7,$I$4,'RV 2017'!$E$33:$O$33)</f>
        <v>18267254.5</v>
      </c>
      <c r="K42" s="175">
        <f t="shared" si="17"/>
        <v>40128254.5</v>
      </c>
      <c r="L42" s="175">
        <f t="shared" si="5"/>
        <v>98123198.200000003</v>
      </c>
      <c r="M42" s="175">
        <f t="shared" si="18"/>
        <v>35876634.289999999</v>
      </c>
      <c r="N42" s="175">
        <f t="shared" si="16"/>
        <v>3049513.9146500002</v>
      </c>
      <c r="O42" s="175">
        <f t="shared" si="16"/>
        <v>4305196.1147999996</v>
      </c>
      <c r="P42" s="175">
        <f t="shared" si="16"/>
        <v>358766.34289999999</v>
      </c>
      <c r="Q42" s="175">
        <f>HLOOKUP(YEAR($B42),'Factor Proy'!$C$4:$L$15,9,0)*$M42*Q$7</f>
        <v>179383.17144999999</v>
      </c>
      <c r="R42" s="175">
        <f>HLOOKUP(YEAR($B42),'Factor Proy'!$C$4:$L$15,9,0)*$M42*R$7</f>
        <v>269074.75717499998</v>
      </c>
      <c r="S42" s="175">
        <f>HLOOKUP(YEAR($B42),'Factor Proy'!$C$4:$L$15,9,0)*$M42*S$7</f>
        <v>358766.34289999999</v>
      </c>
      <c r="T42" s="175">
        <f t="shared" si="6"/>
        <v>8520700.6438749991</v>
      </c>
      <c r="U42" s="175">
        <f t="shared" si="7"/>
        <v>6742609</v>
      </c>
      <c r="V42" s="175">
        <f>IF($U42&lt;=HLOOKUP(YEAR($B42),'Ing Proyect'!$B$6:$G$7,2,0)*20,0,$U42*V$7)</f>
        <v>0</v>
      </c>
      <c r="W42" s="175">
        <f t="shared" si="8"/>
        <v>809113.08</v>
      </c>
      <c r="X42" s="175">
        <f t="shared" si="8"/>
        <v>67426.09</v>
      </c>
      <c r="Y42" s="175">
        <f>IF($U42&lt;=HLOOKUP(YEAR($B42),'Ing Proyect'!$B$6:$G$7,2,0)*20,0,HLOOKUP(YEAR($B42),'Factor Proy'!$C$4:$L$15,9,0)*$U42*Y$7)</f>
        <v>0</v>
      </c>
      <c r="Z42" s="175">
        <f>IF($U42&lt;=HLOOKUP(YEAR($B42),'Ing Proyect'!$B$6:$G$7,2,0)*20,0,HLOOKUP(YEAR($B42),'Factor Proy'!$C$4:$L$15,9,0)*$U42*Z$7)</f>
        <v>0</v>
      </c>
      <c r="AA42" s="175">
        <f>HLOOKUP(YEAR($B42),'Factor Proy'!$C$4:$L$15,9,0)*$U42*AA$7</f>
        <v>67426.09</v>
      </c>
      <c r="AB42" s="175">
        <f t="shared" si="9"/>
        <v>943965.25999999989</v>
      </c>
      <c r="AC42" s="175">
        <f t="shared" si="10"/>
        <v>9464665.9038749989</v>
      </c>
      <c r="AD42" s="175">
        <f t="shared" si="11"/>
        <v>107587864.103875</v>
      </c>
      <c r="AE42" s="175">
        <f t="shared" si="12"/>
        <v>98123198.200000003</v>
      </c>
      <c r="AF42" s="359">
        <f t="shared" si="13"/>
        <v>9464665.9038749989</v>
      </c>
      <c r="AG42" s="359">
        <f t="shared" si="14"/>
        <v>0</v>
      </c>
      <c r="AH42" s="175">
        <f>ROUND((Factor!$D$13/1)*1*SUM(E42:F42),0)</f>
        <v>1191194</v>
      </c>
      <c r="AI42" s="175">
        <f t="shared" si="15"/>
        <v>7349440</v>
      </c>
    </row>
    <row r="43" spans="1:35" x14ac:dyDescent="0.35">
      <c r="A43" s="18">
        <v>34</v>
      </c>
      <c r="B43" s="184">
        <v>43039</v>
      </c>
      <c r="C43" s="175">
        <f>SUMIF('RF 2017'!$D$10:$D$20,$C$4,'RF 2017'!$O$10:$O$20)</f>
        <v>24567600</v>
      </c>
      <c r="D43" s="175">
        <f>SUMIF('RV 2017'!$E$7:$M$7,$C$4,'RV 2017'!$E$33:$M$33)</f>
        <v>26684734.700000003</v>
      </c>
      <c r="E43" s="175">
        <f>SUMIF('RF 2017'!$D$22:$D$25,$C$4,'RF 2017'!$O$22:$O$25)</f>
        <v>3123000</v>
      </c>
      <c r="F43" s="175">
        <f>SUMIF('RV 2017'!$N$7:$O$7,$C$4,'RV 2017'!$N$33:$O$33)</f>
        <v>3619609</v>
      </c>
      <c r="G43" s="175">
        <f>IF(B43=MAX($B$9:$B$69),AI42+AH43,ROUND(IF(OR(MONTH($B43)=6,MONTH($B43)=12)=TRUE,(Factor!$C$9/2)*12*SUM(E43:F43),IF(MONTH($B43)=1,(Factor!$C$10*12)*SUM(E42:F42)*112%,0))+ROUND(IF(AND(MONTH($B43)=12,YEAR($B43)=2019)=TRUE,(Factor!$C$10*12)*SUM(E43:F43)*112%,0),0),0))*0+ROUND(IF(OR(MONTH($B43)=6,MONTH($B43)=12)=TRUE,(Factor!$C$9/2)*12*SUM(E43:F43),IF(MONTH($B43)=1,(Factor!$C$10*12)*SUM(E42:F42)*112%,0)),0)</f>
        <v>0</v>
      </c>
      <c r="H43" s="175">
        <f t="shared" si="4"/>
        <v>57994943.700000003</v>
      </c>
      <c r="I43" s="175">
        <f>SUMIF('RF 2017'!$D$10:$D$25,$I$4,'RF 2017'!$O$10:$O$25)</f>
        <v>21861000</v>
      </c>
      <c r="J43" s="175">
        <f>SUMIF('RV 2017'!$E$7:$O$7,$I$4,'RV 2017'!$E$33:$O$33)</f>
        <v>18267254.5</v>
      </c>
      <c r="K43" s="175">
        <f t="shared" si="17"/>
        <v>40128254.5</v>
      </c>
      <c r="L43" s="175">
        <f t="shared" si="5"/>
        <v>98123198.200000003</v>
      </c>
      <c r="M43" s="175">
        <f t="shared" si="18"/>
        <v>35876634.289999999</v>
      </c>
      <c r="N43" s="175">
        <f t="shared" si="16"/>
        <v>3049513.9146500002</v>
      </c>
      <c r="O43" s="175">
        <f t="shared" si="16"/>
        <v>4305196.1147999996</v>
      </c>
      <c r="P43" s="175">
        <f t="shared" si="16"/>
        <v>358766.34289999999</v>
      </c>
      <c r="Q43" s="175">
        <f>HLOOKUP(YEAR($B43),'Factor Proy'!$C$4:$L$15,9,0)*$M43*Q$7</f>
        <v>179383.17144999999</v>
      </c>
      <c r="R43" s="175">
        <f>HLOOKUP(YEAR($B43),'Factor Proy'!$C$4:$L$15,9,0)*$M43*R$7</f>
        <v>269074.75717499998</v>
      </c>
      <c r="S43" s="175">
        <f>HLOOKUP(YEAR($B43),'Factor Proy'!$C$4:$L$15,9,0)*$M43*S$7</f>
        <v>358766.34289999999</v>
      </c>
      <c r="T43" s="175">
        <f t="shared" si="6"/>
        <v>8520700.6438749991</v>
      </c>
      <c r="U43" s="175">
        <f t="shared" si="7"/>
        <v>6742609</v>
      </c>
      <c r="V43" s="175">
        <f>IF($U43&lt;=HLOOKUP(YEAR($B43),'Ing Proyect'!$B$6:$G$7,2,0)*20,0,$U43*V$7)</f>
        <v>0</v>
      </c>
      <c r="W43" s="175">
        <f t="shared" si="8"/>
        <v>809113.08</v>
      </c>
      <c r="X43" s="175">
        <f t="shared" si="8"/>
        <v>67426.09</v>
      </c>
      <c r="Y43" s="175">
        <f>IF($U43&lt;=HLOOKUP(YEAR($B43),'Ing Proyect'!$B$6:$G$7,2,0)*20,0,HLOOKUP(YEAR($B43),'Factor Proy'!$C$4:$L$15,9,0)*$U43*Y$7)</f>
        <v>0</v>
      </c>
      <c r="Z43" s="175">
        <f>IF($U43&lt;=HLOOKUP(YEAR($B43),'Ing Proyect'!$B$6:$G$7,2,0)*20,0,HLOOKUP(YEAR($B43),'Factor Proy'!$C$4:$L$15,9,0)*$U43*Z$7)</f>
        <v>0</v>
      </c>
      <c r="AA43" s="175">
        <f>HLOOKUP(YEAR($B43),'Factor Proy'!$C$4:$L$15,9,0)*$U43*AA$7</f>
        <v>67426.09</v>
      </c>
      <c r="AB43" s="175">
        <f t="shared" si="9"/>
        <v>943965.25999999989</v>
      </c>
      <c r="AC43" s="175">
        <f t="shared" si="10"/>
        <v>9464665.9038749989</v>
      </c>
      <c r="AD43" s="175">
        <f t="shared" si="11"/>
        <v>107587864.103875</v>
      </c>
      <c r="AE43" s="175">
        <f t="shared" si="12"/>
        <v>98123198.200000003</v>
      </c>
      <c r="AF43" s="359">
        <f t="shared" si="13"/>
        <v>9464665.9038749989</v>
      </c>
      <c r="AG43" s="359">
        <f t="shared" si="14"/>
        <v>0</v>
      </c>
      <c r="AH43" s="175">
        <f>ROUND((Factor!$D$13/1)*1*SUM(E43:F43),0)</f>
        <v>1191194</v>
      </c>
      <c r="AI43" s="175">
        <f t="shared" si="15"/>
        <v>8540634</v>
      </c>
    </row>
    <row r="44" spans="1:35" x14ac:dyDescent="0.35">
      <c r="A44" s="18">
        <v>35</v>
      </c>
      <c r="B44" s="184">
        <v>43069</v>
      </c>
      <c r="C44" s="175">
        <f>SUMIF('RF 2017'!$D$10:$D$20,$C$4,'RF 2017'!$O$10:$O$20)</f>
        <v>24567600</v>
      </c>
      <c r="D44" s="175">
        <f>SUMIF('RV 2017'!$E$7:$M$7,$C$4,'RV 2017'!$E$33:$M$33)</f>
        <v>26684734.700000003</v>
      </c>
      <c r="E44" s="175">
        <f>SUMIF('RF 2017'!$D$22:$D$25,$C$4,'RF 2017'!$O$22:$O$25)</f>
        <v>3123000</v>
      </c>
      <c r="F44" s="175">
        <f>SUMIF('RV 2017'!$N$7:$O$7,$C$4,'RV 2017'!$N$33:$O$33)</f>
        <v>3619609</v>
      </c>
      <c r="G44" s="175">
        <f>IF(B44=MAX($B$9:$B$69),AI43+AH44,ROUND(IF(OR(MONTH($B44)=6,MONTH($B44)=12)=TRUE,(Factor!$C$9/2)*12*SUM(E44:F44),IF(MONTH($B44)=1,(Factor!$C$10*12)*SUM(E43:F43)*112%,0))+ROUND(IF(AND(MONTH($B44)=12,YEAR($B44)=2019)=TRUE,(Factor!$C$10*12)*SUM(E44:F44)*112%,0),0),0))*0+ROUND(IF(OR(MONTH($B44)=6,MONTH($B44)=12)=TRUE,(Factor!$C$9/2)*12*SUM(E44:F44),IF(MONTH($B44)=1,(Factor!$C$10*12)*SUM(E43:F43)*112%,0)),0)</f>
        <v>0</v>
      </c>
      <c r="H44" s="175">
        <f t="shared" si="4"/>
        <v>57994943.700000003</v>
      </c>
      <c r="I44" s="175">
        <f>SUMIF('RF 2017'!$D$10:$D$25,$I$4,'RF 2017'!$O$10:$O$25)</f>
        <v>21861000</v>
      </c>
      <c r="J44" s="175">
        <f>SUMIF('RV 2017'!$E$7:$O$7,$I$4,'RV 2017'!$E$33:$O$33)</f>
        <v>18267254.5</v>
      </c>
      <c r="K44" s="175">
        <f t="shared" si="17"/>
        <v>40128254.5</v>
      </c>
      <c r="L44" s="175">
        <f t="shared" si="5"/>
        <v>98123198.200000003</v>
      </c>
      <c r="M44" s="175">
        <f t="shared" si="18"/>
        <v>35876634.289999999</v>
      </c>
      <c r="N44" s="175">
        <f t="shared" si="16"/>
        <v>3049513.9146500002</v>
      </c>
      <c r="O44" s="175">
        <f t="shared" si="16"/>
        <v>4305196.1147999996</v>
      </c>
      <c r="P44" s="175">
        <f t="shared" si="16"/>
        <v>358766.34289999999</v>
      </c>
      <c r="Q44" s="175">
        <f>HLOOKUP(YEAR($B44),'Factor Proy'!$C$4:$L$15,9,0)*$M44*Q$7</f>
        <v>179383.17144999999</v>
      </c>
      <c r="R44" s="175">
        <f>HLOOKUP(YEAR($B44),'Factor Proy'!$C$4:$L$15,9,0)*$M44*R$7</f>
        <v>269074.75717499998</v>
      </c>
      <c r="S44" s="175">
        <f>HLOOKUP(YEAR($B44),'Factor Proy'!$C$4:$L$15,9,0)*$M44*S$7</f>
        <v>358766.34289999999</v>
      </c>
      <c r="T44" s="175">
        <f t="shared" si="6"/>
        <v>8520700.6438749991</v>
      </c>
      <c r="U44" s="175">
        <f t="shared" si="7"/>
        <v>6742609</v>
      </c>
      <c r="V44" s="175">
        <f>IF($U44&lt;=HLOOKUP(YEAR($B44),'Ing Proyect'!$B$6:$G$7,2,0)*20,0,$U44*V$7)</f>
        <v>0</v>
      </c>
      <c r="W44" s="175">
        <f t="shared" si="8"/>
        <v>809113.08</v>
      </c>
      <c r="X44" s="175">
        <f t="shared" si="8"/>
        <v>67426.09</v>
      </c>
      <c r="Y44" s="175">
        <f>IF($U44&lt;=HLOOKUP(YEAR($B44),'Ing Proyect'!$B$6:$G$7,2,0)*20,0,HLOOKUP(YEAR($B44),'Factor Proy'!$C$4:$L$15,9,0)*$U44*Y$7)</f>
        <v>0</v>
      </c>
      <c r="Z44" s="175">
        <f>IF($U44&lt;=HLOOKUP(YEAR($B44),'Ing Proyect'!$B$6:$G$7,2,0)*20,0,HLOOKUP(YEAR($B44),'Factor Proy'!$C$4:$L$15,9,0)*$U44*Z$7)</f>
        <v>0</v>
      </c>
      <c r="AA44" s="175">
        <f>HLOOKUP(YEAR($B44),'Factor Proy'!$C$4:$L$15,9,0)*$U44*AA$7</f>
        <v>67426.09</v>
      </c>
      <c r="AB44" s="175">
        <f t="shared" si="9"/>
        <v>943965.25999999989</v>
      </c>
      <c r="AC44" s="175">
        <f t="shared" si="10"/>
        <v>9464665.9038749989</v>
      </c>
      <c r="AD44" s="175">
        <f t="shared" si="11"/>
        <v>107587864.103875</v>
      </c>
      <c r="AE44" s="175">
        <f t="shared" si="12"/>
        <v>98123198.200000003</v>
      </c>
      <c r="AF44" s="359">
        <f t="shared" si="13"/>
        <v>9464665.9038749989</v>
      </c>
      <c r="AG44" s="359">
        <f t="shared" si="14"/>
        <v>0</v>
      </c>
      <c r="AH44" s="175">
        <f>ROUND((Factor!$D$13/1)*1*SUM(E44:F44),0)</f>
        <v>1191194</v>
      </c>
      <c r="AI44" s="175">
        <f t="shared" si="15"/>
        <v>9731828</v>
      </c>
    </row>
    <row r="45" spans="1:35" x14ac:dyDescent="0.35">
      <c r="A45" s="18">
        <v>36</v>
      </c>
      <c r="B45" s="184">
        <v>43100</v>
      </c>
      <c r="C45" s="175">
        <f>SUMIF('RF 2017'!$D$10:$D$20,$C$4,'RF 2017'!$O$10:$O$20)</f>
        <v>24567600</v>
      </c>
      <c r="D45" s="175">
        <f>SUMIF('RV 2017'!$E$7:$M$7,$C$4,'RV 2017'!$E$33:$M$33)</f>
        <v>26684734.700000003</v>
      </c>
      <c r="E45" s="175">
        <f>SUMIF('RF 2017'!$D$22:$D$25,$C$4,'RF 2017'!$O$22:$O$25)</f>
        <v>3123000</v>
      </c>
      <c r="F45" s="175">
        <f>SUMIF('RV 2017'!$N$7:$O$7,$C$4,'RV 2017'!$N$33:$O$33)</f>
        <v>3619609</v>
      </c>
      <c r="G45" s="175">
        <f>IF(B45=MAX($B$9:$B$69),AI44+AH45,ROUND(IF(OR(MONTH($B45)=6,MONTH($B45)=12)=TRUE,(Factor!$C$9/2)*12*SUM(E45:F45),IF(MONTH($B45)=1,(Factor!$C$10*12)*SUM(E44:F44)*112%,0))+ROUND(IF(AND(MONTH($B45)=12,YEAR($B45)=2019)=TRUE,(Factor!$C$10*12)*SUM(E45:F45)*112%,0),0),0))*0+ROUND(IF(OR(MONTH($B45)=6,MONTH($B45)=12)=TRUE,(Factor!$C$9/2)*12*SUM(E45:F45),IF(MONTH($B45)=1,(Factor!$C$10*12)*SUM(E44:F44)*112%,0)),0)</f>
        <v>3371305</v>
      </c>
      <c r="H45" s="175">
        <f t="shared" si="4"/>
        <v>61366248.700000003</v>
      </c>
      <c r="I45" s="175">
        <f>SUMIF('RF 2017'!$D$10:$D$25,$I$4,'RF 2017'!$O$10:$O$25)</f>
        <v>21861000</v>
      </c>
      <c r="J45" s="175">
        <f>SUMIF('RV 2017'!$E$7:$O$7,$I$4,'RV 2017'!$E$33:$O$33)</f>
        <v>18267254.5</v>
      </c>
      <c r="K45" s="175">
        <f t="shared" si="17"/>
        <v>40128254.5</v>
      </c>
      <c r="L45" s="175">
        <f t="shared" si="5"/>
        <v>101494503.2</v>
      </c>
      <c r="M45" s="175">
        <f t="shared" si="18"/>
        <v>35876634.289999999</v>
      </c>
      <c r="N45" s="175">
        <f t="shared" si="16"/>
        <v>3049513.9146500002</v>
      </c>
      <c r="O45" s="175">
        <f t="shared" si="16"/>
        <v>4305196.1147999996</v>
      </c>
      <c r="P45" s="175">
        <f t="shared" si="16"/>
        <v>358766.34289999999</v>
      </c>
      <c r="Q45" s="175">
        <f>HLOOKUP(YEAR($B45),'Factor Proy'!$C$4:$L$15,9,0)*$M45*Q$7</f>
        <v>179383.17144999999</v>
      </c>
      <c r="R45" s="175">
        <f>HLOOKUP(YEAR($B45),'Factor Proy'!$C$4:$L$15,9,0)*$M45*R$7</f>
        <v>269074.75717499998</v>
      </c>
      <c r="S45" s="175">
        <f>HLOOKUP(YEAR($B45),'Factor Proy'!$C$4:$L$15,9,0)*$M45*S$7</f>
        <v>358766.34289999999</v>
      </c>
      <c r="T45" s="175">
        <f t="shared" si="6"/>
        <v>8520700.6438749991</v>
      </c>
      <c r="U45" s="175">
        <f t="shared" si="7"/>
        <v>6742609</v>
      </c>
      <c r="V45" s="175">
        <f>IF($U45&lt;=HLOOKUP(YEAR($B45),'Ing Proyect'!$B$6:$G$7,2,0)*20,0,$U45*V$7)</f>
        <v>0</v>
      </c>
      <c r="W45" s="175">
        <f t="shared" si="8"/>
        <v>809113.08</v>
      </c>
      <c r="X45" s="175">
        <f t="shared" si="8"/>
        <v>67426.09</v>
      </c>
      <c r="Y45" s="175">
        <f>IF($U45&lt;=HLOOKUP(YEAR($B45),'Ing Proyect'!$B$6:$G$7,2,0)*20,0,HLOOKUP(YEAR($B45),'Factor Proy'!$C$4:$L$15,9,0)*$U45*Y$7)</f>
        <v>0</v>
      </c>
      <c r="Z45" s="175">
        <f>IF($U45&lt;=HLOOKUP(YEAR($B45),'Ing Proyect'!$B$6:$G$7,2,0)*20,0,HLOOKUP(YEAR($B45),'Factor Proy'!$C$4:$L$15,9,0)*$U45*Z$7)</f>
        <v>0</v>
      </c>
      <c r="AA45" s="175">
        <f>HLOOKUP(YEAR($B45),'Factor Proy'!$C$4:$L$15,9,0)*$U45*AA$7</f>
        <v>67426.09</v>
      </c>
      <c r="AB45" s="175">
        <f t="shared" si="9"/>
        <v>943965.25999999989</v>
      </c>
      <c r="AC45" s="175">
        <f t="shared" si="10"/>
        <v>9464665.9038749989</v>
      </c>
      <c r="AD45" s="175">
        <f t="shared" si="11"/>
        <v>110959169.103875</v>
      </c>
      <c r="AE45" s="175">
        <f t="shared" si="12"/>
        <v>98123198.200000003</v>
      </c>
      <c r="AF45" s="359">
        <f t="shared" si="13"/>
        <v>9464665.9038749989</v>
      </c>
      <c r="AG45" s="359">
        <f t="shared" si="14"/>
        <v>3371305</v>
      </c>
      <c r="AH45" s="175">
        <f>ROUND((Factor!$D$13/1)*1*SUM(E45:F45),0)</f>
        <v>1191194</v>
      </c>
      <c r="AI45" s="175">
        <f t="shared" si="15"/>
        <v>7551717</v>
      </c>
    </row>
    <row r="46" spans="1:35" x14ac:dyDescent="0.35">
      <c r="A46" s="18">
        <v>37</v>
      </c>
      <c r="B46" s="184">
        <v>43131</v>
      </c>
      <c r="C46" s="175">
        <f>SUMIF('RF 2018'!$D$10:$D$20,$C$4,'RF 2018'!$O$10:$O$20)</f>
        <v>25558800</v>
      </c>
      <c r="D46" s="175">
        <f>SUMIF('RV 2018'!$E$7:$M$7,$C$4,'RV 2018'!$E$33:$M$33)</f>
        <v>28693664.600000001</v>
      </c>
      <c r="E46" s="175">
        <f>SUMIF('RF 2018'!$D$22:$D$25,$C$4,'RF 2018'!$O$22:$O$25)</f>
        <v>3249000</v>
      </c>
      <c r="F46" s="175">
        <f>SUMIF('RV 2018'!$N$7:$O$7,$C$4,'RV 2018'!$N$33:$O$33)</f>
        <v>4147944.2</v>
      </c>
      <c r="G46" s="175">
        <f>IF(B46=MAX($B$9:$B$69),AI45+AH46,ROUND(IF(OR(MONTH($B46)=6,MONTH($B46)=12)=TRUE,(Factor!$C$9/2)*12*SUM(E46:F46),IF(MONTH($B46)=1,(Factor!$C$10*12)*SUM(E45:F45)*112%,0))+ROUND(IF(AND(MONTH($B46)=12,YEAR($B46)=2019)=TRUE,(Factor!$C$10*12)*SUM(E46:F46)*112%,0),0),0))*0+ROUND(IF(OR(MONTH($B46)=6,MONTH($B46)=12)=TRUE,(Factor!$C$9/2)*12*SUM(E46:F46),IF(MONTH($B46)=1,(Factor!$C$10*12)*SUM(E45:F45)*112%,0)),0)</f>
        <v>7551722</v>
      </c>
      <c r="H46" s="175">
        <f t="shared" si="4"/>
        <v>69201130.800000012</v>
      </c>
      <c r="I46" s="175">
        <f>SUMIF('RF 2018'!$D$10:$D$25,$I$4,'RF 2018'!$O$10:$O$25)</f>
        <v>27075000</v>
      </c>
      <c r="J46" s="175">
        <f>SUMIF('RV 2018'!$E$7:$O$7,$I$4,'RV 2018'!$E$33:$O$33)</f>
        <v>24937466.5</v>
      </c>
      <c r="K46" s="175">
        <f t="shared" si="17"/>
        <v>52012466.5</v>
      </c>
      <c r="L46" s="175">
        <f t="shared" si="5"/>
        <v>121213597.30000001</v>
      </c>
      <c r="M46" s="175">
        <f t="shared" si="18"/>
        <v>37976725.219999999</v>
      </c>
      <c r="N46" s="175">
        <f t="shared" si="16"/>
        <v>3228021.6436999999</v>
      </c>
      <c r="O46" s="175">
        <f t="shared" si="16"/>
        <v>4557207.0263999999</v>
      </c>
      <c r="P46" s="175">
        <f t="shared" si="16"/>
        <v>379767.25219999999</v>
      </c>
      <c r="Q46" s="175">
        <f>HLOOKUP(YEAR($B46),'Factor Proy'!$C$4:$L$15,9,0)*$M46*Q$7</f>
        <v>379767.25219999999</v>
      </c>
      <c r="R46" s="175">
        <f>HLOOKUP(YEAR($B46),'Factor Proy'!$C$4:$L$15,9,0)*$M46*R$7</f>
        <v>569650.87829999998</v>
      </c>
      <c r="S46" s="175">
        <f>HLOOKUP(YEAR($B46),'Factor Proy'!$C$4:$L$15,9,0)*$M46*S$7</f>
        <v>759534.50439999998</v>
      </c>
      <c r="T46" s="175">
        <f t="shared" si="6"/>
        <v>9873948.5571999997</v>
      </c>
      <c r="U46" s="175">
        <f t="shared" si="7"/>
        <v>7396944.2000000002</v>
      </c>
      <c r="V46" s="175">
        <f>IF($U46&lt;=HLOOKUP(YEAR($B46),'Ing Proyect'!$B$6:$G$7,2,0)*20,0,$U46*V$7)</f>
        <v>0</v>
      </c>
      <c r="W46" s="175">
        <f t="shared" si="8"/>
        <v>887633.304</v>
      </c>
      <c r="X46" s="175">
        <f t="shared" si="8"/>
        <v>73969.44200000001</v>
      </c>
      <c r="Y46" s="175">
        <f>IF($U46&lt;=HLOOKUP(YEAR($B46),'Ing Proyect'!$B$6:$G$7,2,0)*20,0,HLOOKUP(YEAR($B46),'Factor Proy'!$C$4:$L$15,9,0)*$U46*Y$7)</f>
        <v>0</v>
      </c>
      <c r="Z46" s="175">
        <f>IF($U46&lt;=HLOOKUP(YEAR($B46),'Ing Proyect'!$B$6:$G$7,2,0)*20,0,HLOOKUP(YEAR($B46),'Factor Proy'!$C$4:$L$15,9,0)*$U46*Z$7)</f>
        <v>0</v>
      </c>
      <c r="AA46" s="175">
        <f>HLOOKUP(YEAR($B46),'Factor Proy'!$C$4:$L$15,9,0)*$U46*AA$7</f>
        <v>147938.88400000002</v>
      </c>
      <c r="AB46" s="175">
        <f t="shared" si="9"/>
        <v>1109541.6300000001</v>
      </c>
      <c r="AC46" s="175">
        <f t="shared" si="10"/>
        <v>10983490.187200001</v>
      </c>
      <c r="AD46" s="175">
        <f t="shared" si="11"/>
        <v>132197087.48720001</v>
      </c>
      <c r="AE46" s="175">
        <f t="shared" si="12"/>
        <v>113661875.30000001</v>
      </c>
      <c r="AF46" s="359">
        <f t="shared" si="13"/>
        <v>10983490.187200001</v>
      </c>
      <c r="AG46" s="359">
        <f t="shared" si="14"/>
        <v>7551722</v>
      </c>
      <c r="AH46" s="175">
        <f>ROUND((Factor!$D$13/1)*1*SUM(E46:F46),0)</f>
        <v>1306793</v>
      </c>
      <c r="AI46" s="175">
        <f t="shared" si="15"/>
        <v>1306788</v>
      </c>
    </row>
    <row r="47" spans="1:35" x14ac:dyDescent="0.35">
      <c r="A47" s="18">
        <v>38</v>
      </c>
      <c r="B47" s="184">
        <v>43159</v>
      </c>
      <c r="C47" s="175">
        <f>SUMIF('RF 2018'!$D$10:$D$20,$C$4,'RF 2018'!$O$10:$O$20)</f>
        <v>25558800</v>
      </c>
      <c r="D47" s="175">
        <f>SUMIF('RV 2018'!$E$7:$M$7,$C$4,'RV 2018'!$E$33:$M$33)</f>
        <v>28693664.600000001</v>
      </c>
      <c r="E47" s="175">
        <f>SUMIF('RF 2018'!$D$22:$D$25,$C$4,'RF 2018'!$O$22:$O$25)</f>
        <v>3249000</v>
      </c>
      <c r="F47" s="175">
        <f>SUMIF('RV 2018'!$N$7:$O$7,$C$4,'RV 2018'!$N$33:$O$33)</f>
        <v>4147944.2</v>
      </c>
      <c r="G47" s="175">
        <f>IF(B47=MAX($B$9:$B$69),AI46+AH47,ROUND(IF(OR(MONTH($B47)=6,MONTH($B47)=12)=TRUE,(Factor!$C$9/2)*12*SUM(E47:F47),IF(MONTH($B47)=1,(Factor!$C$10*12)*SUM(E46:F46)*112%,0))+ROUND(IF(AND(MONTH($B47)=12,YEAR($B47)=2019)=TRUE,(Factor!$C$10*12)*SUM(E47:F47)*112%,0),0),0))*0+ROUND(IF(OR(MONTH($B47)=6,MONTH($B47)=12)=TRUE,(Factor!$C$9/2)*12*SUM(E47:F47),IF(MONTH($B47)=1,(Factor!$C$10*12)*SUM(E46:F46)*112%,0)),0)</f>
        <v>0</v>
      </c>
      <c r="H47" s="175">
        <f t="shared" si="4"/>
        <v>61649408.800000004</v>
      </c>
      <c r="I47" s="175">
        <f>SUMIF('RF 2018'!$D$10:$D$25,$I$4,'RF 2018'!$O$10:$O$25)</f>
        <v>27075000</v>
      </c>
      <c r="J47" s="175">
        <f>SUMIF('RV 2018'!$E$7:$O$7,$I$4,'RV 2018'!$E$33:$O$33)</f>
        <v>24937466.5</v>
      </c>
      <c r="K47" s="175">
        <f t="shared" si="17"/>
        <v>52012466.5</v>
      </c>
      <c r="L47" s="175">
        <f t="shared" si="5"/>
        <v>113661875.30000001</v>
      </c>
      <c r="M47" s="175">
        <f t="shared" si="18"/>
        <v>37976725.219999999</v>
      </c>
      <c r="N47" s="175">
        <f t="shared" si="16"/>
        <v>3228021.6436999999</v>
      </c>
      <c r="O47" s="175">
        <f t="shared" si="16"/>
        <v>4557207.0263999999</v>
      </c>
      <c r="P47" s="175">
        <f t="shared" si="16"/>
        <v>379767.25219999999</v>
      </c>
      <c r="Q47" s="175">
        <f>HLOOKUP(YEAR($B47),'Factor Proy'!$C$4:$L$15,9,0)*$M47*Q$7</f>
        <v>379767.25219999999</v>
      </c>
      <c r="R47" s="175">
        <f>HLOOKUP(YEAR($B47),'Factor Proy'!$C$4:$L$15,9,0)*$M47*R$7</f>
        <v>569650.87829999998</v>
      </c>
      <c r="S47" s="175">
        <f>HLOOKUP(YEAR($B47),'Factor Proy'!$C$4:$L$15,9,0)*$M47*S$7</f>
        <v>759534.50439999998</v>
      </c>
      <c r="T47" s="175">
        <f t="shared" si="6"/>
        <v>9873948.5571999997</v>
      </c>
      <c r="U47" s="175">
        <f t="shared" si="7"/>
        <v>7396944.2000000002</v>
      </c>
      <c r="V47" s="175">
        <f>IF($U47&lt;=HLOOKUP(YEAR($B47),'Ing Proyect'!$B$6:$G$7,2,0)*20,0,$U47*V$7)</f>
        <v>0</v>
      </c>
      <c r="W47" s="175">
        <f t="shared" si="8"/>
        <v>887633.304</v>
      </c>
      <c r="X47" s="175">
        <f t="shared" si="8"/>
        <v>73969.44200000001</v>
      </c>
      <c r="Y47" s="175">
        <f>IF($U47&lt;=HLOOKUP(YEAR($B47),'Ing Proyect'!$B$6:$G$7,2,0)*20,0,HLOOKUP(YEAR($B47),'Factor Proy'!$C$4:$L$15,9,0)*$U47*Y$7)</f>
        <v>0</v>
      </c>
      <c r="Z47" s="175">
        <f>IF($U47&lt;=HLOOKUP(YEAR($B47),'Ing Proyect'!$B$6:$G$7,2,0)*20,0,HLOOKUP(YEAR($B47),'Factor Proy'!$C$4:$L$15,9,0)*$U47*Z$7)</f>
        <v>0</v>
      </c>
      <c r="AA47" s="175">
        <f>HLOOKUP(YEAR($B47),'Factor Proy'!$C$4:$L$15,9,0)*$U47*AA$7</f>
        <v>147938.88400000002</v>
      </c>
      <c r="AB47" s="175">
        <f t="shared" si="9"/>
        <v>1109541.6300000001</v>
      </c>
      <c r="AC47" s="175">
        <f t="shared" si="10"/>
        <v>10983490.187200001</v>
      </c>
      <c r="AD47" s="175">
        <f t="shared" si="11"/>
        <v>124645365.48720001</v>
      </c>
      <c r="AE47" s="175">
        <f t="shared" si="12"/>
        <v>113661875.30000001</v>
      </c>
      <c r="AF47" s="359">
        <f t="shared" si="13"/>
        <v>10983490.187200001</v>
      </c>
      <c r="AG47" s="359">
        <f t="shared" si="14"/>
        <v>0</v>
      </c>
      <c r="AH47" s="175">
        <f>ROUND((Factor!$D$13/1)*1*SUM(E47:F47),0)</f>
        <v>1306793</v>
      </c>
      <c r="AI47" s="175">
        <f t="shared" si="15"/>
        <v>2613581</v>
      </c>
    </row>
    <row r="48" spans="1:35" x14ac:dyDescent="0.35">
      <c r="A48" s="18">
        <v>39</v>
      </c>
      <c r="B48" s="184">
        <v>43190</v>
      </c>
      <c r="C48" s="175">
        <f>SUMIF('RF 2018'!$D$10:$D$20,$C$4,'RF 2018'!$O$10:$O$20)</f>
        <v>25558800</v>
      </c>
      <c r="D48" s="175">
        <f>SUMIF('RV 2018'!$E$7:$M$7,$C$4,'RV 2018'!$E$33:$M$33)</f>
        <v>28693664.600000001</v>
      </c>
      <c r="E48" s="175">
        <f>SUMIF('RF 2018'!$D$22:$D$25,$C$4,'RF 2018'!$O$22:$O$25)</f>
        <v>3249000</v>
      </c>
      <c r="F48" s="175">
        <f>SUMIF('RV 2018'!$N$7:$O$7,$C$4,'RV 2018'!$N$33:$O$33)</f>
        <v>4147944.2</v>
      </c>
      <c r="G48" s="175">
        <f>IF(B48=MAX($B$9:$B$69),AI47+AH48,ROUND(IF(OR(MONTH($B48)=6,MONTH($B48)=12)=TRUE,(Factor!$C$9/2)*12*SUM(E48:F48),IF(MONTH($B48)=1,(Factor!$C$10*12)*SUM(E47:F47)*112%,0))+ROUND(IF(AND(MONTH($B48)=12,YEAR($B48)=2019)=TRUE,(Factor!$C$10*12)*SUM(E48:F48)*112%,0),0),0))*0+ROUND(IF(OR(MONTH($B48)=6,MONTH($B48)=12)=TRUE,(Factor!$C$9/2)*12*SUM(E48:F48),IF(MONTH($B48)=1,(Factor!$C$10*12)*SUM(E47:F47)*112%,0)),0)</f>
        <v>0</v>
      </c>
      <c r="H48" s="175">
        <f t="shared" si="4"/>
        <v>61649408.800000004</v>
      </c>
      <c r="I48" s="175">
        <f>SUMIF('RF 2018'!$D$10:$D$25,$I$4,'RF 2018'!$O$10:$O$25)</f>
        <v>27075000</v>
      </c>
      <c r="J48" s="175">
        <f>SUMIF('RV 2018'!$E$7:$O$7,$I$4,'RV 2018'!$E$33:$O$33)</f>
        <v>24937466.5</v>
      </c>
      <c r="K48" s="175">
        <f t="shared" si="17"/>
        <v>52012466.5</v>
      </c>
      <c r="L48" s="175">
        <f t="shared" si="5"/>
        <v>113661875.30000001</v>
      </c>
      <c r="M48" s="175">
        <f t="shared" si="18"/>
        <v>37976725.219999999</v>
      </c>
      <c r="N48" s="175">
        <f t="shared" si="16"/>
        <v>3228021.6436999999</v>
      </c>
      <c r="O48" s="175">
        <f t="shared" si="16"/>
        <v>4557207.0263999999</v>
      </c>
      <c r="P48" s="175">
        <f t="shared" si="16"/>
        <v>379767.25219999999</v>
      </c>
      <c r="Q48" s="175">
        <f>HLOOKUP(YEAR($B48),'Factor Proy'!$C$4:$L$15,9,0)*$M48*Q$7</f>
        <v>379767.25219999999</v>
      </c>
      <c r="R48" s="175">
        <f>HLOOKUP(YEAR($B48),'Factor Proy'!$C$4:$L$15,9,0)*$M48*R$7</f>
        <v>569650.87829999998</v>
      </c>
      <c r="S48" s="175">
        <f>HLOOKUP(YEAR($B48),'Factor Proy'!$C$4:$L$15,9,0)*$M48*S$7</f>
        <v>759534.50439999998</v>
      </c>
      <c r="T48" s="175">
        <f t="shared" si="6"/>
        <v>9873948.5571999997</v>
      </c>
      <c r="U48" s="175">
        <f t="shared" si="7"/>
        <v>7396944.2000000002</v>
      </c>
      <c r="V48" s="175">
        <f>IF($U48&lt;=HLOOKUP(YEAR($B48),'Ing Proyect'!$B$6:$G$7,2,0)*20,0,$U48*V$7)</f>
        <v>0</v>
      </c>
      <c r="W48" s="175">
        <f t="shared" si="8"/>
        <v>887633.304</v>
      </c>
      <c r="X48" s="175">
        <f t="shared" si="8"/>
        <v>73969.44200000001</v>
      </c>
      <c r="Y48" s="175">
        <f>IF($U48&lt;=HLOOKUP(YEAR($B48),'Ing Proyect'!$B$6:$G$7,2,0)*20,0,HLOOKUP(YEAR($B48),'Factor Proy'!$C$4:$L$15,9,0)*$U48*Y$7)</f>
        <v>0</v>
      </c>
      <c r="Z48" s="175">
        <f>IF($U48&lt;=HLOOKUP(YEAR($B48),'Ing Proyect'!$B$6:$G$7,2,0)*20,0,HLOOKUP(YEAR($B48),'Factor Proy'!$C$4:$L$15,9,0)*$U48*Z$7)</f>
        <v>0</v>
      </c>
      <c r="AA48" s="175">
        <f>HLOOKUP(YEAR($B48),'Factor Proy'!$C$4:$L$15,9,0)*$U48*AA$7</f>
        <v>147938.88400000002</v>
      </c>
      <c r="AB48" s="175">
        <f t="shared" si="9"/>
        <v>1109541.6300000001</v>
      </c>
      <c r="AC48" s="175">
        <f t="shared" si="10"/>
        <v>10983490.187200001</v>
      </c>
      <c r="AD48" s="175">
        <f t="shared" si="11"/>
        <v>124645365.48720001</v>
      </c>
      <c r="AE48" s="175">
        <f t="shared" si="12"/>
        <v>113661875.30000001</v>
      </c>
      <c r="AF48" s="359">
        <f t="shared" si="13"/>
        <v>10983490.187200001</v>
      </c>
      <c r="AG48" s="359">
        <f t="shared" si="14"/>
        <v>0</v>
      </c>
      <c r="AH48" s="175">
        <f>ROUND((Factor!$D$13/1)*1*SUM(E48:F48),0)</f>
        <v>1306793</v>
      </c>
      <c r="AI48" s="175">
        <f t="shared" si="15"/>
        <v>3920374</v>
      </c>
    </row>
    <row r="49" spans="1:35" x14ac:dyDescent="0.35">
      <c r="A49" s="18">
        <v>40</v>
      </c>
      <c r="B49" s="184">
        <v>43220</v>
      </c>
      <c r="C49" s="175">
        <f>SUMIF('RF 2018'!$D$10:$D$20,$C$4,'RF 2018'!$O$10:$O$20)</f>
        <v>25558800</v>
      </c>
      <c r="D49" s="175">
        <f>SUMIF('RV 2018'!$E$7:$M$7,$C$4,'RV 2018'!$E$33:$M$33)</f>
        <v>28693664.600000001</v>
      </c>
      <c r="E49" s="175">
        <f>SUMIF('RF 2018'!$D$22:$D$25,$C$4,'RF 2018'!$O$22:$O$25)</f>
        <v>3249000</v>
      </c>
      <c r="F49" s="175">
        <f>SUMIF('RV 2018'!$N$7:$O$7,$C$4,'RV 2018'!$N$33:$O$33)</f>
        <v>4147944.2</v>
      </c>
      <c r="G49" s="175">
        <f>IF(B49=MAX($B$9:$B$69),AI48+AH49,ROUND(IF(OR(MONTH($B49)=6,MONTH($B49)=12)=TRUE,(Factor!$C$9/2)*12*SUM(E49:F49),IF(MONTH($B49)=1,(Factor!$C$10*12)*SUM(E48:F48)*112%,0))+ROUND(IF(AND(MONTH($B49)=12,YEAR($B49)=2019)=TRUE,(Factor!$C$10*12)*SUM(E49:F49)*112%,0),0),0))*0+ROUND(IF(OR(MONTH($B49)=6,MONTH($B49)=12)=TRUE,(Factor!$C$9/2)*12*SUM(E49:F49),IF(MONTH($B49)=1,(Factor!$C$10*12)*SUM(E48:F48)*112%,0)),0)</f>
        <v>0</v>
      </c>
      <c r="H49" s="175">
        <f t="shared" si="4"/>
        <v>61649408.800000004</v>
      </c>
      <c r="I49" s="175">
        <f>SUMIF('RF 2018'!$D$10:$D$25,$I$4,'RF 2018'!$O$10:$O$25)</f>
        <v>27075000</v>
      </c>
      <c r="J49" s="175">
        <f>SUMIF('RV 2018'!$E$7:$O$7,$I$4,'RV 2018'!$E$33:$O$33)</f>
        <v>24937466.5</v>
      </c>
      <c r="K49" s="175">
        <f t="shared" si="17"/>
        <v>52012466.5</v>
      </c>
      <c r="L49" s="175">
        <f t="shared" si="5"/>
        <v>113661875.30000001</v>
      </c>
      <c r="M49" s="175">
        <f t="shared" si="18"/>
        <v>37976725.219999999</v>
      </c>
      <c r="N49" s="175">
        <f t="shared" si="16"/>
        <v>3228021.6436999999</v>
      </c>
      <c r="O49" s="175">
        <f t="shared" si="16"/>
        <v>4557207.0263999999</v>
      </c>
      <c r="P49" s="175">
        <f t="shared" si="16"/>
        <v>379767.25219999999</v>
      </c>
      <c r="Q49" s="175">
        <f>HLOOKUP(YEAR($B49),'Factor Proy'!$C$4:$L$15,9,0)*$M49*Q$7</f>
        <v>379767.25219999999</v>
      </c>
      <c r="R49" s="175">
        <f>HLOOKUP(YEAR($B49),'Factor Proy'!$C$4:$L$15,9,0)*$M49*R$7</f>
        <v>569650.87829999998</v>
      </c>
      <c r="S49" s="175">
        <f>HLOOKUP(YEAR($B49),'Factor Proy'!$C$4:$L$15,9,0)*$M49*S$7</f>
        <v>759534.50439999998</v>
      </c>
      <c r="T49" s="175">
        <f t="shared" si="6"/>
        <v>9873948.5571999997</v>
      </c>
      <c r="U49" s="175">
        <f t="shared" si="7"/>
        <v>7396944.2000000002</v>
      </c>
      <c r="V49" s="175">
        <f>IF($U49&lt;=HLOOKUP(YEAR($B49),'Ing Proyect'!$B$6:$G$7,2,0)*20,0,$U49*V$7)</f>
        <v>0</v>
      </c>
      <c r="W49" s="175">
        <f t="shared" si="8"/>
        <v>887633.304</v>
      </c>
      <c r="X49" s="175">
        <f t="shared" si="8"/>
        <v>73969.44200000001</v>
      </c>
      <c r="Y49" s="175">
        <f>IF($U49&lt;=HLOOKUP(YEAR($B49),'Ing Proyect'!$B$6:$G$7,2,0)*20,0,HLOOKUP(YEAR($B49),'Factor Proy'!$C$4:$L$15,9,0)*$U49*Y$7)</f>
        <v>0</v>
      </c>
      <c r="Z49" s="175">
        <f>IF($U49&lt;=HLOOKUP(YEAR($B49),'Ing Proyect'!$B$6:$G$7,2,0)*20,0,HLOOKUP(YEAR($B49),'Factor Proy'!$C$4:$L$15,9,0)*$U49*Z$7)</f>
        <v>0</v>
      </c>
      <c r="AA49" s="175">
        <f>HLOOKUP(YEAR($B49),'Factor Proy'!$C$4:$L$15,9,0)*$U49*AA$7</f>
        <v>147938.88400000002</v>
      </c>
      <c r="AB49" s="175">
        <f t="shared" si="9"/>
        <v>1109541.6300000001</v>
      </c>
      <c r="AC49" s="175">
        <f t="shared" si="10"/>
        <v>10983490.187200001</v>
      </c>
      <c r="AD49" s="175">
        <f t="shared" si="11"/>
        <v>124645365.48720001</v>
      </c>
      <c r="AE49" s="175">
        <f t="shared" si="12"/>
        <v>113661875.30000001</v>
      </c>
      <c r="AF49" s="359">
        <f t="shared" si="13"/>
        <v>10983490.187200001</v>
      </c>
      <c r="AG49" s="359">
        <f t="shared" si="14"/>
        <v>0</v>
      </c>
      <c r="AH49" s="175">
        <f>ROUND((Factor!$D$13/1)*1*SUM(E49:F49),0)</f>
        <v>1306793</v>
      </c>
      <c r="AI49" s="175">
        <f t="shared" si="15"/>
        <v>5227167</v>
      </c>
    </row>
    <row r="50" spans="1:35" x14ac:dyDescent="0.35">
      <c r="A50" s="18">
        <v>41</v>
      </c>
      <c r="B50" s="184">
        <v>43251</v>
      </c>
      <c r="C50" s="175">
        <f>SUMIF('RF 2018'!$D$10:$D$20,$C$4,'RF 2018'!$O$10:$O$20)</f>
        <v>25558800</v>
      </c>
      <c r="D50" s="175">
        <f>SUMIF('RV 2018'!$E$7:$M$7,$C$4,'RV 2018'!$E$33:$M$33)</f>
        <v>28693664.600000001</v>
      </c>
      <c r="E50" s="175">
        <f>SUMIF('RF 2018'!$D$22:$D$25,$C$4,'RF 2018'!$O$22:$O$25)</f>
        <v>3249000</v>
      </c>
      <c r="F50" s="175">
        <f>SUMIF('RV 2018'!$N$7:$O$7,$C$4,'RV 2018'!$N$33:$O$33)</f>
        <v>4147944.2</v>
      </c>
      <c r="G50" s="175">
        <f>IF(B50=MAX($B$9:$B$69),AI49+AH50,ROUND(IF(OR(MONTH($B50)=6,MONTH($B50)=12)=TRUE,(Factor!$C$9/2)*12*SUM(E50:F50),IF(MONTH($B50)=1,(Factor!$C$10*12)*SUM(E49:F49)*112%,0))+ROUND(IF(AND(MONTH($B50)=12,YEAR($B50)=2019)=TRUE,(Factor!$C$10*12)*SUM(E50:F50)*112%,0),0),0))*0+ROUND(IF(OR(MONTH($B50)=6,MONTH($B50)=12)=TRUE,(Factor!$C$9/2)*12*SUM(E50:F50),IF(MONTH($B50)=1,(Factor!$C$10*12)*SUM(E49:F49)*112%,0)),0)</f>
        <v>0</v>
      </c>
      <c r="H50" s="175">
        <f t="shared" si="4"/>
        <v>61649408.800000004</v>
      </c>
      <c r="I50" s="175">
        <f>SUMIF('RF 2018'!$D$10:$D$25,$I$4,'RF 2018'!$O$10:$O$25)</f>
        <v>27075000</v>
      </c>
      <c r="J50" s="175">
        <f>SUMIF('RV 2018'!$E$7:$O$7,$I$4,'RV 2018'!$E$33:$O$33)</f>
        <v>24937466.5</v>
      </c>
      <c r="K50" s="175">
        <f t="shared" si="17"/>
        <v>52012466.5</v>
      </c>
      <c r="L50" s="175">
        <f t="shared" si="5"/>
        <v>113661875.30000001</v>
      </c>
      <c r="M50" s="175">
        <f t="shared" si="18"/>
        <v>37976725.219999999</v>
      </c>
      <c r="N50" s="175">
        <f t="shared" si="16"/>
        <v>3228021.6436999999</v>
      </c>
      <c r="O50" s="175">
        <f t="shared" si="16"/>
        <v>4557207.0263999999</v>
      </c>
      <c r="P50" s="175">
        <f t="shared" si="16"/>
        <v>379767.25219999999</v>
      </c>
      <c r="Q50" s="175">
        <f>HLOOKUP(YEAR($B50),'Factor Proy'!$C$4:$L$15,9,0)*$M50*Q$7</f>
        <v>379767.25219999999</v>
      </c>
      <c r="R50" s="175">
        <f>HLOOKUP(YEAR($B50),'Factor Proy'!$C$4:$L$15,9,0)*$M50*R$7</f>
        <v>569650.87829999998</v>
      </c>
      <c r="S50" s="175">
        <f>HLOOKUP(YEAR($B50),'Factor Proy'!$C$4:$L$15,9,0)*$M50*S$7</f>
        <v>759534.50439999998</v>
      </c>
      <c r="T50" s="175">
        <f t="shared" si="6"/>
        <v>9873948.5571999997</v>
      </c>
      <c r="U50" s="175">
        <f t="shared" si="7"/>
        <v>7396944.2000000002</v>
      </c>
      <c r="V50" s="175">
        <f>IF($U50&lt;=HLOOKUP(YEAR($B50),'Ing Proyect'!$B$6:$G$7,2,0)*20,0,$U50*V$7)</f>
        <v>0</v>
      </c>
      <c r="W50" s="175">
        <f t="shared" si="8"/>
        <v>887633.304</v>
      </c>
      <c r="X50" s="175">
        <f t="shared" si="8"/>
        <v>73969.44200000001</v>
      </c>
      <c r="Y50" s="175">
        <f>IF($U50&lt;=HLOOKUP(YEAR($B50),'Ing Proyect'!$B$6:$G$7,2,0)*20,0,HLOOKUP(YEAR($B50),'Factor Proy'!$C$4:$L$15,9,0)*$U50*Y$7)</f>
        <v>0</v>
      </c>
      <c r="Z50" s="175">
        <f>IF($U50&lt;=HLOOKUP(YEAR($B50),'Ing Proyect'!$B$6:$G$7,2,0)*20,0,HLOOKUP(YEAR($B50),'Factor Proy'!$C$4:$L$15,9,0)*$U50*Z$7)</f>
        <v>0</v>
      </c>
      <c r="AA50" s="175">
        <f>HLOOKUP(YEAR($B50),'Factor Proy'!$C$4:$L$15,9,0)*$U50*AA$7</f>
        <v>147938.88400000002</v>
      </c>
      <c r="AB50" s="175">
        <f t="shared" si="9"/>
        <v>1109541.6300000001</v>
      </c>
      <c r="AC50" s="175">
        <f t="shared" si="10"/>
        <v>10983490.187200001</v>
      </c>
      <c r="AD50" s="175">
        <f t="shared" si="11"/>
        <v>124645365.48720001</v>
      </c>
      <c r="AE50" s="175">
        <f t="shared" si="12"/>
        <v>113661875.30000001</v>
      </c>
      <c r="AF50" s="359">
        <f t="shared" si="13"/>
        <v>10983490.187200001</v>
      </c>
      <c r="AG50" s="359">
        <f t="shared" si="14"/>
        <v>0</v>
      </c>
      <c r="AH50" s="175">
        <f>ROUND((Factor!$D$13/1)*1*SUM(E50:F50),0)</f>
        <v>1306793</v>
      </c>
      <c r="AI50" s="175">
        <f t="shared" si="15"/>
        <v>6533960</v>
      </c>
    </row>
    <row r="51" spans="1:35" x14ac:dyDescent="0.35">
      <c r="A51" s="18">
        <v>42</v>
      </c>
      <c r="B51" s="184">
        <v>43281</v>
      </c>
      <c r="C51" s="175">
        <f>SUMIF('RF 2018'!$D$10:$D$20,$C$4,'RF 2018'!$O$10:$O$20)</f>
        <v>25558800</v>
      </c>
      <c r="D51" s="175">
        <f>SUMIF('RV 2018'!$E$7:$M$7,$C$4,'RV 2018'!$E$33:$M$33)</f>
        <v>28693664.600000001</v>
      </c>
      <c r="E51" s="175">
        <f>SUMIF('RF 2018'!$D$22:$D$25,$C$4,'RF 2018'!$O$22:$O$25)</f>
        <v>3249000</v>
      </c>
      <c r="F51" s="175">
        <f>SUMIF('RV 2018'!$N$7:$O$7,$C$4,'RV 2018'!$N$33:$O$33)</f>
        <v>4147944.2</v>
      </c>
      <c r="G51" s="175">
        <f>IF(B51=MAX($B$9:$B$69),AI50+AH51,ROUND(IF(OR(MONTH($B51)=6,MONTH($B51)=12)=TRUE,(Factor!$C$9/2)*12*SUM(E51:F51),IF(MONTH($B51)=1,(Factor!$C$10*12)*SUM(E50:F50)*112%,0))+ROUND(IF(AND(MONTH($B51)=12,YEAR($B51)=2019)=TRUE,(Factor!$C$10*12)*SUM(E51:F51)*112%,0),0),0))*0+ROUND(IF(OR(MONTH($B51)=6,MONTH($B51)=12)=TRUE,(Factor!$C$9/2)*12*SUM(E51:F51),IF(MONTH($B51)=1,(Factor!$C$10*12)*SUM(E50:F50)*112%,0)),0)</f>
        <v>3698472</v>
      </c>
      <c r="H51" s="175">
        <f t="shared" si="4"/>
        <v>65347880.800000004</v>
      </c>
      <c r="I51" s="175">
        <f>SUMIF('RF 2018'!$D$10:$D$25,$I$4,'RF 2018'!$O$10:$O$25)</f>
        <v>27075000</v>
      </c>
      <c r="J51" s="175">
        <f>SUMIF('RV 2018'!$E$7:$O$7,$I$4,'RV 2018'!$E$33:$O$33)</f>
        <v>24937466.5</v>
      </c>
      <c r="K51" s="175">
        <f t="shared" si="17"/>
        <v>52012466.5</v>
      </c>
      <c r="L51" s="175">
        <f t="shared" si="5"/>
        <v>117360347.30000001</v>
      </c>
      <c r="M51" s="175">
        <f t="shared" si="18"/>
        <v>37976725.219999999</v>
      </c>
      <c r="N51" s="175">
        <f t="shared" si="16"/>
        <v>3228021.6436999999</v>
      </c>
      <c r="O51" s="175">
        <f t="shared" si="16"/>
        <v>4557207.0263999999</v>
      </c>
      <c r="P51" s="175">
        <f t="shared" si="16"/>
        <v>379767.25219999999</v>
      </c>
      <c r="Q51" s="175">
        <f>HLOOKUP(YEAR($B51),'Factor Proy'!$C$4:$L$15,9,0)*$M51*Q$7</f>
        <v>379767.25219999999</v>
      </c>
      <c r="R51" s="175">
        <f>HLOOKUP(YEAR($B51),'Factor Proy'!$C$4:$L$15,9,0)*$M51*R$7</f>
        <v>569650.87829999998</v>
      </c>
      <c r="S51" s="175">
        <f>HLOOKUP(YEAR($B51),'Factor Proy'!$C$4:$L$15,9,0)*$M51*S$7</f>
        <v>759534.50439999998</v>
      </c>
      <c r="T51" s="175">
        <f t="shared" si="6"/>
        <v>9873948.5571999997</v>
      </c>
      <c r="U51" s="175">
        <f t="shared" si="7"/>
        <v>7396944.2000000002</v>
      </c>
      <c r="V51" s="175">
        <f>IF($U51&lt;=HLOOKUP(YEAR($B51),'Ing Proyect'!$B$6:$G$7,2,0)*20,0,$U51*V$7)</f>
        <v>0</v>
      </c>
      <c r="W51" s="175">
        <f t="shared" si="8"/>
        <v>887633.304</v>
      </c>
      <c r="X51" s="175">
        <f t="shared" si="8"/>
        <v>73969.44200000001</v>
      </c>
      <c r="Y51" s="175">
        <f>IF($U51&lt;=HLOOKUP(YEAR($B51),'Ing Proyect'!$B$6:$G$7,2,0)*20,0,HLOOKUP(YEAR($B51),'Factor Proy'!$C$4:$L$15,9,0)*$U51*Y$7)</f>
        <v>0</v>
      </c>
      <c r="Z51" s="175">
        <f>IF($U51&lt;=HLOOKUP(YEAR($B51),'Ing Proyect'!$B$6:$G$7,2,0)*20,0,HLOOKUP(YEAR($B51),'Factor Proy'!$C$4:$L$15,9,0)*$U51*Z$7)</f>
        <v>0</v>
      </c>
      <c r="AA51" s="175">
        <f>HLOOKUP(YEAR($B51),'Factor Proy'!$C$4:$L$15,9,0)*$U51*AA$7</f>
        <v>147938.88400000002</v>
      </c>
      <c r="AB51" s="175">
        <f t="shared" si="9"/>
        <v>1109541.6300000001</v>
      </c>
      <c r="AC51" s="175">
        <f t="shared" si="10"/>
        <v>10983490.187200001</v>
      </c>
      <c r="AD51" s="175">
        <f t="shared" si="11"/>
        <v>128343837.48720001</v>
      </c>
      <c r="AE51" s="175">
        <f t="shared" si="12"/>
        <v>113661875.30000001</v>
      </c>
      <c r="AF51" s="359">
        <f t="shared" si="13"/>
        <v>10983490.187200001</v>
      </c>
      <c r="AG51" s="359">
        <f t="shared" si="14"/>
        <v>3698472</v>
      </c>
      <c r="AH51" s="175">
        <f>ROUND((Factor!$D$13/1)*1*SUM(E51:F51),0)</f>
        <v>1306793</v>
      </c>
      <c r="AI51" s="175">
        <f t="shared" si="15"/>
        <v>4142281</v>
      </c>
    </row>
    <row r="52" spans="1:35" x14ac:dyDescent="0.35">
      <c r="A52" s="18">
        <v>43</v>
      </c>
      <c r="B52" s="184">
        <v>43312</v>
      </c>
      <c r="C52" s="175">
        <f>SUMIF('RF 2018'!$D$10:$D$20,$C$4,'RF 2018'!$O$10:$O$20)</f>
        <v>25558800</v>
      </c>
      <c r="D52" s="175">
        <f>SUMIF('RV 2018'!$E$7:$M$7,$C$4,'RV 2018'!$E$33:$M$33)</f>
        <v>28693664.600000001</v>
      </c>
      <c r="E52" s="175">
        <f>SUMIF('RF 2018'!$D$22:$D$25,$C$4,'RF 2018'!$O$22:$O$25)</f>
        <v>3249000</v>
      </c>
      <c r="F52" s="175">
        <f>SUMIF('RV 2018'!$N$7:$O$7,$C$4,'RV 2018'!$N$33:$O$33)</f>
        <v>4147944.2</v>
      </c>
      <c r="G52" s="175">
        <f>IF(B52=MAX($B$9:$B$69),AI51+AH52,ROUND(IF(OR(MONTH($B52)=6,MONTH($B52)=12)=TRUE,(Factor!$C$9/2)*12*SUM(E52:F52),IF(MONTH($B52)=1,(Factor!$C$10*12)*SUM(E51:F51)*112%,0))+ROUND(IF(AND(MONTH($B52)=12,YEAR($B52)=2019)=TRUE,(Factor!$C$10*12)*SUM(E52:F52)*112%,0),0),0))*0+ROUND(IF(OR(MONTH($B52)=6,MONTH($B52)=12)=TRUE,(Factor!$C$9/2)*12*SUM(E52:F52),IF(MONTH($B52)=1,(Factor!$C$10*12)*SUM(E51:F51)*112%,0)),0)</f>
        <v>0</v>
      </c>
      <c r="H52" s="175">
        <f t="shared" si="4"/>
        <v>61649408.800000004</v>
      </c>
      <c r="I52" s="175">
        <f>SUMIF('RF 2018'!$D$10:$D$25,$I$4,'RF 2018'!$O$10:$O$25)</f>
        <v>27075000</v>
      </c>
      <c r="J52" s="175">
        <f>SUMIF('RV 2018'!$E$7:$O$7,$I$4,'RV 2018'!$E$33:$O$33)</f>
        <v>24937466.5</v>
      </c>
      <c r="K52" s="175">
        <f t="shared" si="17"/>
        <v>52012466.5</v>
      </c>
      <c r="L52" s="175">
        <f t="shared" si="5"/>
        <v>113661875.30000001</v>
      </c>
      <c r="M52" s="175">
        <f t="shared" si="18"/>
        <v>37976725.219999999</v>
      </c>
      <c r="N52" s="175">
        <f t="shared" si="16"/>
        <v>3228021.6436999999</v>
      </c>
      <c r="O52" s="175">
        <f t="shared" si="16"/>
        <v>4557207.0263999999</v>
      </c>
      <c r="P52" s="175">
        <f t="shared" si="16"/>
        <v>379767.25219999999</v>
      </c>
      <c r="Q52" s="175">
        <f>HLOOKUP(YEAR($B52),'Factor Proy'!$C$4:$L$15,9,0)*$M52*Q$7</f>
        <v>379767.25219999999</v>
      </c>
      <c r="R52" s="175">
        <f>HLOOKUP(YEAR($B52),'Factor Proy'!$C$4:$L$15,9,0)*$M52*R$7</f>
        <v>569650.87829999998</v>
      </c>
      <c r="S52" s="175">
        <f>HLOOKUP(YEAR($B52),'Factor Proy'!$C$4:$L$15,9,0)*$M52*S$7</f>
        <v>759534.50439999998</v>
      </c>
      <c r="T52" s="175">
        <f t="shared" si="6"/>
        <v>9873948.5571999997</v>
      </c>
      <c r="U52" s="175">
        <f t="shared" si="7"/>
        <v>7396944.2000000002</v>
      </c>
      <c r="V52" s="175">
        <f>IF($U52&lt;=HLOOKUP(YEAR($B52),'Ing Proyect'!$B$6:$G$7,2,0)*20,0,$U52*V$7)</f>
        <v>0</v>
      </c>
      <c r="W52" s="175">
        <f t="shared" si="8"/>
        <v>887633.304</v>
      </c>
      <c r="X52" s="175">
        <f t="shared" si="8"/>
        <v>73969.44200000001</v>
      </c>
      <c r="Y52" s="175">
        <f>IF($U52&lt;=HLOOKUP(YEAR($B52),'Ing Proyect'!$B$6:$G$7,2,0)*20,0,HLOOKUP(YEAR($B52),'Factor Proy'!$C$4:$L$15,9,0)*$U52*Y$7)</f>
        <v>0</v>
      </c>
      <c r="Z52" s="175">
        <f>IF($U52&lt;=HLOOKUP(YEAR($B52),'Ing Proyect'!$B$6:$G$7,2,0)*20,0,HLOOKUP(YEAR($B52),'Factor Proy'!$C$4:$L$15,9,0)*$U52*Z$7)</f>
        <v>0</v>
      </c>
      <c r="AA52" s="175">
        <f>HLOOKUP(YEAR($B52),'Factor Proy'!$C$4:$L$15,9,0)*$U52*AA$7</f>
        <v>147938.88400000002</v>
      </c>
      <c r="AB52" s="175">
        <f t="shared" si="9"/>
        <v>1109541.6300000001</v>
      </c>
      <c r="AC52" s="175">
        <f t="shared" si="10"/>
        <v>10983490.187200001</v>
      </c>
      <c r="AD52" s="175">
        <f t="shared" si="11"/>
        <v>124645365.48720001</v>
      </c>
      <c r="AE52" s="175">
        <f t="shared" si="12"/>
        <v>113661875.30000001</v>
      </c>
      <c r="AF52" s="359">
        <f t="shared" si="13"/>
        <v>10983490.187200001</v>
      </c>
      <c r="AG52" s="359">
        <f t="shared" si="14"/>
        <v>0</v>
      </c>
      <c r="AH52" s="175">
        <f>ROUND((Factor!$D$13/1)*1*SUM(E52:F52),0)</f>
        <v>1306793</v>
      </c>
      <c r="AI52" s="175">
        <f t="shared" si="15"/>
        <v>5449074</v>
      </c>
    </row>
    <row r="53" spans="1:35" x14ac:dyDescent="0.35">
      <c r="A53" s="18">
        <v>44</v>
      </c>
      <c r="B53" s="184">
        <v>43343</v>
      </c>
      <c r="C53" s="175">
        <f>SUMIF('RF 2018'!$D$10:$D$20,$C$4,'RF 2018'!$O$10:$O$20)</f>
        <v>25558800</v>
      </c>
      <c r="D53" s="175">
        <f>SUMIF('RV 2018'!$E$7:$M$7,$C$4,'RV 2018'!$E$33:$M$33)</f>
        <v>28693664.600000001</v>
      </c>
      <c r="E53" s="175">
        <f>SUMIF('RF 2018'!$D$22:$D$25,$C$4,'RF 2018'!$O$22:$O$25)</f>
        <v>3249000</v>
      </c>
      <c r="F53" s="175">
        <f>SUMIF('RV 2018'!$N$7:$O$7,$C$4,'RV 2018'!$N$33:$O$33)</f>
        <v>4147944.2</v>
      </c>
      <c r="G53" s="175">
        <f>IF(B53=MAX($B$9:$B$69),AI52+AH53,ROUND(IF(OR(MONTH($B53)=6,MONTH($B53)=12)=TRUE,(Factor!$C$9/2)*12*SUM(E53:F53),IF(MONTH($B53)=1,(Factor!$C$10*12)*SUM(E52:F52)*112%,0))+ROUND(IF(AND(MONTH($B53)=12,YEAR($B53)=2019)=TRUE,(Factor!$C$10*12)*SUM(E53:F53)*112%,0),0),0))*0+ROUND(IF(OR(MONTH($B53)=6,MONTH($B53)=12)=TRUE,(Factor!$C$9/2)*12*SUM(E53:F53),IF(MONTH($B53)=1,(Factor!$C$10*12)*SUM(E52:F52)*112%,0)),0)</f>
        <v>0</v>
      </c>
      <c r="H53" s="175">
        <f t="shared" si="4"/>
        <v>61649408.800000004</v>
      </c>
      <c r="I53" s="175">
        <f>SUMIF('RF 2018'!$D$10:$D$25,$I$4,'RF 2018'!$O$10:$O$25)</f>
        <v>27075000</v>
      </c>
      <c r="J53" s="175">
        <f>SUMIF('RV 2018'!$E$7:$O$7,$I$4,'RV 2018'!$E$33:$O$33)</f>
        <v>24937466.5</v>
      </c>
      <c r="K53" s="175">
        <f t="shared" si="17"/>
        <v>52012466.5</v>
      </c>
      <c r="L53" s="175">
        <f t="shared" si="5"/>
        <v>113661875.30000001</v>
      </c>
      <c r="M53" s="175">
        <f t="shared" si="18"/>
        <v>37976725.219999999</v>
      </c>
      <c r="N53" s="175">
        <f t="shared" si="16"/>
        <v>3228021.6436999999</v>
      </c>
      <c r="O53" s="175">
        <f t="shared" si="16"/>
        <v>4557207.0263999999</v>
      </c>
      <c r="P53" s="175">
        <f t="shared" si="16"/>
        <v>379767.25219999999</v>
      </c>
      <c r="Q53" s="175">
        <f>HLOOKUP(YEAR($B53),'Factor Proy'!$C$4:$L$15,9,0)*$M53*Q$7</f>
        <v>379767.25219999999</v>
      </c>
      <c r="R53" s="175">
        <f>HLOOKUP(YEAR($B53),'Factor Proy'!$C$4:$L$15,9,0)*$M53*R$7</f>
        <v>569650.87829999998</v>
      </c>
      <c r="S53" s="175">
        <f>HLOOKUP(YEAR($B53),'Factor Proy'!$C$4:$L$15,9,0)*$M53*S$7</f>
        <v>759534.50439999998</v>
      </c>
      <c r="T53" s="175">
        <f t="shared" si="6"/>
        <v>9873948.5571999997</v>
      </c>
      <c r="U53" s="175">
        <f t="shared" si="7"/>
        <v>7396944.2000000002</v>
      </c>
      <c r="V53" s="175">
        <f>IF($U53&lt;=HLOOKUP(YEAR($B53),'Ing Proyect'!$B$6:$G$7,2,0)*20,0,$U53*V$7)</f>
        <v>0</v>
      </c>
      <c r="W53" s="175">
        <f t="shared" si="8"/>
        <v>887633.304</v>
      </c>
      <c r="X53" s="175">
        <f t="shared" si="8"/>
        <v>73969.44200000001</v>
      </c>
      <c r="Y53" s="175">
        <f>IF($U53&lt;=HLOOKUP(YEAR($B53),'Ing Proyect'!$B$6:$G$7,2,0)*20,0,HLOOKUP(YEAR($B53),'Factor Proy'!$C$4:$L$15,9,0)*$U53*Y$7)</f>
        <v>0</v>
      </c>
      <c r="Z53" s="175">
        <f>IF($U53&lt;=HLOOKUP(YEAR($B53),'Ing Proyect'!$B$6:$G$7,2,0)*20,0,HLOOKUP(YEAR($B53),'Factor Proy'!$C$4:$L$15,9,0)*$U53*Z$7)</f>
        <v>0</v>
      </c>
      <c r="AA53" s="175">
        <f>HLOOKUP(YEAR($B53),'Factor Proy'!$C$4:$L$15,9,0)*$U53*AA$7</f>
        <v>147938.88400000002</v>
      </c>
      <c r="AB53" s="175">
        <f t="shared" si="9"/>
        <v>1109541.6300000001</v>
      </c>
      <c r="AC53" s="175">
        <f t="shared" si="10"/>
        <v>10983490.187200001</v>
      </c>
      <c r="AD53" s="175">
        <f t="shared" si="11"/>
        <v>124645365.48720001</v>
      </c>
      <c r="AE53" s="175">
        <f t="shared" si="12"/>
        <v>113661875.30000001</v>
      </c>
      <c r="AF53" s="359">
        <f t="shared" si="13"/>
        <v>10983490.187200001</v>
      </c>
      <c r="AG53" s="359">
        <f t="shared" si="14"/>
        <v>0</v>
      </c>
      <c r="AH53" s="175">
        <f>ROUND((Factor!$D$13/1)*1*SUM(E53:F53),0)</f>
        <v>1306793</v>
      </c>
      <c r="AI53" s="175">
        <f t="shared" si="15"/>
        <v>6755867</v>
      </c>
    </row>
    <row r="54" spans="1:35" x14ac:dyDescent="0.35">
      <c r="A54" s="18">
        <v>45</v>
      </c>
      <c r="B54" s="184">
        <v>43373</v>
      </c>
      <c r="C54" s="175">
        <f>SUMIF('RF 2018'!$D$10:$D$20,$C$4,'RF 2018'!$O$10:$O$20)</f>
        <v>25558800</v>
      </c>
      <c r="D54" s="175">
        <f>SUMIF('RV 2018'!$E$7:$M$7,$C$4,'RV 2018'!$E$33:$M$33)</f>
        <v>28693664.600000001</v>
      </c>
      <c r="E54" s="175">
        <f>SUMIF('RF 2018'!$D$22:$D$25,$C$4,'RF 2018'!$O$22:$O$25)</f>
        <v>3249000</v>
      </c>
      <c r="F54" s="175">
        <f>SUMIF('RV 2018'!$N$7:$O$7,$C$4,'RV 2018'!$N$33:$O$33)</f>
        <v>4147944.2</v>
      </c>
      <c r="G54" s="175">
        <f>IF(B54=MAX($B$9:$B$69),AI53+AH54,ROUND(IF(OR(MONTH($B54)=6,MONTH($B54)=12)=TRUE,(Factor!$C$9/2)*12*SUM(E54:F54),IF(MONTH($B54)=1,(Factor!$C$10*12)*SUM(E53:F53)*112%,0))+ROUND(IF(AND(MONTH($B54)=12,YEAR($B54)=2019)=TRUE,(Factor!$C$10*12)*SUM(E54:F54)*112%,0),0),0))*0+ROUND(IF(OR(MONTH($B54)=6,MONTH($B54)=12)=TRUE,(Factor!$C$9/2)*12*SUM(E54:F54),IF(MONTH($B54)=1,(Factor!$C$10*12)*SUM(E53:F53)*112%,0)),0)</f>
        <v>0</v>
      </c>
      <c r="H54" s="175">
        <f t="shared" si="4"/>
        <v>61649408.800000004</v>
      </c>
      <c r="I54" s="175">
        <f>SUMIF('RF 2018'!$D$10:$D$25,$I$4,'RF 2018'!$O$10:$O$25)</f>
        <v>27075000</v>
      </c>
      <c r="J54" s="175">
        <f>SUMIF('RV 2018'!$E$7:$O$7,$I$4,'RV 2018'!$E$33:$O$33)</f>
        <v>24937466.5</v>
      </c>
      <c r="K54" s="175">
        <f t="shared" si="17"/>
        <v>52012466.5</v>
      </c>
      <c r="L54" s="175">
        <f t="shared" si="5"/>
        <v>113661875.30000001</v>
      </c>
      <c r="M54" s="175">
        <f t="shared" si="18"/>
        <v>37976725.219999999</v>
      </c>
      <c r="N54" s="175">
        <f t="shared" si="16"/>
        <v>3228021.6436999999</v>
      </c>
      <c r="O54" s="175">
        <f t="shared" si="16"/>
        <v>4557207.0263999999</v>
      </c>
      <c r="P54" s="175">
        <f t="shared" si="16"/>
        <v>379767.25219999999</v>
      </c>
      <c r="Q54" s="175">
        <f>HLOOKUP(YEAR($B54),'Factor Proy'!$C$4:$L$15,9,0)*$M54*Q$7</f>
        <v>379767.25219999999</v>
      </c>
      <c r="R54" s="175">
        <f>HLOOKUP(YEAR($B54),'Factor Proy'!$C$4:$L$15,9,0)*$M54*R$7</f>
        <v>569650.87829999998</v>
      </c>
      <c r="S54" s="175">
        <f>HLOOKUP(YEAR($B54),'Factor Proy'!$C$4:$L$15,9,0)*$M54*S$7</f>
        <v>759534.50439999998</v>
      </c>
      <c r="T54" s="175">
        <f t="shared" si="6"/>
        <v>9873948.5571999997</v>
      </c>
      <c r="U54" s="175">
        <f t="shared" si="7"/>
        <v>7396944.2000000002</v>
      </c>
      <c r="V54" s="175">
        <f>IF($U54&lt;=HLOOKUP(YEAR($B54),'Ing Proyect'!$B$6:$G$7,2,0)*20,0,$U54*V$7)</f>
        <v>0</v>
      </c>
      <c r="W54" s="175">
        <f t="shared" si="8"/>
        <v>887633.304</v>
      </c>
      <c r="X54" s="175">
        <f t="shared" si="8"/>
        <v>73969.44200000001</v>
      </c>
      <c r="Y54" s="175">
        <f>IF($U54&lt;=HLOOKUP(YEAR($B54),'Ing Proyect'!$B$6:$G$7,2,0)*20,0,HLOOKUP(YEAR($B54),'Factor Proy'!$C$4:$L$15,9,0)*$U54*Y$7)</f>
        <v>0</v>
      </c>
      <c r="Z54" s="175">
        <f>IF($U54&lt;=HLOOKUP(YEAR($B54),'Ing Proyect'!$B$6:$G$7,2,0)*20,0,HLOOKUP(YEAR($B54),'Factor Proy'!$C$4:$L$15,9,0)*$U54*Z$7)</f>
        <v>0</v>
      </c>
      <c r="AA54" s="175">
        <f>HLOOKUP(YEAR($B54),'Factor Proy'!$C$4:$L$15,9,0)*$U54*AA$7</f>
        <v>147938.88400000002</v>
      </c>
      <c r="AB54" s="175">
        <f t="shared" si="9"/>
        <v>1109541.6300000001</v>
      </c>
      <c r="AC54" s="175">
        <f t="shared" si="10"/>
        <v>10983490.187200001</v>
      </c>
      <c r="AD54" s="175">
        <f t="shared" si="11"/>
        <v>124645365.48720001</v>
      </c>
      <c r="AE54" s="175">
        <f t="shared" si="12"/>
        <v>113661875.30000001</v>
      </c>
      <c r="AF54" s="359">
        <f t="shared" si="13"/>
        <v>10983490.187200001</v>
      </c>
      <c r="AG54" s="359">
        <f t="shared" si="14"/>
        <v>0</v>
      </c>
      <c r="AH54" s="175">
        <f>ROUND((Factor!$D$13/1)*1*SUM(E54:F54),0)</f>
        <v>1306793</v>
      </c>
      <c r="AI54" s="175">
        <f t="shared" si="15"/>
        <v>8062660</v>
      </c>
    </row>
    <row r="55" spans="1:35" x14ac:dyDescent="0.35">
      <c r="A55" s="18">
        <v>46</v>
      </c>
      <c r="B55" s="184">
        <v>43404</v>
      </c>
      <c r="C55" s="175">
        <f>SUMIF('RF 2018'!$D$10:$D$20,$C$4,'RF 2018'!$O$10:$O$20)</f>
        <v>25558800</v>
      </c>
      <c r="D55" s="175">
        <f>SUMIF('RV 2018'!$E$7:$M$7,$C$4,'RV 2018'!$E$33:$M$33)</f>
        <v>28693664.600000001</v>
      </c>
      <c r="E55" s="175">
        <f>SUMIF('RF 2018'!$D$22:$D$25,$C$4,'RF 2018'!$O$22:$O$25)</f>
        <v>3249000</v>
      </c>
      <c r="F55" s="175">
        <f>SUMIF('RV 2018'!$N$7:$O$7,$C$4,'RV 2018'!$N$33:$O$33)</f>
        <v>4147944.2</v>
      </c>
      <c r="G55" s="175">
        <f>IF(B55=MAX($B$9:$B$69),AI54+AH55,ROUND(IF(OR(MONTH($B55)=6,MONTH($B55)=12)=TRUE,(Factor!$C$9/2)*12*SUM(E55:F55),IF(MONTH($B55)=1,(Factor!$C$10*12)*SUM(E54:F54)*112%,0))+ROUND(IF(AND(MONTH($B55)=12,YEAR($B55)=2019)=TRUE,(Factor!$C$10*12)*SUM(E55:F55)*112%,0),0),0))*0+ROUND(IF(OR(MONTH($B55)=6,MONTH($B55)=12)=TRUE,(Factor!$C$9/2)*12*SUM(E55:F55),IF(MONTH($B55)=1,(Factor!$C$10*12)*SUM(E54:F54)*112%,0)),0)</f>
        <v>0</v>
      </c>
      <c r="H55" s="175">
        <f t="shared" si="4"/>
        <v>61649408.800000004</v>
      </c>
      <c r="I55" s="175">
        <f>SUMIF('RF 2018'!$D$10:$D$25,$I$4,'RF 2018'!$O$10:$O$25)</f>
        <v>27075000</v>
      </c>
      <c r="J55" s="175">
        <f>SUMIF('RV 2018'!$E$7:$O$7,$I$4,'RV 2018'!$E$33:$O$33)</f>
        <v>24937466.5</v>
      </c>
      <c r="K55" s="175">
        <f t="shared" si="17"/>
        <v>52012466.5</v>
      </c>
      <c r="L55" s="175">
        <f t="shared" si="5"/>
        <v>113661875.30000001</v>
      </c>
      <c r="M55" s="175">
        <f t="shared" si="18"/>
        <v>37976725.219999999</v>
      </c>
      <c r="N55" s="175">
        <f t="shared" si="16"/>
        <v>3228021.6436999999</v>
      </c>
      <c r="O55" s="175">
        <f t="shared" si="16"/>
        <v>4557207.0263999999</v>
      </c>
      <c r="P55" s="175">
        <f t="shared" si="16"/>
        <v>379767.25219999999</v>
      </c>
      <c r="Q55" s="175">
        <f>HLOOKUP(YEAR($B55),'Factor Proy'!$C$4:$L$15,9,0)*$M55*Q$7</f>
        <v>379767.25219999999</v>
      </c>
      <c r="R55" s="175">
        <f>HLOOKUP(YEAR($B55),'Factor Proy'!$C$4:$L$15,9,0)*$M55*R$7</f>
        <v>569650.87829999998</v>
      </c>
      <c r="S55" s="175">
        <f>HLOOKUP(YEAR($B55),'Factor Proy'!$C$4:$L$15,9,0)*$M55*S$7</f>
        <v>759534.50439999998</v>
      </c>
      <c r="T55" s="175">
        <f t="shared" si="6"/>
        <v>9873948.5571999997</v>
      </c>
      <c r="U55" s="175">
        <f t="shared" si="7"/>
        <v>7396944.2000000002</v>
      </c>
      <c r="V55" s="175">
        <f>IF($U55&lt;=HLOOKUP(YEAR($B55),'Ing Proyect'!$B$6:$G$7,2,0)*20,0,$U55*V$7)</f>
        <v>0</v>
      </c>
      <c r="W55" s="175">
        <f t="shared" si="8"/>
        <v>887633.304</v>
      </c>
      <c r="X55" s="175">
        <f t="shared" si="8"/>
        <v>73969.44200000001</v>
      </c>
      <c r="Y55" s="175">
        <f>IF($U55&lt;=HLOOKUP(YEAR($B55),'Ing Proyect'!$B$6:$G$7,2,0)*20,0,HLOOKUP(YEAR($B55),'Factor Proy'!$C$4:$L$15,9,0)*$U55*Y$7)</f>
        <v>0</v>
      </c>
      <c r="Z55" s="175">
        <f>IF($U55&lt;=HLOOKUP(YEAR($B55),'Ing Proyect'!$B$6:$G$7,2,0)*20,0,HLOOKUP(YEAR($B55),'Factor Proy'!$C$4:$L$15,9,0)*$U55*Z$7)</f>
        <v>0</v>
      </c>
      <c r="AA55" s="175">
        <f>HLOOKUP(YEAR($B55),'Factor Proy'!$C$4:$L$15,9,0)*$U55*AA$7</f>
        <v>147938.88400000002</v>
      </c>
      <c r="AB55" s="175">
        <f t="shared" si="9"/>
        <v>1109541.6300000001</v>
      </c>
      <c r="AC55" s="175">
        <f t="shared" si="10"/>
        <v>10983490.187200001</v>
      </c>
      <c r="AD55" s="175">
        <f t="shared" si="11"/>
        <v>124645365.48720001</v>
      </c>
      <c r="AE55" s="175">
        <f t="shared" si="12"/>
        <v>113661875.30000001</v>
      </c>
      <c r="AF55" s="359">
        <f t="shared" si="13"/>
        <v>10983490.187200001</v>
      </c>
      <c r="AG55" s="359">
        <f t="shared" si="14"/>
        <v>0</v>
      </c>
      <c r="AH55" s="175">
        <f>ROUND((Factor!$D$13/1)*1*SUM(E55:F55),0)</f>
        <v>1306793</v>
      </c>
      <c r="AI55" s="175">
        <f t="shared" si="15"/>
        <v>9369453</v>
      </c>
    </row>
    <row r="56" spans="1:35" x14ac:dyDescent="0.35">
      <c r="A56" s="18">
        <v>47</v>
      </c>
      <c r="B56" s="184">
        <v>43434</v>
      </c>
      <c r="C56" s="175">
        <f>SUMIF('RF 2018'!$D$10:$D$20,$C$4,'RF 2018'!$O$10:$O$20)</f>
        <v>25558800</v>
      </c>
      <c r="D56" s="175">
        <f>SUMIF('RV 2018'!$E$7:$M$7,$C$4,'RV 2018'!$E$33:$M$33)</f>
        <v>28693664.600000001</v>
      </c>
      <c r="E56" s="175">
        <f>SUMIF('RF 2018'!$D$22:$D$25,$C$4,'RF 2018'!$O$22:$O$25)</f>
        <v>3249000</v>
      </c>
      <c r="F56" s="175">
        <f>SUMIF('RV 2018'!$N$7:$O$7,$C$4,'RV 2018'!$N$33:$O$33)</f>
        <v>4147944.2</v>
      </c>
      <c r="G56" s="175">
        <f>IF(B56=MAX($B$9:$B$69),AI55+AH56,ROUND(IF(OR(MONTH($B56)=6,MONTH($B56)=12)=TRUE,(Factor!$C$9/2)*12*SUM(E56:F56),IF(MONTH($B56)=1,(Factor!$C$10*12)*SUM(E55:F55)*112%,0))+ROUND(IF(AND(MONTH($B56)=12,YEAR($B56)=2019)=TRUE,(Factor!$C$10*12)*SUM(E56:F56)*112%,0),0),0))*0+ROUND(IF(OR(MONTH($B56)=6,MONTH($B56)=12)=TRUE,(Factor!$C$9/2)*12*SUM(E56:F56),IF(MONTH($B56)=1,(Factor!$C$10*12)*SUM(E55:F55)*112%,0)),0)</f>
        <v>0</v>
      </c>
      <c r="H56" s="175">
        <f t="shared" si="4"/>
        <v>61649408.800000004</v>
      </c>
      <c r="I56" s="175">
        <f>SUMIF('RF 2018'!$D$10:$D$25,$I$4,'RF 2018'!$O$10:$O$25)</f>
        <v>27075000</v>
      </c>
      <c r="J56" s="175">
        <f>SUMIF('RV 2018'!$E$7:$O$7,$I$4,'RV 2018'!$E$33:$O$33)</f>
        <v>24937466.5</v>
      </c>
      <c r="K56" s="175">
        <f t="shared" si="17"/>
        <v>52012466.5</v>
      </c>
      <c r="L56" s="175">
        <f t="shared" si="5"/>
        <v>113661875.30000001</v>
      </c>
      <c r="M56" s="175">
        <f t="shared" si="18"/>
        <v>37976725.219999999</v>
      </c>
      <c r="N56" s="175">
        <f t="shared" si="16"/>
        <v>3228021.6436999999</v>
      </c>
      <c r="O56" s="175">
        <f t="shared" si="16"/>
        <v>4557207.0263999999</v>
      </c>
      <c r="P56" s="175">
        <f t="shared" si="16"/>
        <v>379767.25219999999</v>
      </c>
      <c r="Q56" s="175">
        <f>HLOOKUP(YEAR($B56),'Factor Proy'!$C$4:$L$15,9,0)*$M56*Q$7</f>
        <v>379767.25219999999</v>
      </c>
      <c r="R56" s="175">
        <f>HLOOKUP(YEAR($B56),'Factor Proy'!$C$4:$L$15,9,0)*$M56*R$7</f>
        <v>569650.87829999998</v>
      </c>
      <c r="S56" s="175">
        <f>HLOOKUP(YEAR($B56),'Factor Proy'!$C$4:$L$15,9,0)*$M56*S$7</f>
        <v>759534.50439999998</v>
      </c>
      <c r="T56" s="175">
        <f t="shared" si="6"/>
        <v>9873948.5571999997</v>
      </c>
      <c r="U56" s="175">
        <f t="shared" si="7"/>
        <v>7396944.2000000002</v>
      </c>
      <c r="V56" s="175">
        <f>IF($U56&lt;=HLOOKUP(YEAR($B56),'Ing Proyect'!$B$6:$G$7,2,0)*20,0,$U56*V$7)</f>
        <v>0</v>
      </c>
      <c r="W56" s="175">
        <f t="shared" si="8"/>
        <v>887633.304</v>
      </c>
      <c r="X56" s="175">
        <f t="shared" si="8"/>
        <v>73969.44200000001</v>
      </c>
      <c r="Y56" s="175">
        <f>IF($U56&lt;=HLOOKUP(YEAR($B56),'Ing Proyect'!$B$6:$G$7,2,0)*20,0,HLOOKUP(YEAR($B56),'Factor Proy'!$C$4:$L$15,9,0)*$U56*Y$7)</f>
        <v>0</v>
      </c>
      <c r="Z56" s="175">
        <f>IF($U56&lt;=HLOOKUP(YEAR($B56),'Ing Proyect'!$B$6:$G$7,2,0)*20,0,HLOOKUP(YEAR($B56),'Factor Proy'!$C$4:$L$15,9,0)*$U56*Z$7)</f>
        <v>0</v>
      </c>
      <c r="AA56" s="175">
        <f>HLOOKUP(YEAR($B56),'Factor Proy'!$C$4:$L$15,9,0)*$U56*AA$7</f>
        <v>147938.88400000002</v>
      </c>
      <c r="AB56" s="175">
        <f t="shared" si="9"/>
        <v>1109541.6300000001</v>
      </c>
      <c r="AC56" s="175">
        <f t="shared" si="10"/>
        <v>10983490.187200001</v>
      </c>
      <c r="AD56" s="175">
        <f t="shared" si="11"/>
        <v>124645365.48720001</v>
      </c>
      <c r="AE56" s="175">
        <f t="shared" si="12"/>
        <v>113661875.30000001</v>
      </c>
      <c r="AF56" s="359">
        <f t="shared" si="13"/>
        <v>10983490.187200001</v>
      </c>
      <c r="AG56" s="359">
        <f t="shared" si="14"/>
        <v>0</v>
      </c>
      <c r="AH56" s="175">
        <f>ROUND((Factor!$D$13/1)*1*SUM(E56:F56),0)</f>
        <v>1306793</v>
      </c>
      <c r="AI56" s="175">
        <f t="shared" si="15"/>
        <v>10676246</v>
      </c>
    </row>
    <row r="57" spans="1:35" x14ac:dyDescent="0.35">
      <c r="A57" s="18">
        <v>48</v>
      </c>
      <c r="B57" s="184">
        <v>43465</v>
      </c>
      <c r="C57" s="175">
        <f>SUMIF('RF 2018'!$D$10:$D$20,$C$4,'RF 2018'!$O$10:$O$20)</f>
        <v>25558800</v>
      </c>
      <c r="D57" s="175">
        <f>SUMIF('RV 2018'!$E$7:$M$7,$C$4,'RV 2018'!$E$33:$M$33)</f>
        <v>28693664.600000001</v>
      </c>
      <c r="E57" s="175">
        <f>SUMIF('RF 2018'!$D$22:$D$25,$C$4,'RF 2018'!$O$22:$O$25)</f>
        <v>3249000</v>
      </c>
      <c r="F57" s="175">
        <f>SUMIF('RV 2018'!$N$7:$O$7,$C$4,'RV 2018'!$N$33:$O$33)</f>
        <v>4147944.2</v>
      </c>
      <c r="G57" s="175">
        <f>IF(B57=MAX($B$9:$B$69),AI56+AH57,ROUND(IF(OR(MONTH($B57)=6,MONTH($B57)=12)=TRUE,(Factor!$C$9/2)*12*SUM(E57:F57),IF(MONTH($B57)=1,(Factor!$C$10*12)*SUM(E56:F56)*112%,0))+ROUND(IF(AND(MONTH($B57)=12,YEAR($B57)=2019)=TRUE,(Factor!$C$10*12)*SUM(E57:F57)*112%,0),0),0))*0+ROUND(IF(OR(MONTH($B57)=6,MONTH($B57)=12)=TRUE,(Factor!$C$9/2)*12*SUM(E57:F57),IF(MONTH($B57)=1,(Factor!$C$10*12)*SUM(E56:F56)*112%,0)),0)</f>
        <v>3698472</v>
      </c>
      <c r="H57" s="175">
        <f t="shared" si="4"/>
        <v>65347880.800000004</v>
      </c>
      <c r="I57" s="175">
        <f>SUMIF('RF 2018'!$D$10:$D$25,$I$4,'RF 2018'!$O$10:$O$25)</f>
        <v>27075000</v>
      </c>
      <c r="J57" s="175">
        <f>SUMIF('RV 2018'!$E$7:$O$7,$I$4,'RV 2018'!$E$33:$O$33)</f>
        <v>24937466.5</v>
      </c>
      <c r="K57" s="175">
        <f t="shared" si="17"/>
        <v>52012466.5</v>
      </c>
      <c r="L57" s="175">
        <f t="shared" si="5"/>
        <v>117360347.30000001</v>
      </c>
      <c r="M57" s="175">
        <f t="shared" si="18"/>
        <v>37976725.219999999</v>
      </c>
      <c r="N57" s="175">
        <f t="shared" si="16"/>
        <v>3228021.6436999999</v>
      </c>
      <c r="O57" s="175">
        <f t="shared" si="16"/>
        <v>4557207.0263999999</v>
      </c>
      <c r="P57" s="175">
        <f t="shared" si="16"/>
        <v>379767.25219999999</v>
      </c>
      <c r="Q57" s="175">
        <f>HLOOKUP(YEAR($B57),'Factor Proy'!$C$4:$L$15,9,0)*$M57*Q$7</f>
        <v>379767.25219999999</v>
      </c>
      <c r="R57" s="175">
        <f>HLOOKUP(YEAR($B57),'Factor Proy'!$C$4:$L$15,9,0)*$M57*R$7</f>
        <v>569650.87829999998</v>
      </c>
      <c r="S57" s="175">
        <f>HLOOKUP(YEAR($B57),'Factor Proy'!$C$4:$L$15,9,0)*$M57*S$7</f>
        <v>759534.50439999998</v>
      </c>
      <c r="T57" s="175">
        <f t="shared" si="6"/>
        <v>9873948.5571999997</v>
      </c>
      <c r="U57" s="175">
        <f t="shared" si="7"/>
        <v>7396944.2000000002</v>
      </c>
      <c r="V57" s="175">
        <f>IF($U57&lt;=HLOOKUP(YEAR($B57),'Ing Proyect'!$B$6:$G$7,2,0)*20,0,$U57*V$7)</f>
        <v>0</v>
      </c>
      <c r="W57" s="175">
        <f t="shared" si="8"/>
        <v>887633.304</v>
      </c>
      <c r="X57" s="175">
        <f t="shared" si="8"/>
        <v>73969.44200000001</v>
      </c>
      <c r="Y57" s="175">
        <f>IF($U57&lt;=HLOOKUP(YEAR($B57),'Ing Proyect'!$B$6:$G$7,2,0)*20,0,HLOOKUP(YEAR($B57),'Factor Proy'!$C$4:$L$15,9,0)*$U57*Y$7)</f>
        <v>0</v>
      </c>
      <c r="Z57" s="175">
        <f>IF($U57&lt;=HLOOKUP(YEAR($B57),'Ing Proyect'!$B$6:$G$7,2,0)*20,0,HLOOKUP(YEAR($B57),'Factor Proy'!$C$4:$L$15,9,0)*$U57*Z$7)</f>
        <v>0</v>
      </c>
      <c r="AA57" s="175">
        <f>HLOOKUP(YEAR($B57),'Factor Proy'!$C$4:$L$15,9,0)*$U57*AA$7</f>
        <v>147938.88400000002</v>
      </c>
      <c r="AB57" s="175">
        <f t="shared" si="9"/>
        <v>1109541.6300000001</v>
      </c>
      <c r="AC57" s="175">
        <f t="shared" si="10"/>
        <v>10983490.187200001</v>
      </c>
      <c r="AD57" s="175">
        <f t="shared" si="11"/>
        <v>128343837.48720001</v>
      </c>
      <c r="AE57" s="175">
        <f t="shared" si="12"/>
        <v>113661875.30000001</v>
      </c>
      <c r="AF57" s="359">
        <f t="shared" si="13"/>
        <v>10983490.187200001</v>
      </c>
      <c r="AG57" s="359">
        <f t="shared" si="14"/>
        <v>3698472</v>
      </c>
      <c r="AH57" s="175">
        <f>ROUND((Factor!$D$13/1)*1*SUM(E57:F57),0)</f>
        <v>1306793</v>
      </c>
      <c r="AI57" s="175">
        <f t="shared" si="15"/>
        <v>8284567</v>
      </c>
    </row>
    <row r="58" spans="1:35" x14ac:dyDescent="0.35">
      <c r="A58" s="18">
        <v>49</v>
      </c>
      <c r="B58" s="184">
        <v>43496</v>
      </c>
      <c r="C58" s="175">
        <f>SUMIF('RF 2019'!$D$10:$D$20,$C$4,'RF 2019'!$O$10:$O$20)</f>
        <v>26585400</v>
      </c>
      <c r="D58" s="175">
        <f>SUMIF('RV 2019'!$E$7:$M$7,$C$4,'RV 2019'!$E$33:$M$33)</f>
        <v>30474975.399999999</v>
      </c>
      <c r="E58" s="175">
        <f>SUMIF('RF 2019'!$D$22:$D$25,$C$4,'RF 2019'!$O$22:$O$25)</f>
        <v>3379500</v>
      </c>
      <c r="F58" s="175">
        <f>SUMIF('RV 2019'!$N$7:$O$7,$C$4,'RV 2019'!$N$33:$O$33)</f>
        <v>4533261.3000000007</v>
      </c>
      <c r="G58" s="175">
        <f>IF(B58=MAX($B$9:$B$69),AI57+AH58,ROUND(IF(OR(MONTH($B58)=6,MONTH($B58)=12)=TRUE,(Factor!$C$9/2)*12*SUM(E58:F58),IF(MONTH($B58)=1,(Factor!$C$10*12)*SUM(E57:F57)*112%,0))+ROUND(IF(AND(MONTH($B58)=12,YEAR($B58)=2019)=TRUE,(Factor!$C$10*12)*SUM(E58:F58)*112%,0),0),0))*0+ROUND(IF(OR(MONTH($B58)=6,MONTH($B58)=12)=TRUE,(Factor!$C$9/2)*12*SUM(E58:F58),IF(MONTH($B58)=1,(Factor!$C$10*12)*SUM(E57:F57)*112%,0)),0)</f>
        <v>8284578</v>
      </c>
      <c r="H58" s="175">
        <f t="shared" si="4"/>
        <v>73257714.700000003</v>
      </c>
      <c r="I58" s="175">
        <f>SUMIF('RF 2019'!$D$10:$D$25,$I$4,'RF 2019'!$O$10:$O$25)</f>
        <v>30415500</v>
      </c>
      <c r="J58" s="175">
        <f>SUMIF('RV 2019'!$E$7:$O$7,$I$4,'RV 2019'!$E$33:$O$33)</f>
        <v>29214048</v>
      </c>
      <c r="K58" s="175">
        <f t="shared" si="17"/>
        <v>59629548</v>
      </c>
      <c r="L58" s="175">
        <f t="shared" si="5"/>
        <v>132887262.7</v>
      </c>
      <c r="M58" s="175">
        <f t="shared" si="18"/>
        <v>39942262.779999994</v>
      </c>
      <c r="N58" s="175">
        <f t="shared" si="16"/>
        <v>3395092.3362999996</v>
      </c>
      <c r="O58" s="175">
        <f t="shared" si="16"/>
        <v>4793071.5335999988</v>
      </c>
      <c r="P58" s="175">
        <f t="shared" si="16"/>
        <v>399422.62779999996</v>
      </c>
      <c r="Q58" s="175">
        <f>HLOOKUP(YEAR($B58),'Factor Proy'!$C$4:$L$15,9,0)*$M58*Q$7</f>
        <v>599133.94169999985</v>
      </c>
      <c r="R58" s="175">
        <f>HLOOKUP(YEAR($B58),'Factor Proy'!$C$4:$L$15,9,0)*$M58*R$7</f>
        <v>898700.91254999978</v>
      </c>
      <c r="S58" s="175">
        <f>HLOOKUP(YEAR($B58),'Factor Proy'!$C$4:$L$15,9,0)*$M58*S$7</f>
        <v>1198267.8833999997</v>
      </c>
      <c r="T58" s="175">
        <f t="shared" si="6"/>
        <v>11283689.235349998</v>
      </c>
      <c r="U58" s="175">
        <f t="shared" si="7"/>
        <v>7912761.3000000007</v>
      </c>
      <c r="V58" s="175">
        <f>IF($U58&lt;=HLOOKUP(YEAR($B58),'Ing Proyect'!$B$6:$G$7,2,0)*20,0,$U58*V$7)</f>
        <v>0</v>
      </c>
      <c r="W58" s="175">
        <f t="shared" si="8"/>
        <v>949531.35600000003</v>
      </c>
      <c r="X58" s="175">
        <f t="shared" si="8"/>
        <v>79127.613000000012</v>
      </c>
      <c r="Y58" s="175">
        <f>IF($U58&lt;=HLOOKUP(YEAR($B58),'Ing Proyect'!$B$6:$G$7,2,0)*20,0,HLOOKUP(YEAR($B58),'Factor Proy'!$C$4:$L$15,9,0)*$U58*Y$7)</f>
        <v>0</v>
      </c>
      <c r="Z58" s="175">
        <f>IF($U58&lt;=HLOOKUP(YEAR($B58),'Ing Proyect'!$B$6:$G$7,2,0)*20,0,HLOOKUP(YEAR($B58),'Factor Proy'!$C$4:$L$15,9,0)*$U58*Z$7)</f>
        <v>0</v>
      </c>
      <c r="AA58" s="175">
        <f>HLOOKUP(YEAR($B58),'Factor Proy'!$C$4:$L$15,9,0)*$U58*AA$7</f>
        <v>237382.83900000004</v>
      </c>
      <c r="AB58" s="175">
        <f t="shared" si="9"/>
        <v>1266041.8080000002</v>
      </c>
      <c r="AC58" s="175">
        <f t="shared" si="10"/>
        <v>12549731.043349998</v>
      </c>
      <c r="AD58" s="175">
        <f t="shared" si="11"/>
        <v>145436993.74335</v>
      </c>
      <c r="AE58" s="175">
        <f t="shared" si="12"/>
        <v>124602684.7</v>
      </c>
      <c r="AF58" s="359">
        <f t="shared" si="13"/>
        <v>12549731.043349998</v>
      </c>
      <c r="AG58" s="359">
        <f t="shared" si="14"/>
        <v>8284578</v>
      </c>
      <c r="AH58" s="175">
        <f>ROUND((Factor!$D$13/1)*1*SUM(E58:F58),0)</f>
        <v>1397921</v>
      </c>
      <c r="AI58" s="175">
        <f t="shared" si="15"/>
        <v>1397910</v>
      </c>
    </row>
    <row r="59" spans="1:35" x14ac:dyDescent="0.35">
      <c r="A59" s="18">
        <v>50</v>
      </c>
      <c r="B59" s="184">
        <v>43524</v>
      </c>
      <c r="C59" s="175">
        <f>SUMIF('RF 2019'!$D$10:$D$20,$C$4,'RF 2019'!$O$10:$O$20)</f>
        <v>26585400</v>
      </c>
      <c r="D59" s="175">
        <f>SUMIF('RV 2019'!$E$7:$M$7,$C$4,'RV 2019'!$E$33:$M$33)</f>
        <v>30474975.399999999</v>
      </c>
      <c r="E59" s="175">
        <f>SUMIF('RF 2019'!$D$22:$D$25,$C$4,'RF 2019'!$O$22:$O$25)</f>
        <v>3379500</v>
      </c>
      <c r="F59" s="175">
        <f>SUMIF('RV 2019'!$N$7:$O$7,$C$4,'RV 2019'!$N$33:$O$33)</f>
        <v>4533261.3000000007</v>
      </c>
      <c r="G59" s="175">
        <f>IF(B59=MAX($B$9:$B$69),AI58+AH59,ROUND(IF(OR(MONTH($B59)=6,MONTH($B59)=12)=TRUE,(Factor!$C$9/2)*12*SUM(E59:F59),IF(MONTH($B59)=1,(Factor!$C$10*12)*SUM(E58:F58)*112%,0))+ROUND(IF(AND(MONTH($B59)=12,YEAR($B59)=2019)=TRUE,(Factor!$C$10*12)*SUM(E59:F59)*112%,0),0),0))*0+ROUND(IF(OR(MONTH($B59)=6,MONTH($B59)=12)=TRUE,(Factor!$C$9/2)*12*SUM(E59:F59),IF(MONTH($B59)=1,(Factor!$C$10*12)*SUM(E58:F58)*112%,0)),0)</f>
        <v>0</v>
      </c>
      <c r="H59" s="175">
        <f t="shared" si="4"/>
        <v>64973136.700000003</v>
      </c>
      <c r="I59" s="175">
        <f>SUMIF('RF 2019'!$D$10:$D$25,$I$4,'RF 2019'!$O$10:$O$25)</f>
        <v>30415500</v>
      </c>
      <c r="J59" s="175">
        <f>SUMIF('RV 2019'!$E$7:$O$7,$I$4,'RV 2019'!$E$33:$O$33)</f>
        <v>29214048</v>
      </c>
      <c r="K59" s="175">
        <f t="shared" si="17"/>
        <v>59629548</v>
      </c>
      <c r="L59" s="175">
        <f t="shared" si="5"/>
        <v>124602684.7</v>
      </c>
      <c r="M59" s="175">
        <f t="shared" si="18"/>
        <v>39942262.779999994</v>
      </c>
      <c r="N59" s="175">
        <f t="shared" si="16"/>
        <v>3395092.3362999996</v>
      </c>
      <c r="O59" s="175">
        <f t="shared" si="16"/>
        <v>4793071.5335999988</v>
      </c>
      <c r="P59" s="175">
        <f t="shared" si="16"/>
        <v>399422.62779999996</v>
      </c>
      <c r="Q59" s="175">
        <f>HLOOKUP(YEAR($B59),'Factor Proy'!$C$4:$L$15,9,0)*$M59*Q$7</f>
        <v>599133.94169999985</v>
      </c>
      <c r="R59" s="175">
        <f>HLOOKUP(YEAR($B59),'Factor Proy'!$C$4:$L$15,9,0)*$M59*R$7</f>
        <v>898700.91254999978</v>
      </c>
      <c r="S59" s="175">
        <f>HLOOKUP(YEAR($B59),'Factor Proy'!$C$4:$L$15,9,0)*$M59*S$7</f>
        <v>1198267.8833999997</v>
      </c>
      <c r="T59" s="175">
        <f t="shared" si="6"/>
        <v>11283689.235349998</v>
      </c>
      <c r="U59" s="175">
        <f t="shared" si="7"/>
        <v>7912761.3000000007</v>
      </c>
      <c r="V59" s="175">
        <f>IF($U59&lt;=HLOOKUP(YEAR($B59),'Ing Proyect'!$B$6:$G$7,2,0)*20,0,$U59*V$7)</f>
        <v>0</v>
      </c>
      <c r="W59" s="175">
        <f t="shared" si="8"/>
        <v>949531.35600000003</v>
      </c>
      <c r="X59" s="175">
        <f t="shared" si="8"/>
        <v>79127.613000000012</v>
      </c>
      <c r="Y59" s="175">
        <f>IF($U59&lt;=HLOOKUP(YEAR($B59),'Ing Proyect'!$B$6:$G$7,2,0)*20,0,HLOOKUP(YEAR($B59),'Factor Proy'!$C$4:$L$15,9,0)*$U59*Y$7)</f>
        <v>0</v>
      </c>
      <c r="Z59" s="175">
        <f>IF($U59&lt;=HLOOKUP(YEAR($B59),'Ing Proyect'!$B$6:$G$7,2,0)*20,0,HLOOKUP(YEAR($B59),'Factor Proy'!$C$4:$L$15,9,0)*$U59*Z$7)</f>
        <v>0</v>
      </c>
      <c r="AA59" s="175">
        <f>HLOOKUP(YEAR($B59),'Factor Proy'!$C$4:$L$15,9,0)*$U59*AA$7</f>
        <v>237382.83900000004</v>
      </c>
      <c r="AB59" s="175">
        <f t="shared" si="9"/>
        <v>1266041.8080000002</v>
      </c>
      <c r="AC59" s="175">
        <f t="shared" si="10"/>
        <v>12549731.043349998</v>
      </c>
      <c r="AD59" s="175">
        <f t="shared" si="11"/>
        <v>137152415.74335</v>
      </c>
      <c r="AE59" s="175">
        <f t="shared" si="12"/>
        <v>124602684.7</v>
      </c>
      <c r="AF59" s="359">
        <f t="shared" si="13"/>
        <v>12549731.043349998</v>
      </c>
      <c r="AG59" s="359">
        <f t="shared" si="14"/>
        <v>0</v>
      </c>
      <c r="AH59" s="175">
        <f>ROUND((Factor!$D$13/1)*1*SUM(E59:F59),0)</f>
        <v>1397921</v>
      </c>
      <c r="AI59" s="175">
        <f t="shared" si="15"/>
        <v>2795831</v>
      </c>
    </row>
    <row r="60" spans="1:35" x14ac:dyDescent="0.35">
      <c r="A60" s="18">
        <v>51</v>
      </c>
      <c r="B60" s="184">
        <v>43555</v>
      </c>
      <c r="C60" s="175">
        <f>SUMIF('RF 2019'!$D$10:$D$20,$C$4,'RF 2019'!$O$10:$O$20)</f>
        <v>26585400</v>
      </c>
      <c r="D60" s="175">
        <f>SUMIF('RV 2019'!$E$7:$M$7,$C$4,'RV 2019'!$E$33:$M$33)</f>
        <v>30474975.399999999</v>
      </c>
      <c r="E60" s="175">
        <f>SUMIF('RF 2019'!$D$22:$D$25,$C$4,'RF 2019'!$O$22:$O$25)</f>
        <v>3379500</v>
      </c>
      <c r="F60" s="175">
        <f>SUMIF('RV 2019'!$N$7:$O$7,$C$4,'RV 2019'!$N$33:$O$33)</f>
        <v>4533261.3000000007</v>
      </c>
      <c r="G60" s="175">
        <f>IF(B60=MAX($B$9:$B$69),AI59+AH60,ROUND(IF(OR(MONTH($B60)=6,MONTH($B60)=12)=TRUE,(Factor!$C$9/2)*12*SUM(E60:F60),IF(MONTH($B60)=1,(Factor!$C$10*12)*SUM(E59:F59)*112%,0))+ROUND(IF(AND(MONTH($B60)=12,YEAR($B60)=2019)=TRUE,(Factor!$C$10*12)*SUM(E60:F60)*112%,0),0),0))*0+ROUND(IF(OR(MONTH($B60)=6,MONTH($B60)=12)=TRUE,(Factor!$C$9/2)*12*SUM(E60:F60),IF(MONTH($B60)=1,(Factor!$C$10*12)*SUM(E59:F59)*112%,0)),0)</f>
        <v>0</v>
      </c>
      <c r="H60" s="175">
        <f t="shared" si="4"/>
        <v>64973136.700000003</v>
      </c>
      <c r="I60" s="175">
        <f>SUMIF('RF 2019'!$D$10:$D$25,$I$4,'RF 2019'!$O$10:$O$25)</f>
        <v>30415500</v>
      </c>
      <c r="J60" s="175">
        <f>SUMIF('RV 2019'!$E$7:$O$7,$I$4,'RV 2019'!$E$33:$O$33)</f>
        <v>29214048</v>
      </c>
      <c r="K60" s="175">
        <f t="shared" si="17"/>
        <v>59629548</v>
      </c>
      <c r="L60" s="175">
        <f t="shared" si="5"/>
        <v>124602684.7</v>
      </c>
      <c r="M60" s="175">
        <f t="shared" si="18"/>
        <v>39942262.779999994</v>
      </c>
      <c r="N60" s="175">
        <f t="shared" si="16"/>
        <v>3395092.3362999996</v>
      </c>
      <c r="O60" s="175">
        <f t="shared" si="16"/>
        <v>4793071.5335999988</v>
      </c>
      <c r="P60" s="175">
        <f t="shared" si="16"/>
        <v>399422.62779999996</v>
      </c>
      <c r="Q60" s="175">
        <f>HLOOKUP(YEAR($B60),'Factor Proy'!$C$4:$L$15,9,0)*$M60*Q$7</f>
        <v>599133.94169999985</v>
      </c>
      <c r="R60" s="175">
        <f>HLOOKUP(YEAR($B60),'Factor Proy'!$C$4:$L$15,9,0)*$M60*R$7</f>
        <v>898700.91254999978</v>
      </c>
      <c r="S60" s="175">
        <f>HLOOKUP(YEAR($B60),'Factor Proy'!$C$4:$L$15,9,0)*$M60*S$7</f>
        <v>1198267.8833999997</v>
      </c>
      <c r="T60" s="175">
        <f t="shared" si="6"/>
        <v>11283689.235349998</v>
      </c>
      <c r="U60" s="175">
        <f t="shared" si="7"/>
        <v>7912761.3000000007</v>
      </c>
      <c r="V60" s="175">
        <f>IF($U60&lt;=HLOOKUP(YEAR($B60),'Ing Proyect'!$B$6:$G$7,2,0)*20,0,$U60*V$7)</f>
        <v>0</v>
      </c>
      <c r="W60" s="175">
        <f t="shared" si="8"/>
        <v>949531.35600000003</v>
      </c>
      <c r="X60" s="175">
        <f t="shared" si="8"/>
        <v>79127.613000000012</v>
      </c>
      <c r="Y60" s="175">
        <f>IF($U60&lt;=HLOOKUP(YEAR($B60),'Ing Proyect'!$B$6:$G$7,2,0)*20,0,HLOOKUP(YEAR($B60),'Factor Proy'!$C$4:$L$15,9,0)*$U60*Y$7)</f>
        <v>0</v>
      </c>
      <c r="Z60" s="175">
        <f>IF($U60&lt;=HLOOKUP(YEAR($B60),'Ing Proyect'!$B$6:$G$7,2,0)*20,0,HLOOKUP(YEAR($B60),'Factor Proy'!$C$4:$L$15,9,0)*$U60*Z$7)</f>
        <v>0</v>
      </c>
      <c r="AA60" s="175">
        <f>HLOOKUP(YEAR($B60),'Factor Proy'!$C$4:$L$15,9,0)*$U60*AA$7</f>
        <v>237382.83900000004</v>
      </c>
      <c r="AB60" s="175">
        <f t="shared" si="9"/>
        <v>1266041.8080000002</v>
      </c>
      <c r="AC60" s="175">
        <f t="shared" si="10"/>
        <v>12549731.043349998</v>
      </c>
      <c r="AD60" s="175">
        <f t="shared" si="11"/>
        <v>137152415.74335</v>
      </c>
      <c r="AE60" s="175">
        <f t="shared" si="12"/>
        <v>124602684.7</v>
      </c>
      <c r="AF60" s="359">
        <f t="shared" si="13"/>
        <v>12549731.043349998</v>
      </c>
      <c r="AG60" s="359">
        <f t="shared" si="14"/>
        <v>0</v>
      </c>
      <c r="AH60" s="175">
        <f>ROUND((Factor!$D$13/1)*1*SUM(E60:F60),0)</f>
        <v>1397921</v>
      </c>
      <c r="AI60" s="175">
        <f t="shared" si="15"/>
        <v>4193752</v>
      </c>
    </row>
    <row r="61" spans="1:35" x14ac:dyDescent="0.35">
      <c r="A61" s="18">
        <v>52</v>
      </c>
      <c r="B61" s="184">
        <v>43585</v>
      </c>
      <c r="C61" s="175">
        <f>SUMIF('RF 2019'!$D$10:$D$20,$C$4,'RF 2019'!$O$10:$O$20)</f>
        <v>26585400</v>
      </c>
      <c r="D61" s="175">
        <f>SUMIF('RV 2019'!$E$7:$M$7,$C$4,'RV 2019'!$E$33:$M$33)</f>
        <v>30474975.399999999</v>
      </c>
      <c r="E61" s="175">
        <f>SUMIF('RF 2019'!$D$22:$D$25,$C$4,'RF 2019'!$O$22:$O$25)</f>
        <v>3379500</v>
      </c>
      <c r="F61" s="175">
        <f>SUMIF('RV 2019'!$N$7:$O$7,$C$4,'RV 2019'!$N$33:$O$33)</f>
        <v>4533261.3000000007</v>
      </c>
      <c r="G61" s="175">
        <f>IF(B61=MAX($B$9:$B$69),AI60+AH61,ROUND(IF(OR(MONTH($B61)=6,MONTH($B61)=12)=TRUE,(Factor!$C$9/2)*12*SUM(E61:F61),IF(MONTH($B61)=1,(Factor!$C$10*12)*SUM(E60:F60)*112%,0))+ROUND(IF(AND(MONTH($B61)=12,YEAR($B61)=2019)=TRUE,(Factor!$C$10*12)*SUM(E61:F61)*112%,0),0),0))*0+ROUND(IF(OR(MONTH($B61)=6,MONTH($B61)=12)=TRUE,(Factor!$C$9/2)*12*SUM(E61:F61),IF(MONTH($B61)=1,(Factor!$C$10*12)*SUM(E60:F60)*112%,0)),0)</f>
        <v>0</v>
      </c>
      <c r="H61" s="175">
        <f t="shared" si="4"/>
        <v>64973136.700000003</v>
      </c>
      <c r="I61" s="175">
        <f>SUMIF('RF 2019'!$D$10:$D$25,$I$4,'RF 2019'!$O$10:$O$25)</f>
        <v>30415500</v>
      </c>
      <c r="J61" s="175">
        <f>SUMIF('RV 2019'!$E$7:$O$7,$I$4,'RV 2019'!$E$33:$O$33)</f>
        <v>29214048</v>
      </c>
      <c r="K61" s="175">
        <f t="shared" si="17"/>
        <v>59629548</v>
      </c>
      <c r="L61" s="175">
        <f t="shared" si="5"/>
        <v>124602684.7</v>
      </c>
      <c r="M61" s="175">
        <f t="shared" si="18"/>
        <v>39942262.779999994</v>
      </c>
      <c r="N61" s="175">
        <f t="shared" si="16"/>
        <v>3395092.3362999996</v>
      </c>
      <c r="O61" s="175">
        <f t="shared" si="16"/>
        <v>4793071.5335999988</v>
      </c>
      <c r="P61" s="175">
        <f t="shared" si="16"/>
        <v>399422.62779999996</v>
      </c>
      <c r="Q61" s="175">
        <f>HLOOKUP(YEAR($B61),'Factor Proy'!$C$4:$L$15,9,0)*$M61*Q$7</f>
        <v>599133.94169999985</v>
      </c>
      <c r="R61" s="175">
        <f>HLOOKUP(YEAR($B61),'Factor Proy'!$C$4:$L$15,9,0)*$M61*R$7</f>
        <v>898700.91254999978</v>
      </c>
      <c r="S61" s="175">
        <f>HLOOKUP(YEAR($B61),'Factor Proy'!$C$4:$L$15,9,0)*$M61*S$7</f>
        <v>1198267.8833999997</v>
      </c>
      <c r="T61" s="175">
        <f t="shared" si="6"/>
        <v>11283689.235349998</v>
      </c>
      <c r="U61" s="175">
        <f t="shared" si="7"/>
        <v>7912761.3000000007</v>
      </c>
      <c r="V61" s="175">
        <f>IF($U61&lt;=HLOOKUP(YEAR($B61),'Ing Proyect'!$B$6:$G$7,2,0)*20,0,$U61*V$7)</f>
        <v>0</v>
      </c>
      <c r="W61" s="175">
        <f t="shared" si="8"/>
        <v>949531.35600000003</v>
      </c>
      <c r="X61" s="175">
        <f t="shared" si="8"/>
        <v>79127.613000000012</v>
      </c>
      <c r="Y61" s="175">
        <f>IF($U61&lt;=HLOOKUP(YEAR($B61),'Ing Proyect'!$B$6:$G$7,2,0)*20,0,HLOOKUP(YEAR($B61),'Factor Proy'!$C$4:$L$15,9,0)*$U61*Y$7)</f>
        <v>0</v>
      </c>
      <c r="Z61" s="175">
        <f>IF($U61&lt;=HLOOKUP(YEAR($B61),'Ing Proyect'!$B$6:$G$7,2,0)*20,0,HLOOKUP(YEAR($B61),'Factor Proy'!$C$4:$L$15,9,0)*$U61*Z$7)</f>
        <v>0</v>
      </c>
      <c r="AA61" s="175">
        <f>HLOOKUP(YEAR($B61),'Factor Proy'!$C$4:$L$15,9,0)*$U61*AA$7</f>
        <v>237382.83900000004</v>
      </c>
      <c r="AB61" s="175">
        <f t="shared" si="9"/>
        <v>1266041.8080000002</v>
      </c>
      <c r="AC61" s="175">
        <f t="shared" si="10"/>
        <v>12549731.043349998</v>
      </c>
      <c r="AD61" s="175">
        <f t="shared" si="11"/>
        <v>137152415.74335</v>
      </c>
      <c r="AE61" s="175">
        <f t="shared" si="12"/>
        <v>124602684.7</v>
      </c>
      <c r="AF61" s="359">
        <f t="shared" si="13"/>
        <v>12549731.043349998</v>
      </c>
      <c r="AG61" s="359">
        <f t="shared" si="14"/>
        <v>0</v>
      </c>
      <c r="AH61" s="175">
        <f>ROUND((Factor!$D$13/1)*1*SUM(E61:F61),0)</f>
        <v>1397921</v>
      </c>
      <c r="AI61" s="175">
        <f t="shared" si="15"/>
        <v>5591673</v>
      </c>
    </row>
    <row r="62" spans="1:35" x14ac:dyDescent="0.35">
      <c r="A62" s="18">
        <v>53</v>
      </c>
      <c r="B62" s="184">
        <v>43616</v>
      </c>
      <c r="C62" s="175">
        <f>SUMIF('RF 2019'!$D$10:$D$20,$C$4,'RF 2019'!$O$10:$O$20)</f>
        <v>26585400</v>
      </c>
      <c r="D62" s="175">
        <f>SUMIF('RV 2019'!$E$7:$M$7,$C$4,'RV 2019'!$E$33:$M$33)</f>
        <v>30474975.399999999</v>
      </c>
      <c r="E62" s="175">
        <f>SUMIF('RF 2019'!$D$22:$D$25,$C$4,'RF 2019'!$O$22:$O$25)</f>
        <v>3379500</v>
      </c>
      <c r="F62" s="175">
        <f>SUMIF('RV 2019'!$N$7:$O$7,$C$4,'RV 2019'!$N$33:$O$33)</f>
        <v>4533261.3000000007</v>
      </c>
      <c r="G62" s="175">
        <f>IF(B62=MAX($B$9:$B$69),AI61+AH62,ROUND(IF(OR(MONTH($B62)=6,MONTH($B62)=12)=TRUE,(Factor!$C$9/2)*12*SUM(E62:F62),IF(MONTH($B62)=1,(Factor!$C$10*12)*SUM(E61:F61)*112%,0))+ROUND(IF(AND(MONTH($B62)=12,YEAR($B62)=2019)=TRUE,(Factor!$C$10*12)*SUM(E62:F62)*112%,0),0),0))*0+ROUND(IF(OR(MONTH($B62)=6,MONTH($B62)=12)=TRUE,(Factor!$C$9/2)*12*SUM(E62:F62),IF(MONTH($B62)=1,(Factor!$C$10*12)*SUM(E61:F61)*112%,0)),0)</f>
        <v>0</v>
      </c>
      <c r="H62" s="175">
        <f t="shared" si="4"/>
        <v>64973136.700000003</v>
      </c>
      <c r="I62" s="175">
        <f>SUMIF('RF 2019'!$D$10:$D$25,$I$4,'RF 2019'!$O$10:$O$25)</f>
        <v>30415500</v>
      </c>
      <c r="J62" s="175">
        <f>SUMIF('RV 2019'!$E$7:$O$7,$I$4,'RV 2019'!$E$33:$O$33)</f>
        <v>29214048</v>
      </c>
      <c r="K62" s="175">
        <f t="shared" si="17"/>
        <v>59629548</v>
      </c>
      <c r="L62" s="175">
        <f t="shared" si="5"/>
        <v>124602684.7</v>
      </c>
      <c r="M62" s="175">
        <f t="shared" si="18"/>
        <v>39942262.779999994</v>
      </c>
      <c r="N62" s="175">
        <f t="shared" si="16"/>
        <v>3395092.3362999996</v>
      </c>
      <c r="O62" s="175">
        <f t="shared" si="16"/>
        <v>4793071.5335999988</v>
      </c>
      <c r="P62" s="175">
        <f t="shared" si="16"/>
        <v>399422.62779999996</v>
      </c>
      <c r="Q62" s="175">
        <f>HLOOKUP(YEAR($B62),'Factor Proy'!$C$4:$L$15,9,0)*$M62*Q$7</f>
        <v>599133.94169999985</v>
      </c>
      <c r="R62" s="175">
        <f>HLOOKUP(YEAR($B62),'Factor Proy'!$C$4:$L$15,9,0)*$M62*R$7</f>
        <v>898700.91254999978</v>
      </c>
      <c r="S62" s="175">
        <f>HLOOKUP(YEAR($B62),'Factor Proy'!$C$4:$L$15,9,0)*$M62*S$7</f>
        <v>1198267.8833999997</v>
      </c>
      <c r="T62" s="175">
        <f t="shared" si="6"/>
        <v>11283689.235349998</v>
      </c>
      <c r="U62" s="175">
        <f t="shared" si="7"/>
        <v>7912761.3000000007</v>
      </c>
      <c r="V62" s="175">
        <f>IF($U62&lt;=HLOOKUP(YEAR($B62),'Ing Proyect'!$B$6:$G$7,2,0)*20,0,$U62*V$7)</f>
        <v>0</v>
      </c>
      <c r="W62" s="175">
        <f t="shared" si="8"/>
        <v>949531.35600000003</v>
      </c>
      <c r="X62" s="175">
        <f t="shared" si="8"/>
        <v>79127.613000000012</v>
      </c>
      <c r="Y62" s="175">
        <f>IF($U62&lt;=HLOOKUP(YEAR($B62),'Ing Proyect'!$B$6:$G$7,2,0)*20,0,HLOOKUP(YEAR($B62),'Factor Proy'!$C$4:$L$15,9,0)*$U62*Y$7)</f>
        <v>0</v>
      </c>
      <c r="Z62" s="175">
        <f>IF($U62&lt;=HLOOKUP(YEAR($B62),'Ing Proyect'!$B$6:$G$7,2,0)*20,0,HLOOKUP(YEAR($B62),'Factor Proy'!$C$4:$L$15,9,0)*$U62*Z$7)</f>
        <v>0</v>
      </c>
      <c r="AA62" s="175">
        <f>HLOOKUP(YEAR($B62),'Factor Proy'!$C$4:$L$15,9,0)*$U62*AA$7</f>
        <v>237382.83900000004</v>
      </c>
      <c r="AB62" s="175">
        <f t="shared" si="9"/>
        <v>1266041.8080000002</v>
      </c>
      <c r="AC62" s="175">
        <f t="shared" si="10"/>
        <v>12549731.043349998</v>
      </c>
      <c r="AD62" s="175">
        <f t="shared" si="11"/>
        <v>137152415.74335</v>
      </c>
      <c r="AE62" s="175">
        <f t="shared" si="12"/>
        <v>124602684.7</v>
      </c>
      <c r="AF62" s="359">
        <f t="shared" si="13"/>
        <v>12549731.043349998</v>
      </c>
      <c r="AG62" s="359">
        <f t="shared" si="14"/>
        <v>0</v>
      </c>
      <c r="AH62" s="175">
        <f>ROUND((Factor!$D$13/1)*1*SUM(E62:F62),0)</f>
        <v>1397921</v>
      </c>
      <c r="AI62" s="175">
        <f t="shared" si="15"/>
        <v>6989594</v>
      </c>
    </row>
    <row r="63" spans="1:35" x14ac:dyDescent="0.35">
      <c r="A63" s="18">
        <v>54</v>
      </c>
      <c r="B63" s="184">
        <v>43646</v>
      </c>
      <c r="C63" s="175">
        <f>SUMIF('RF 2019'!$D$10:$D$20,$C$4,'RF 2019'!$O$10:$O$20)</f>
        <v>26585400</v>
      </c>
      <c r="D63" s="175">
        <f>SUMIF('RV 2019'!$E$7:$M$7,$C$4,'RV 2019'!$E$33:$M$33)</f>
        <v>30474975.399999999</v>
      </c>
      <c r="E63" s="175">
        <f>SUMIF('RF 2019'!$D$22:$D$25,$C$4,'RF 2019'!$O$22:$O$25)</f>
        <v>3379500</v>
      </c>
      <c r="F63" s="175">
        <f>SUMIF('RV 2019'!$N$7:$O$7,$C$4,'RV 2019'!$N$33:$O$33)</f>
        <v>4533261.3000000007</v>
      </c>
      <c r="G63" s="175">
        <f>IF(B63=MAX($B$9:$B$69),AI62+AH63,ROUND(IF(OR(MONTH($B63)=6,MONTH($B63)=12)=TRUE,(Factor!$C$9/2)*12*SUM(E63:F63),IF(MONTH($B63)=1,(Factor!$C$10*12)*SUM(E62:F62)*112%,0))+ROUND(IF(AND(MONTH($B63)=12,YEAR($B63)=2019)=TRUE,(Factor!$C$10*12)*SUM(E63:F63)*112%,0),0),0))*0+ROUND(IF(OR(MONTH($B63)=6,MONTH($B63)=12)=TRUE,(Factor!$C$9/2)*12*SUM(E63:F63),IF(MONTH($B63)=1,(Factor!$C$10*12)*SUM(E62:F62)*112%,0)),0)</f>
        <v>3956381</v>
      </c>
      <c r="H63" s="175">
        <f t="shared" si="4"/>
        <v>68929517.700000003</v>
      </c>
      <c r="I63" s="175">
        <f>SUMIF('RF 2019'!$D$10:$D$25,$I$4,'RF 2019'!$O$10:$O$25)</f>
        <v>30415500</v>
      </c>
      <c r="J63" s="175">
        <f>SUMIF('RV 2019'!$E$7:$O$7,$I$4,'RV 2019'!$E$33:$O$33)</f>
        <v>29214048</v>
      </c>
      <c r="K63" s="175">
        <f t="shared" si="17"/>
        <v>59629548</v>
      </c>
      <c r="L63" s="175">
        <f t="shared" si="5"/>
        <v>128559065.7</v>
      </c>
      <c r="M63" s="175">
        <f t="shared" si="18"/>
        <v>39942262.779999994</v>
      </c>
      <c r="N63" s="175">
        <f t="shared" si="16"/>
        <v>3395092.3362999996</v>
      </c>
      <c r="O63" s="175">
        <f t="shared" si="16"/>
        <v>4793071.5335999988</v>
      </c>
      <c r="P63" s="175">
        <f t="shared" si="16"/>
        <v>399422.62779999996</v>
      </c>
      <c r="Q63" s="175">
        <f>HLOOKUP(YEAR($B63),'Factor Proy'!$C$4:$L$15,9,0)*$M63*Q$7</f>
        <v>599133.94169999985</v>
      </c>
      <c r="R63" s="175">
        <f>HLOOKUP(YEAR($B63),'Factor Proy'!$C$4:$L$15,9,0)*$M63*R$7</f>
        <v>898700.91254999978</v>
      </c>
      <c r="S63" s="175">
        <f>HLOOKUP(YEAR($B63),'Factor Proy'!$C$4:$L$15,9,0)*$M63*S$7</f>
        <v>1198267.8833999997</v>
      </c>
      <c r="T63" s="175">
        <f t="shared" si="6"/>
        <v>11283689.235349998</v>
      </c>
      <c r="U63" s="175">
        <f t="shared" si="7"/>
        <v>7912761.3000000007</v>
      </c>
      <c r="V63" s="175">
        <f>IF($U63&lt;=HLOOKUP(YEAR($B63),'Ing Proyect'!$B$6:$G$7,2,0)*20,0,$U63*V$7)</f>
        <v>0</v>
      </c>
      <c r="W63" s="175">
        <f t="shared" si="8"/>
        <v>949531.35600000003</v>
      </c>
      <c r="X63" s="175">
        <f t="shared" si="8"/>
        <v>79127.613000000012</v>
      </c>
      <c r="Y63" s="175">
        <f>IF($U63&lt;=HLOOKUP(YEAR($B63),'Ing Proyect'!$B$6:$G$7,2,0)*20,0,HLOOKUP(YEAR($B63),'Factor Proy'!$C$4:$L$15,9,0)*$U63*Y$7)</f>
        <v>0</v>
      </c>
      <c r="Z63" s="175">
        <f>IF($U63&lt;=HLOOKUP(YEAR($B63),'Ing Proyect'!$B$6:$G$7,2,0)*20,0,HLOOKUP(YEAR($B63),'Factor Proy'!$C$4:$L$15,9,0)*$U63*Z$7)</f>
        <v>0</v>
      </c>
      <c r="AA63" s="175">
        <f>HLOOKUP(YEAR($B63),'Factor Proy'!$C$4:$L$15,9,0)*$U63*AA$7</f>
        <v>237382.83900000004</v>
      </c>
      <c r="AB63" s="175">
        <f t="shared" si="9"/>
        <v>1266041.8080000002</v>
      </c>
      <c r="AC63" s="175">
        <f t="shared" si="10"/>
        <v>12549731.043349998</v>
      </c>
      <c r="AD63" s="175">
        <f t="shared" si="11"/>
        <v>141108796.74335</v>
      </c>
      <c r="AE63" s="175">
        <f t="shared" si="12"/>
        <v>124602684.7</v>
      </c>
      <c r="AF63" s="359">
        <f t="shared" si="13"/>
        <v>12549731.043349998</v>
      </c>
      <c r="AG63" s="359">
        <f t="shared" si="14"/>
        <v>3956381</v>
      </c>
      <c r="AH63" s="175">
        <f>ROUND((Factor!$D$13/1)*1*SUM(E63:F63),0)</f>
        <v>1397921</v>
      </c>
      <c r="AI63" s="175">
        <f t="shared" si="15"/>
        <v>4431134</v>
      </c>
    </row>
    <row r="64" spans="1:35" x14ac:dyDescent="0.35">
      <c r="A64" s="18">
        <v>55</v>
      </c>
      <c r="B64" s="184">
        <v>43677</v>
      </c>
      <c r="C64" s="175">
        <f>SUMIF('RF 2019'!$D$10:$D$20,$C$4,'RF 2019'!$O$10:$O$20)</f>
        <v>26585400</v>
      </c>
      <c r="D64" s="175">
        <f>SUMIF('RV 2019'!$E$7:$M$7,$C$4,'RV 2019'!$E$33:$M$33)</f>
        <v>30474975.399999999</v>
      </c>
      <c r="E64" s="175">
        <f>SUMIF('RF 2019'!$D$22:$D$25,$C$4,'RF 2019'!$O$22:$O$25)</f>
        <v>3379500</v>
      </c>
      <c r="F64" s="175">
        <f>SUMIF('RV 2019'!$N$7:$O$7,$C$4,'RV 2019'!$N$33:$O$33)</f>
        <v>4533261.3000000007</v>
      </c>
      <c r="G64" s="175">
        <f>IF(B64=MAX($B$9:$B$69),AI63+AH64,ROUND(IF(OR(MONTH($B64)=6,MONTH($B64)=12)=TRUE,(Factor!$C$9/2)*12*SUM(E64:F64),IF(MONTH($B64)=1,(Factor!$C$10*12)*SUM(E63:F63)*112%,0))+ROUND(IF(AND(MONTH($B64)=12,YEAR($B64)=2019)=TRUE,(Factor!$C$10*12)*SUM(E64:F64)*112%,0),0),0))*0+ROUND(IF(OR(MONTH($B64)=6,MONTH($B64)=12)=TRUE,(Factor!$C$9/2)*12*SUM(E64:F64),IF(MONTH($B64)=1,(Factor!$C$10*12)*SUM(E63:F63)*112%,0)),0)</f>
        <v>0</v>
      </c>
      <c r="H64" s="175">
        <f t="shared" si="4"/>
        <v>64973136.700000003</v>
      </c>
      <c r="I64" s="175">
        <f>SUMIF('RF 2019'!$D$10:$D$25,$I$4,'RF 2019'!$O$10:$O$25)</f>
        <v>30415500</v>
      </c>
      <c r="J64" s="175">
        <f>SUMIF('RV 2019'!$E$7:$O$7,$I$4,'RV 2019'!$E$33:$O$33)</f>
        <v>29214048</v>
      </c>
      <c r="K64" s="175">
        <f t="shared" si="17"/>
        <v>59629548</v>
      </c>
      <c r="L64" s="175">
        <f t="shared" si="5"/>
        <v>124602684.7</v>
      </c>
      <c r="M64" s="175">
        <f t="shared" si="18"/>
        <v>39942262.779999994</v>
      </c>
      <c r="N64" s="175">
        <f t="shared" si="16"/>
        <v>3395092.3362999996</v>
      </c>
      <c r="O64" s="175">
        <f t="shared" si="16"/>
        <v>4793071.5335999988</v>
      </c>
      <c r="P64" s="175">
        <f t="shared" si="16"/>
        <v>399422.62779999996</v>
      </c>
      <c r="Q64" s="175">
        <f>HLOOKUP(YEAR($B64),'Factor Proy'!$C$4:$L$15,9,0)*$M64*Q$7</f>
        <v>599133.94169999985</v>
      </c>
      <c r="R64" s="175">
        <f>HLOOKUP(YEAR($B64),'Factor Proy'!$C$4:$L$15,9,0)*$M64*R$7</f>
        <v>898700.91254999978</v>
      </c>
      <c r="S64" s="175">
        <f>HLOOKUP(YEAR($B64),'Factor Proy'!$C$4:$L$15,9,0)*$M64*S$7</f>
        <v>1198267.8833999997</v>
      </c>
      <c r="T64" s="175">
        <f t="shared" si="6"/>
        <v>11283689.235349998</v>
      </c>
      <c r="U64" s="175">
        <f t="shared" si="7"/>
        <v>7912761.3000000007</v>
      </c>
      <c r="V64" s="175">
        <f>IF($U64&lt;=HLOOKUP(YEAR($B64),'Ing Proyect'!$B$6:$G$7,2,0)*20,0,$U64*V$7)</f>
        <v>0</v>
      </c>
      <c r="W64" s="175">
        <f t="shared" si="8"/>
        <v>949531.35600000003</v>
      </c>
      <c r="X64" s="175">
        <f t="shared" si="8"/>
        <v>79127.613000000012</v>
      </c>
      <c r="Y64" s="175">
        <f>IF($U64&lt;=HLOOKUP(YEAR($B64),'Ing Proyect'!$B$6:$G$7,2,0)*20,0,HLOOKUP(YEAR($B64),'Factor Proy'!$C$4:$L$15,9,0)*$U64*Y$7)</f>
        <v>0</v>
      </c>
      <c r="Z64" s="175">
        <f>IF($U64&lt;=HLOOKUP(YEAR($B64),'Ing Proyect'!$B$6:$G$7,2,0)*20,0,HLOOKUP(YEAR($B64),'Factor Proy'!$C$4:$L$15,9,0)*$U64*Z$7)</f>
        <v>0</v>
      </c>
      <c r="AA64" s="175">
        <f>HLOOKUP(YEAR($B64),'Factor Proy'!$C$4:$L$15,9,0)*$U64*AA$7</f>
        <v>237382.83900000004</v>
      </c>
      <c r="AB64" s="175">
        <f t="shared" si="9"/>
        <v>1266041.8080000002</v>
      </c>
      <c r="AC64" s="175">
        <f t="shared" si="10"/>
        <v>12549731.043349998</v>
      </c>
      <c r="AD64" s="175">
        <f t="shared" si="11"/>
        <v>137152415.74335</v>
      </c>
      <c r="AE64" s="175">
        <f t="shared" si="12"/>
        <v>124602684.7</v>
      </c>
      <c r="AF64" s="359">
        <f t="shared" si="13"/>
        <v>12549731.043349998</v>
      </c>
      <c r="AG64" s="359">
        <f t="shared" si="14"/>
        <v>0</v>
      </c>
      <c r="AH64" s="175">
        <f>ROUND((Factor!$D$13/1)*1*SUM(E64:F64),0)</f>
        <v>1397921</v>
      </c>
      <c r="AI64" s="175">
        <f t="shared" si="15"/>
        <v>5829055</v>
      </c>
    </row>
    <row r="65" spans="1:35" x14ac:dyDescent="0.35">
      <c r="A65" s="18">
        <v>56</v>
      </c>
      <c r="B65" s="184">
        <v>43708</v>
      </c>
      <c r="C65" s="175">
        <f>SUMIF('RF 2019'!$D$10:$D$20,$C$4,'RF 2019'!$O$10:$O$20)</f>
        <v>26585400</v>
      </c>
      <c r="D65" s="175">
        <f>SUMIF('RV 2019'!$E$7:$M$7,$C$4,'RV 2019'!$E$33:$M$33)</f>
        <v>30474975.399999999</v>
      </c>
      <c r="E65" s="175">
        <f>SUMIF('RF 2019'!$D$22:$D$25,$C$4,'RF 2019'!$O$22:$O$25)</f>
        <v>3379500</v>
      </c>
      <c r="F65" s="175">
        <f>SUMIF('RV 2019'!$N$7:$O$7,$C$4,'RV 2019'!$N$33:$O$33)</f>
        <v>4533261.3000000007</v>
      </c>
      <c r="G65" s="175">
        <f>IF(B65=MAX($B$9:$B$69),AI64+AH65,ROUND(IF(OR(MONTH($B65)=6,MONTH($B65)=12)=TRUE,(Factor!$C$9/2)*12*SUM(E65:F65),IF(MONTH($B65)=1,(Factor!$C$10*12)*SUM(E64:F64)*112%,0))+ROUND(IF(AND(MONTH($B65)=12,YEAR($B65)=2019)=TRUE,(Factor!$C$10*12)*SUM(E65:F65)*112%,0),0),0))*0+ROUND(IF(OR(MONTH($B65)=6,MONTH($B65)=12)=TRUE,(Factor!$C$9/2)*12*SUM(E65:F65),IF(MONTH($B65)=1,(Factor!$C$10*12)*SUM(E64:F64)*112%,0)),0)</f>
        <v>0</v>
      </c>
      <c r="H65" s="175">
        <f t="shared" si="4"/>
        <v>64973136.700000003</v>
      </c>
      <c r="I65" s="175">
        <f>SUMIF('RF 2019'!$D$10:$D$25,$I$4,'RF 2019'!$O$10:$O$25)</f>
        <v>30415500</v>
      </c>
      <c r="J65" s="175">
        <f>SUMIF('RV 2019'!$E$7:$O$7,$I$4,'RV 2019'!$E$33:$O$33)</f>
        <v>29214048</v>
      </c>
      <c r="K65" s="175">
        <f t="shared" si="17"/>
        <v>59629548</v>
      </c>
      <c r="L65" s="175">
        <f t="shared" si="5"/>
        <v>124602684.7</v>
      </c>
      <c r="M65" s="175">
        <f t="shared" si="18"/>
        <v>39942262.779999994</v>
      </c>
      <c r="N65" s="175">
        <f t="shared" si="16"/>
        <v>3395092.3362999996</v>
      </c>
      <c r="O65" s="175">
        <f t="shared" si="16"/>
        <v>4793071.5335999988</v>
      </c>
      <c r="P65" s="175">
        <f t="shared" si="16"/>
        <v>399422.62779999996</v>
      </c>
      <c r="Q65" s="175">
        <f>HLOOKUP(YEAR($B65),'Factor Proy'!$C$4:$L$15,9,0)*$M65*Q$7</f>
        <v>599133.94169999985</v>
      </c>
      <c r="R65" s="175">
        <f>HLOOKUP(YEAR($B65),'Factor Proy'!$C$4:$L$15,9,0)*$M65*R$7</f>
        <v>898700.91254999978</v>
      </c>
      <c r="S65" s="175">
        <f>HLOOKUP(YEAR($B65),'Factor Proy'!$C$4:$L$15,9,0)*$M65*S$7</f>
        <v>1198267.8833999997</v>
      </c>
      <c r="T65" s="175">
        <f t="shared" si="6"/>
        <v>11283689.235349998</v>
      </c>
      <c r="U65" s="175">
        <f t="shared" si="7"/>
        <v>7912761.3000000007</v>
      </c>
      <c r="V65" s="175">
        <f>IF($U65&lt;=HLOOKUP(YEAR($B65),'Ing Proyect'!$B$6:$G$7,2,0)*20,0,$U65*V$7)</f>
        <v>0</v>
      </c>
      <c r="W65" s="175">
        <f t="shared" si="8"/>
        <v>949531.35600000003</v>
      </c>
      <c r="X65" s="175">
        <f t="shared" si="8"/>
        <v>79127.613000000012</v>
      </c>
      <c r="Y65" s="175">
        <f>IF($U65&lt;=HLOOKUP(YEAR($B65),'Ing Proyect'!$B$6:$G$7,2,0)*20,0,HLOOKUP(YEAR($B65),'Factor Proy'!$C$4:$L$15,9,0)*$U65*Y$7)</f>
        <v>0</v>
      </c>
      <c r="Z65" s="175">
        <f>IF($U65&lt;=HLOOKUP(YEAR($B65),'Ing Proyect'!$B$6:$G$7,2,0)*20,0,HLOOKUP(YEAR($B65),'Factor Proy'!$C$4:$L$15,9,0)*$U65*Z$7)</f>
        <v>0</v>
      </c>
      <c r="AA65" s="175">
        <f>HLOOKUP(YEAR($B65),'Factor Proy'!$C$4:$L$15,9,0)*$U65*AA$7</f>
        <v>237382.83900000004</v>
      </c>
      <c r="AB65" s="175">
        <f t="shared" si="9"/>
        <v>1266041.8080000002</v>
      </c>
      <c r="AC65" s="175">
        <f t="shared" si="10"/>
        <v>12549731.043349998</v>
      </c>
      <c r="AD65" s="175">
        <f t="shared" si="11"/>
        <v>137152415.74335</v>
      </c>
      <c r="AE65" s="175">
        <f t="shared" si="12"/>
        <v>124602684.7</v>
      </c>
      <c r="AF65" s="359">
        <f t="shared" si="13"/>
        <v>12549731.043349998</v>
      </c>
      <c r="AG65" s="359">
        <f t="shared" si="14"/>
        <v>0</v>
      </c>
      <c r="AH65" s="175">
        <f>ROUND((Factor!$D$13/1)*1*SUM(E65:F65),0)</f>
        <v>1397921</v>
      </c>
      <c r="AI65" s="175">
        <f t="shared" si="15"/>
        <v>7226976</v>
      </c>
    </row>
    <row r="66" spans="1:35" x14ac:dyDescent="0.35">
      <c r="A66" s="18">
        <v>57</v>
      </c>
      <c r="B66" s="184">
        <v>43738</v>
      </c>
      <c r="C66" s="175">
        <f>SUMIF('RF 2019'!$D$10:$D$20,$C$4,'RF 2019'!$O$10:$O$20)</f>
        <v>26585400</v>
      </c>
      <c r="D66" s="175">
        <f>SUMIF('RV 2019'!$E$7:$M$7,$C$4,'RV 2019'!$E$33:$M$33)</f>
        <v>30474975.399999999</v>
      </c>
      <c r="E66" s="175">
        <f>SUMIF('RF 2019'!$D$22:$D$25,$C$4,'RF 2019'!$O$22:$O$25)</f>
        <v>3379500</v>
      </c>
      <c r="F66" s="175">
        <f>SUMIF('RV 2019'!$N$7:$O$7,$C$4,'RV 2019'!$N$33:$O$33)</f>
        <v>4533261.3000000007</v>
      </c>
      <c r="G66" s="175">
        <f>IF(B66=MAX($B$9:$B$69),AI65+AH66,ROUND(IF(OR(MONTH($B66)=6,MONTH($B66)=12)=TRUE,(Factor!$C$9/2)*12*SUM(E66:F66),IF(MONTH($B66)=1,(Factor!$C$10*12)*SUM(E65:F65)*112%,0))+ROUND(IF(AND(MONTH($B66)=12,YEAR($B66)=2019)=TRUE,(Factor!$C$10*12)*SUM(E66:F66)*112%,0),0),0))*0+ROUND(IF(OR(MONTH($B66)=6,MONTH($B66)=12)=TRUE,(Factor!$C$9/2)*12*SUM(E66:F66),IF(MONTH($B66)=1,(Factor!$C$10*12)*SUM(E65:F65)*112%,0)),0)</f>
        <v>0</v>
      </c>
      <c r="H66" s="175">
        <f t="shared" si="4"/>
        <v>64973136.700000003</v>
      </c>
      <c r="I66" s="175">
        <f>SUMIF('RF 2019'!$D$10:$D$25,$I$4,'RF 2019'!$O$10:$O$25)</f>
        <v>30415500</v>
      </c>
      <c r="J66" s="175">
        <f>SUMIF('RV 2019'!$E$7:$O$7,$I$4,'RV 2019'!$E$33:$O$33)</f>
        <v>29214048</v>
      </c>
      <c r="K66" s="175">
        <f t="shared" si="17"/>
        <v>59629548</v>
      </c>
      <c r="L66" s="175">
        <f t="shared" si="5"/>
        <v>124602684.7</v>
      </c>
      <c r="M66" s="175">
        <f t="shared" si="18"/>
        <v>39942262.779999994</v>
      </c>
      <c r="N66" s="175">
        <f t="shared" si="16"/>
        <v>3395092.3362999996</v>
      </c>
      <c r="O66" s="175">
        <f t="shared" si="16"/>
        <v>4793071.5335999988</v>
      </c>
      <c r="P66" s="175">
        <f t="shared" si="16"/>
        <v>399422.62779999996</v>
      </c>
      <c r="Q66" s="175">
        <f>HLOOKUP(YEAR($B66),'Factor Proy'!$C$4:$L$15,9,0)*$M66*Q$7</f>
        <v>599133.94169999985</v>
      </c>
      <c r="R66" s="175">
        <f>HLOOKUP(YEAR($B66),'Factor Proy'!$C$4:$L$15,9,0)*$M66*R$7</f>
        <v>898700.91254999978</v>
      </c>
      <c r="S66" s="175">
        <f>HLOOKUP(YEAR($B66),'Factor Proy'!$C$4:$L$15,9,0)*$M66*S$7</f>
        <v>1198267.8833999997</v>
      </c>
      <c r="T66" s="175">
        <f t="shared" si="6"/>
        <v>11283689.235349998</v>
      </c>
      <c r="U66" s="175">
        <f t="shared" si="7"/>
        <v>7912761.3000000007</v>
      </c>
      <c r="V66" s="175">
        <f>IF($U66&lt;=HLOOKUP(YEAR($B66),'Ing Proyect'!$B$6:$G$7,2,0)*20,0,$U66*V$7)</f>
        <v>0</v>
      </c>
      <c r="W66" s="175">
        <f t="shared" si="8"/>
        <v>949531.35600000003</v>
      </c>
      <c r="X66" s="175">
        <f t="shared" si="8"/>
        <v>79127.613000000012</v>
      </c>
      <c r="Y66" s="175">
        <f>IF($U66&lt;=HLOOKUP(YEAR($B66),'Ing Proyect'!$B$6:$G$7,2,0)*20,0,HLOOKUP(YEAR($B66),'Factor Proy'!$C$4:$L$15,9,0)*$U66*Y$7)</f>
        <v>0</v>
      </c>
      <c r="Z66" s="175">
        <f>IF($U66&lt;=HLOOKUP(YEAR($B66),'Ing Proyect'!$B$6:$G$7,2,0)*20,0,HLOOKUP(YEAR($B66),'Factor Proy'!$C$4:$L$15,9,0)*$U66*Z$7)</f>
        <v>0</v>
      </c>
      <c r="AA66" s="175">
        <f>HLOOKUP(YEAR($B66),'Factor Proy'!$C$4:$L$15,9,0)*$U66*AA$7</f>
        <v>237382.83900000004</v>
      </c>
      <c r="AB66" s="175">
        <f t="shared" si="9"/>
        <v>1266041.8080000002</v>
      </c>
      <c r="AC66" s="175">
        <f t="shared" si="10"/>
        <v>12549731.043349998</v>
      </c>
      <c r="AD66" s="175">
        <f t="shared" si="11"/>
        <v>137152415.74335</v>
      </c>
      <c r="AE66" s="175">
        <f t="shared" si="12"/>
        <v>124602684.7</v>
      </c>
      <c r="AF66" s="359">
        <f t="shared" si="13"/>
        <v>12549731.043349998</v>
      </c>
      <c r="AG66" s="359">
        <f t="shared" si="14"/>
        <v>0</v>
      </c>
      <c r="AH66" s="175">
        <f>ROUND((Factor!$D$13/1)*1*SUM(E66:F66),0)</f>
        <v>1397921</v>
      </c>
      <c r="AI66" s="175">
        <f t="shared" si="15"/>
        <v>8624897</v>
      </c>
    </row>
    <row r="67" spans="1:35" x14ac:dyDescent="0.35">
      <c r="A67" s="18">
        <v>58</v>
      </c>
      <c r="B67" s="184">
        <v>43769</v>
      </c>
      <c r="C67" s="175">
        <f>SUMIF('RF 2019'!$D$10:$D$20,$C$4,'RF 2019'!$O$10:$O$20)</f>
        <v>26585400</v>
      </c>
      <c r="D67" s="175">
        <f>SUMIF('RV 2019'!$E$7:$M$7,$C$4,'RV 2019'!$E$33:$M$33)</f>
        <v>30474975.399999999</v>
      </c>
      <c r="E67" s="175">
        <f>SUMIF('RF 2019'!$D$22:$D$25,$C$4,'RF 2019'!$O$22:$O$25)</f>
        <v>3379500</v>
      </c>
      <c r="F67" s="175">
        <f>SUMIF('RV 2019'!$N$7:$O$7,$C$4,'RV 2019'!$N$33:$O$33)</f>
        <v>4533261.3000000007</v>
      </c>
      <c r="G67" s="175">
        <f>IF(B67=MAX($B$9:$B$69),AI66+AH67,ROUND(IF(OR(MONTH($B67)=6,MONTH($B67)=12)=TRUE,(Factor!$C$9/2)*12*SUM(E67:F67),IF(MONTH($B67)=1,(Factor!$C$10*12)*SUM(E66:F66)*112%,0))+ROUND(IF(AND(MONTH($B67)=12,YEAR($B67)=2019)=TRUE,(Factor!$C$10*12)*SUM(E67:F67)*112%,0),0),0))*0+ROUND(IF(OR(MONTH($B67)=6,MONTH($B67)=12)=TRUE,(Factor!$C$9/2)*12*SUM(E67:F67),IF(MONTH($B67)=1,(Factor!$C$10*12)*SUM(E66:F66)*112%,0)),0)</f>
        <v>0</v>
      </c>
      <c r="H67" s="175">
        <f t="shared" si="4"/>
        <v>64973136.700000003</v>
      </c>
      <c r="I67" s="175">
        <f>SUMIF('RF 2019'!$D$10:$D$25,$I$4,'RF 2019'!$O$10:$O$25)</f>
        <v>30415500</v>
      </c>
      <c r="J67" s="175">
        <f>SUMIF('RV 2019'!$E$7:$O$7,$I$4,'RV 2019'!$E$33:$O$33)</f>
        <v>29214048</v>
      </c>
      <c r="K67" s="175">
        <f t="shared" si="17"/>
        <v>59629548</v>
      </c>
      <c r="L67" s="175">
        <f t="shared" si="5"/>
        <v>124602684.7</v>
      </c>
      <c r="M67" s="175">
        <f t="shared" si="18"/>
        <v>39942262.779999994</v>
      </c>
      <c r="N67" s="175">
        <f t="shared" si="16"/>
        <v>3395092.3362999996</v>
      </c>
      <c r="O67" s="175">
        <f t="shared" si="16"/>
        <v>4793071.5335999988</v>
      </c>
      <c r="P67" s="175">
        <f t="shared" si="16"/>
        <v>399422.62779999996</v>
      </c>
      <c r="Q67" s="175">
        <f>HLOOKUP(YEAR($B67),'Factor Proy'!$C$4:$L$15,9,0)*$M67*Q$7</f>
        <v>599133.94169999985</v>
      </c>
      <c r="R67" s="175">
        <f>HLOOKUP(YEAR($B67),'Factor Proy'!$C$4:$L$15,9,0)*$M67*R$7</f>
        <v>898700.91254999978</v>
      </c>
      <c r="S67" s="175">
        <f>HLOOKUP(YEAR($B67),'Factor Proy'!$C$4:$L$15,9,0)*$M67*S$7</f>
        <v>1198267.8833999997</v>
      </c>
      <c r="T67" s="175">
        <f t="shared" si="6"/>
        <v>11283689.235349998</v>
      </c>
      <c r="U67" s="175">
        <f t="shared" si="7"/>
        <v>7912761.3000000007</v>
      </c>
      <c r="V67" s="175">
        <f>IF($U67&lt;=HLOOKUP(YEAR($B67),'Ing Proyect'!$B$6:$G$7,2,0)*20,0,$U67*V$7)</f>
        <v>0</v>
      </c>
      <c r="W67" s="175">
        <f t="shared" si="8"/>
        <v>949531.35600000003</v>
      </c>
      <c r="X67" s="175">
        <f t="shared" si="8"/>
        <v>79127.613000000012</v>
      </c>
      <c r="Y67" s="175">
        <f>IF($U67&lt;=HLOOKUP(YEAR($B67),'Ing Proyect'!$B$6:$G$7,2,0)*20,0,HLOOKUP(YEAR($B67),'Factor Proy'!$C$4:$L$15,9,0)*$U67*Y$7)</f>
        <v>0</v>
      </c>
      <c r="Z67" s="175">
        <f>IF($U67&lt;=HLOOKUP(YEAR($B67),'Ing Proyect'!$B$6:$G$7,2,0)*20,0,HLOOKUP(YEAR($B67),'Factor Proy'!$C$4:$L$15,9,0)*$U67*Z$7)</f>
        <v>0</v>
      </c>
      <c r="AA67" s="175">
        <f>HLOOKUP(YEAR($B67),'Factor Proy'!$C$4:$L$15,9,0)*$U67*AA$7</f>
        <v>237382.83900000004</v>
      </c>
      <c r="AB67" s="175">
        <f t="shared" si="9"/>
        <v>1266041.8080000002</v>
      </c>
      <c r="AC67" s="175">
        <f t="shared" si="10"/>
        <v>12549731.043349998</v>
      </c>
      <c r="AD67" s="175">
        <f t="shared" si="11"/>
        <v>137152415.74335</v>
      </c>
      <c r="AE67" s="175">
        <f t="shared" si="12"/>
        <v>124602684.7</v>
      </c>
      <c r="AF67" s="359">
        <f t="shared" si="13"/>
        <v>12549731.043349998</v>
      </c>
      <c r="AG67" s="359">
        <f t="shared" si="14"/>
        <v>0</v>
      </c>
      <c r="AH67" s="175">
        <f>ROUND((Factor!$D$13/1)*1*SUM(E67:F67),0)</f>
        <v>1397921</v>
      </c>
      <c r="AI67" s="175">
        <f t="shared" si="15"/>
        <v>10022818</v>
      </c>
    </row>
    <row r="68" spans="1:35" x14ac:dyDescent="0.35">
      <c r="A68" s="18">
        <v>59</v>
      </c>
      <c r="B68" s="184">
        <v>43799</v>
      </c>
      <c r="C68" s="175">
        <f>SUMIF('RF 2019'!$D$10:$D$20,$C$4,'RF 2019'!$O$10:$O$20)</f>
        <v>26585400</v>
      </c>
      <c r="D68" s="175">
        <f>SUMIF('RV 2019'!$E$7:$M$7,$C$4,'RV 2019'!$E$33:$M$33)</f>
        <v>30474975.399999999</v>
      </c>
      <c r="E68" s="175">
        <f>SUMIF('RF 2019'!$D$22:$D$25,$C$4,'RF 2019'!$O$22:$O$25)</f>
        <v>3379500</v>
      </c>
      <c r="F68" s="175">
        <f>SUMIF('RV 2019'!$N$7:$O$7,$C$4,'RV 2019'!$N$33:$O$33)</f>
        <v>4533261.3000000007</v>
      </c>
      <c r="G68" s="175">
        <f>IF(B68=MAX($B$9:$B$69),AI67+AH68,ROUND(IF(OR(MONTH($B68)=6,MONTH($B68)=12)=TRUE,(Factor!$C$9/2)*12*SUM(E68:F68),IF(MONTH($B68)=1,(Factor!$C$10*12)*SUM(E67:F67)*112%,0))+ROUND(IF(AND(MONTH($B68)=12,YEAR($B68)=2019)=TRUE,(Factor!$C$10*12)*SUM(E68:F68)*112%,0),0),0))*0+ROUND(IF(OR(MONTH($B68)=6,MONTH($B68)=12)=TRUE,(Factor!$C$9/2)*12*SUM(E68:F68),IF(MONTH($B68)=1,(Factor!$C$10*12)*SUM(E67:F67)*112%,0)),0)</f>
        <v>0</v>
      </c>
      <c r="H68" s="175">
        <f t="shared" si="4"/>
        <v>64973136.700000003</v>
      </c>
      <c r="I68" s="175">
        <f>SUMIF('RF 2019'!$D$10:$D$25,$I$4,'RF 2019'!$O$10:$O$25)</f>
        <v>30415500</v>
      </c>
      <c r="J68" s="175">
        <f>SUMIF('RV 2019'!$E$7:$O$7,$I$4,'RV 2019'!$E$33:$O$33)</f>
        <v>29214048</v>
      </c>
      <c r="K68" s="175">
        <f t="shared" si="17"/>
        <v>59629548</v>
      </c>
      <c r="L68" s="175">
        <f t="shared" si="5"/>
        <v>124602684.7</v>
      </c>
      <c r="M68" s="175">
        <f t="shared" si="18"/>
        <v>39942262.779999994</v>
      </c>
      <c r="N68" s="175">
        <f t="shared" si="16"/>
        <v>3395092.3362999996</v>
      </c>
      <c r="O68" s="175">
        <f t="shared" si="16"/>
        <v>4793071.5335999988</v>
      </c>
      <c r="P68" s="175">
        <f t="shared" si="16"/>
        <v>399422.62779999996</v>
      </c>
      <c r="Q68" s="175">
        <f>HLOOKUP(YEAR($B68),'Factor Proy'!$C$4:$L$15,9,0)*$M68*Q$7</f>
        <v>599133.94169999985</v>
      </c>
      <c r="R68" s="175">
        <f>HLOOKUP(YEAR($B68),'Factor Proy'!$C$4:$L$15,9,0)*$M68*R$7</f>
        <v>898700.91254999978</v>
      </c>
      <c r="S68" s="175">
        <f>HLOOKUP(YEAR($B68),'Factor Proy'!$C$4:$L$15,9,0)*$M68*S$7</f>
        <v>1198267.8833999997</v>
      </c>
      <c r="T68" s="175">
        <f t="shared" si="6"/>
        <v>11283689.235349998</v>
      </c>
      <c r="U68" s="175">
        <f t="shared" si="7"/>
        <v>7912761.3000000007</v>
      </c>
      <c r="V68" s="175">
        <f>IF($U68&lt;=HLOOKUP(YEAR($B68),'Ing Proyect'!$B$6:$G$7,2,0)*20,0,$U68*V$7)</f>
        <v>0</v>
      </c>
      <c r="W68" s="175">
        <f t="shared" si="8"/>
        <v>949531.35600000003</v>
      </c>
      <c r="X68" s="175">
        <f t="shared" si="8"/>
        <v>79127.613000000012</v>
      </c>
      <c r="Y68" s="175">
        <f>IF($U68&lt;=HLOOKUP(YEAR($B68),'Ing Proyect'!$B$6:$G$7,2,0)*20,0,HLOOKUP(YEAR($B68),'Factor Proy'!$C$4:$L$15,9,0)*$U68*Y$7)</f>
        <v>0</v>
      </c>
      <c r="Z68" s="175">
        <f>IF($U68&lt;=HLOOKUP(YEAR($B68),'Ing Proyect'!$B$6:$G$7,2,0)*20,0,HLOOKUP(YEAR($B68),'Factor Proy'!$C$4:$L$15,9,0)*$U68*Z$7)</f>
        <v>0</v>
      </c>
      <c r="AA68" s="175">
        <f>HLOOKUP(YEAR($B68),'Factor Proy'!$C$4:$L$15,9,0)*$U68*AA$7</f>
        <v>237382.83900000004</v>
      </c>
      <c r="AB68" s="175">
        <f t="shared" si="9"/>
        <v>1266041.8080000002</v>
      </c>
      <c r="AC68" s="175">
        <f t="shared" si="10"/>
        <v>12549731.043349998</v>
      </c>
      <c r="AD68" s="175">
        <f t="shared" si="11"/>
        <v>137152415.74335</v>
      </c>
      <c r="AE68" s="175">
        <f t="shared" si="12"/>
        <v>124602684.7</v>
      </c>
      <c r="AF68" s="359">
        <f t="shared" si="13"/>
        <v>12549731.043349998</v>
      </c>
      <c r="AG68" s="359">
        <f t="shared" si="14"/>
        <v>0</v>
      </c>
      <c r="AH68" s="175">
        <f>ROUND((Factor!$D$13/1)*1*SUM(E68:F68),0)</f>
        <v>1397921</v>
      </c>
      <c r="AI68" s="175">
        <f t="shared" si="15"/>
        <v>11420739</v>
      </c>
    </row>
    <row r="69" spans="1:35" x14ac:dyDescent="0.35">
      <c r="A69" s="18">
        <v>60</v>
      </c>
      <c r="B69" s="184">
        <v>43830</v>
      </c>
      <c r="C69" s="175">
        <f>SUMIF('RF 2019'!$D$10:$D$20,$C$4,'RF 2019'!$O$10:$O$20)</f>
        <v>26585400</v>
      </c>
      <c r="D69" s="175">
        <f>SUMIF('RV 2019'!$E$7:$M$7,$C$4,'RV 2019'!$E$33:$M$33)</f>
        <v>30474975.399999999</v>
      </c>
      <c r="E69" s="175">
        <f>SUMIF('RF 2019'!$D$22:$D$25,$C$4,'RF 2019'!$O$22:$O$25)</f>
        <v>3379500</v>
      </c>
      <c r="F69" s="175">
        <f>SUMIF('RV 2019'!$N$7:$O$7,$C$4,'RV 2019'!$N$33:$O$33)</f>
        <v>4533261.3000000007</v>
      </c>
      <c r="G69" s="175">
        <f>IF(B69=MAX($B$9:$B$69),AI68+AH69,ROUND(IF(OR(MONTH($B69)=6,MONTH($B69)=12)=TRUE,(Factor!$C$9/2)*12*SUM(E69:F69),IF(MONTH($B69)=1,(Factor!$C$10*12)*SUM(E68:F68)*112%,0))+ROUND(IF(AND(MONTH($B69)=12,YEAR($B69)=2019)=TRUE,(Factor!$C$10*12)*SUM(E69:F69)*112%,0),0),0))*0+ROUND(IF(OR(MONTH($B69)=6,MONTH($B69)=12)=TRUE,(Factor!$C$9/2)*12*SUM(E69:F69),IF(MONTH($B69)=1,(Factor!$C$10*12)*SUM(E68:F68)*112%,0)),0)</f>
        <v>3956381</v>
      </c>
      <c r="H69" s="175">
        <f t="shared" si="4"/>
        <v>68929517.700000003</v>
      </c>
      <c r="I69" s="175">
        <f>SUMIF('RF 2019'!$D$10:$D$25,$I$4,'RF 2019'!$O$10:$O$25)</f>
        <v>30415500</v>
      </c>
      <c r="J69" s="175">
        <f>SUMIF('RV 2019'!$E$7:$O$7,$I$4,'RV 2019'!$E$33:$O$33)</f>
        <v>29214048</v>
      </c>
      <c r="K69" s="175">
        <f t="shared" si="17"/>
        <v>59629548</v>
      </c>
      <c r="L69" s="175">
        <f t="shared" si="5"/>
        <v>128559065.7</v>
      </c>
      <c r="M69" s="175">
        <f t="shared" si="18"/>
        <v>39942262.779999994</v>
      </c>
      <c r="N69" s="175">
        <f t="shared" si="16"/>
        <v>3395092.3362999996</v>
      </c>
      <c r="O69" s="175">
        <f t="shared" si="16"/>
        <v>4793071.5335999988</v>
      </c>
      <c r="P69" s="175">
        <f t="shared" si="16"/>
        <v>399422.62779999996</v>
      </c>
      <c r="Q69" s="175">
        <f>HLOOKUP(YEAR($B69),'Factor Proy'!$C$4:$L$15,9,0)*$M69*Q$7</f>
        <v>599133.94169999985</v>
      </c>
      <c r="R69" s="175">
        <f>HLOOKUP(YEAR($B69),'Factor Proy'!$C$4:$L$15,9,0)*$M69*R$7</f>
        <v>898700.91254999978</v>
      </c>
      <c r="S69" s="175">
        <f>HLOOKUP(YEAR($B69),'Factor Proy'!$C$4:$L$15,9,0)*$M69*S$7</f>
        <v>1198267.8833999997</v>
      </c>
      <c r="T69" s="175">
        <f t="shared" si="6"/>
        <v>11283689.235349998</v>
      </c>
      <c r="U69" s="175">
        <f t="shared" si="7"/>
        <v>7912761.3000000007</v>
      </c>
      <c r="V69" s="175">
        <f>IF($U69&lt;=HLOOKUP(YEAR($B69),'Ing Proyect'!$B$6:$G$7,2,0)*20,0,$U69*V$7)</f>
        <v>0</v>
      </c>
      <c r="W69" s="175">
        <f t="shared" si="8"/>
        <v>949531.35600000003</v>
      </c>
      <c r="X69" s="175">
        <f t="shared" si="8"/>
        <v>79127.613000000012</v>
      </c>
      <c r="Y69" s="175">
        <f>IF($U69&lt;=HLOOKUP(YEAR($B69),'Ing Proyect'!$B$6:$G$7,2,0)*20,0,HLOOKUP(YEAR($B69),'Factor Proy'!$C$4:$L$15,9,0)*$U69*Y$7)</f>
        <v>0</v>
      </c>
      <c r="Z69" s="175">
        <f>IF($U69&lt;=HLOOKUP(YEAR($B69),'Ing Proyect'!$B$6:$G$7,2,0)*20,0,HLOOKUP(YEAR($B69),'Factor Proy'!$C$4:$L$15,9,0)*$U69*Z$7)</f>
        <v>0</v>
      </c>
      <c r="AA69" s="175">
        <f>HLOOKUP(YEAR($B69),'Factor Proy'!$C$4:$L$15,9,0)*$U69*AA$7</f>
        <v>237382.83900000004</v>
      </c>
      <c r="AB69" s="175">
        <f t="shared" si="9"/>
        <v>1266041.8080000002</v>
      </c>
      <c r="AC69" s="175">
        <f t="shared" si="10"/>
        <v>12549731.043349998</v>
      </c>
      <c r="AD69" s="175">
        <f t="shared" si="11"/>
        <v>141108796.74335</v>
      </c>
      <c r="AE69" s="175">
        <f t="shared" si="12"/>
        <v>124602684.7</v>
      </c>
      <c r="AF69" s="359">
        <f t="shared" si="13"/>
        <v>12549731.043349998</v>
      </c>
      <c r="AG69" s="359">
        <f t="shared" si="14"/>
        <v>3956381</v>
      </c>
      <c r="AH69" s="175">
        <f>ROUND((Factor!$D$13/1)*1*SUM(E69:F69),0)</f>
        <v>1397921</v>
      </c>
      <c r="AI69" s="175">
        <f t="shared" si="15"/>
        <v>8862279</v>
      </c>
    </row>
    <row r="70" spans="1:35" x14ac:dyDescent="0.35">
      <c r="B70" s="172"/>
      <c r="C70" s="172"/>
      <c r="D70" s="172"/>
      <c r="E70" s="172"/>
      <c r="F70" s="172"/>
      <c r="G70" s="15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</row>
    <row r="71" spans="1:35" x14ac:dyDescent="0.35"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AD71" s="245">
        <f>SUM(AD9:AD69)</f>
        <v>6566181959.8581009</v>
      </c>
      <c r="AE71" s="245">
        <f>SUM(AE9:AE69)</f>
        <v>5923078588.7999973</v>
      </c>
      <c r="AF71" s="245">
        <f>SUM(AF9:AF69)</f>
        <v>580170946.05809999</v>
      </c>
      <c r="AG71" s="245">
        <f>SUM(AG9:AG69)</f>
        <v>62932425</v>
      </c>
      <c r="AH71" s="245">
        <f>SUM(AH9:AH69)</f>
        <v>71794704</v>
      </c>
    </row>
    <row r="72" spans="1:35" x14ac:dyDescent="0.35"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</row>
    <row r="73" spans="1:35" x14ac:dyDescent="0.35"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</row>
    <row r="74" spans="1:35" x14ac:dyDescent="0.35"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</row>
    <row r="75" spans="1:35" x14ac:dyDescent="0.35">
      <c r="B75" s="172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</row>
    <row r="76" spans="1:35" x14ac:dyDescent="0.35"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</row>
    <row r="77" spans="1:35" x14ac:dyDescent="0.35"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</row>
    <row r="78" spans="1:35" x14ac:dyDescent="0.35"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</row>
    <row r="79" spans="1:35" x14ac:dyDescent="0.35"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</row>
    <row r="80" spans="1:35" x14ac:dyDescent="0.35"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</row>
    <row r="81" spans="2:20" x14ac:dyDescent="0.35"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</row>
    <row r="82" spans="2:20" x14ac:dyDescent="0.35">
      <c r="B82" s="172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</row>
  </sheetData>
  <mergeCells count="21">
    <mergeCell ref="AE5:AE7"/>
    <mergeCell ref="AH5:AH7"/>
    <mergeCell ref="AF5:AF7"/>
    <mergeCell ref="AI5:AI7"/>
    <mergeCell ref="L4:L7"/>
    <mergeCell ref="AC5:AC7"/>
    <mergeCell ref="M4:AC4"/>
    <mergeCell ref="T6:T7"/>
    <mergeCell ref="AB6:AB7"/>
    <mergeCell ref="AD5:AD7"/>
    <mergeCell ref="M5:T5"/>
    <mergeCell ref="U5:AB5"/>
    <mergeCell ref="AG5:AG7"/>
    <mergeCell ref="G6:G7"/>
    <mergeCell ref="C4:H4"/>
    <mergeCell ref="H6:H7"/>
    <mergeCell ref="I6:J6"/>
    <mergeCell ref="K6:K7"/>
    <mergeCell ref="E6:F6"/>
    <mergeCell ref="I4:K4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BF8F"/>
  </sheetPr>
  <dimension ref="A2:F27"/>
  <sheetViews>
    <sheetView showGridLines="0" workbookViewId="0">
      <pane xSplit="2" ySplit="9" topLeftCell="C10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3" max="6" width="15.6328125" customWidth="1"/>
  </cols>
  <sheetData>
    <row r="2" spans="1:6" x14ac:dyDescent="0.35">
      <c r="A2" s="1"/>
      <c r="B2" s="185"/>
      <c r="C2">
        <v>31</v>
      </c>
      <c r="D2">
        <v>32</v>
      </c>
      <c r="E2">
        <v>34</v>
      </c>
    </row>
    <row r="3" spans="1:6" x14ac:dyDescent="0.35">
      <c r="C3">
        <f t="shared" ref="C3:F3" si="0">COLUMN()-1</f>
        <v>2</v>
      </c>
      <c r="D3">
        <f t="shared" si="0"/>
        <v>3</v>
      </c>
      <c r="E3">
        <f t="shared" si="0"/>
        <v>4</v>
      </c>
      <c r="F3">
        <f t="shared" si="0"/>
        <v>5</v>
      </c>
    </row>
    <row r="4" spans="1:6" ht="14.5" customHeight="1" thickBot="1" x14ac:dyDescent="0.4"/>
    <row r="5" spans="1:6" ht="19" thickBot="1" x14ac:dyDescent="0.5">
      <c r="B5" s="949" t="s">
        <v>841</v>
      </c>
      <c r="C5" s="950"/>
      <c r="D5" s="950"/>
      <c r="E5" s="950"/>
      <c r="F5" s="951"/>
    </row>
    <row r="6" spans="1:6" ht="14.5" customHeight="1" thickBot="1" x14ac:dyDescent="0.4"/>
    <row r="7" spans="1:6" ht="14.5" customHeight="1" x14ac:dyDescent="0.35">
      <c r="A7" s="615" t="s">
        <v>179</v>
      </c>
      <c r="B7" s="1121" t="s">
        <v>71</v>
      </c>
      <c r="C7" s="1123" t="s">
        <v>842</v>
      </c>
      <c r="D7" s="1123" t="s">
        <v>582</v>
      </c>
      <c r="E7" s="1123" t="s">
        <v>564</v>
      </c>
      <c r="F7" s="1123" t="s">
        <v>840</v>
      </c>
    </row>
    <row r="8" spans="1:6" ht="14" customHeight="1" x14ac:dyDescent="0.35">
      <c r="A8" s="312"/>
      <c r="B8" s="1122"/>
      <c r="C8" s="1124"/>
      <c r="D8" s="1124"/>
      <c r="E8" s="1124"/>
      <c r="F8" s="1124"/>
    </row>
    <row r="9" spans="1:6" ht="14" customHeight="1" x14ac:dyDescent="0.35">
      <c r="A9" s="312"/>
      <c r="B9" s="1122"/>
      <c r="C9" s="1124"/>
      <c r="D9" s="1124"/>
      <c r="E9" s="1124"/>
      <c r="F9" s="1124"/>
    </row>
    <row r="10" spans="1:6" x14ac:dyDescent="0.35">
      <c r="A10" s="616">
        <v>1</v>
      </c>
      <c r="B10" s="641">
        <v>42035</v>
      </c>
      <c r="C10" s="511">
        <f>VLOOKUP($A10,'Gtos Consultores'!$A$9:$AI$69,C$2,0)</f>
        <v>72707464.400000006</v>
      </c>
      <c r="D10" s="511">
        <f>VLOOKUP($A10,'Gtos Consultores'!$A$9:$AI$69,D$2,0)</f>
        <v>7397308.6399500007</v>
      </c>
      <c r="E10" s="511">
        <f>VLOOKUP($A10,'Gtos Consultores'!$A$9:$AI$69,E$2,0)</f>
        <v>998288</v>
      </c>
      <c r="F10" s="511">
        <f>SUM(C10:E10)</f>
        <v>81103061.039950013</v>
      </c>
    </row>
    <row r="11" spans="1:6" x14ac:dyDescent="0.35">
      <c r="A11" s="616">
        <v>13</v>
      </c>
      <c r="B11" s="641">
        <v>42400</v>
      </c>
      <c r="C11" s="511">
        <f>VLOOKUP($A11,'Gtos Consultores'!$A$9:$AI$69,C$2,0)</f>
        <v>84494659.800000012</v>
      </c>
      <c r="D11" s="511">
        <f>VLOOKUP($A11,'Gtos Consultores'!$A$9:$AI$69,D$2,0)</f>
        <v>7952383.0637999997</v>
      </c>
      <c r="E11" s="511">
        <f>VLOOKUP($A11,'Gtos Consultores'!$A$9:$AI$69,E$2,0)</f>
        <v>1088696</v>
      </c>
      <c r="F11" s="511">
        <f t="shared" ref="F11:F14" si="1">SUM(C11:E11)</f>
        <v>93535738.863800019</v>
      </c>
    </row>
    <row r="12" spans="1:6" x14ac:dyDescent="0.35">
      <c r="A12" s="616">
        <v>25</v>
      </c>
      <c r="B12" s="641">
        <v>42766</v>
      </c>
      <c r="C12" s="511">
        <f>VLOOKUP($A12,'Gtos Consultores'!$A$9:$AI$69,C$2,0)</f>
        <v>98123198.200000003</v>
      </c>
      <c r="D12" s="511">
        <f>VLOOKUP($A12,'Gtos Consultores'!$A$9:$AI$69,D$2,0)</f>
        <v>9464665.9038749989</v>
      </c>
      <c r="E12" s="511">
        <f>VLOOKUP($A12,'Gtos Consultores'!$A$9:$AI$69,E$2,0)</f>
        <v>1191194</v>
      </c>
      <c r="F12" s="511">
        <f t="shared" si="1"/>
        <v>108779058.103875</v>
      </c>
    </row>
    <row r="13" spans="1:6" x14ac:dyDescent="0.35">
      <c r="A13" s="616">
        <v>37</v>
      </c>
      <c r="B13" s="641">
        <v>43131</v>
      </c>
      <c r="C13" s="511">
        <f>VLOOKUP($A13,'Gtos Consultores'!$A$9:$AI$69,C$2,0)</f>
        <v>113661875.30000001</v>
      </c>
      <c r="D13" s="511">
        <f>VLOOKUP($A13,'Gtos Consultores'!$A$9:$AI$69,D$2,0)</f>
        <v>10983490.187200001</v>
      </c>
      <c r="E13" s="511">
        <f>VLOOKUP($A13,'Gtos Consultores'!$A$9:$AI$69,E$2,0)</f>
        <v>1306793</v>
      </c>
      <c r="F13" s="511">
        <f t="shared" si="1"/>
        <v>125952158.48720001</v>
      </c>
    </row>
    <row r="14" spans="1:6" ht="15" thickBot="1" x14ac:dyDescent="0.4">
      <c r="A14" s="616">
        <v>49</v>
      </c>
      <c r="B14" s="642">
        <v>43496</v>
      </c>
      <c r="C14" s="643">
        <f>VLOOKUP($A14,'Gtos Consultores'!$A$9:$AI$69,C$2,0)</f>
        <v>124602684.7</v>
      </c>
      <c r="D14" s="643">
        <f>VLOOKUP($A14,'Gtos Consultores'!$A$9:$AI$69,D$2,0)</f>
        <v>12549731.043349998</v>
      </c>
      <c r="E14" s="643">
        <f>VLOOKUP($A14,'Gtos Consultores'!$A$9:$AI$69,E$2,0)</f>
        <v>1397921</v>
      </c>
      <c r="F14" s="643">
        <f t="shared" si="1"/>
        <v>138550336.74335</v>
      </c>
    </row>
    <row r="15" spans="1:6" x14ac:dyDescent="0.35">
      <c r="B15" s="172"/>
    </row>
    <row r="16" spans="1:6" x14ac:dyDescent="0.35">
      <c r="B16" s="172"/>
      <c r="C16" s="172"/>
      <c r="D16" s="172"/>
      <c r="E16" s="172"/>
      <c r="F16" s="172"/>
    </row>
    <row r="17" spans="2:6" x14ac:dyDescent="0.35">
      <c r="B17" s="172"/>
      <c r="C17" s="172"/>
      <c r="D17" s="172"/>
      <c r="E17" s="172"/>
      <c r="F17" s="172"/>
    </row>
    <row r="18" spans="2:6" x14ac:dyDescent="0.35">
      <c r="B18" s="172"/>
    </row>
    <row r="19" spans="2:6" x14ac:dyDescent="0.35">
      <c r="B19" s="172"/>
    </row>
    <row r="20" spans="2:6" x14ac:dyDescent="0.35">
      <c r="B20" s="172"/>
    </row>
    <row r="21" spans="2:6" x14ac:dyDescent="0.35">
      <c r="B21" s="172"/>
    </row>
    <row r="22" spans="2:6" x14ac:dyDescent="0.35">
      <c r="B22" s="172"/>
    </row>
    <row r="23" spans="2:6" x14ac:dyDescent="0.35">
      <c r="B23" s="172"/>
    </row>
    <row r="24" spans="2:6" x14ac:dyDescent="0.35">
      <c r="B24" s="172"/>
    </row>
    <row r="25" spans="2:6" x14ac:dyDescent="0.35">
      <c r="B25" s="172"/>
    </row>
    <row r="26" spans="2:6" x14ac:dyDescent="0.35">
      <c r="B26" s="172"/>
    </row>
    <row r="27" spans="2:6" x14ac:dyDescent="0.35">
      <c r="B27" s="172"/>
    </row>
  </sheetData>
  <mergeCells count="6">
    <mergeCell ref="B7:B9"/>
    <mergeCell ref="B5:F5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FF"/>
  </sheetPr>
  <dimension ref="A3:H20"/>
  <sheetViews>
    <sheetView showGridLines="0" workbookViewId="0">
      <selection activeCell="H18" sqref="H18"/>
    </sheetView>
  </sheetViews>
  <sheetFormatPr baseColWidth="10" defaultRowHeight="14.5" x14ac:dyDescent="0.35"/>
  <cols>
    <col min="2" max="8" width="14.36328125" customWidth="1"/>
  </cols>
  <sheetData>
    <row r="3" spans="1:8" ht="15" thickBot="1" x14ac:dyDescent="0.4"/>
    <row r="4" spans="1:8" ht="19" thickBot="1" x14ac:dyDescent="0.5">
      <c r="A4" s="583" t="s">
        <v>827</v>
      </c>
      <c r="B4" s="827" t="s">
        <v>829</v>
      </c>
      <c r="C4" s="828"/>
      <c r="D4" s="828"/>
      <c r="E4" s="828"/>
      <c r="F4" s="828"/>
      <c r="G4" s="828"/>
      <c r="H4" s="829"/>
    </row>
    <row r="5" spans="1:8" ht="15" thickBot="1" x14ac:dyDescent="0.4"/>
    <row r="6" spans="1:8" ht="15" customHeight="1" x14ac:dyDescent="0.35">
      <c r="B6" s="834" t="s">
        <v>373</v>
      </c>
      <c r="C6" s="837" t="s">
        <v>825</v>
      </c>
      <c r="D6" s="837" t="s">
        <v>811</v>
      </c>
      <c r="E6" s="840" t="s">
        <v>189</v>
      </c>
      <c r="F6" s="840"/>
      <c r="G6" s="840" t="s">
        <v>532</v>
      </c>
      <c r="H6" s="841"/>
    </row>
    <row r="7" spans="1:8" ht="14.5" customHeight="1" x14ac:dyDescent="0.35">
      <c r="B7" s="835"/>
      <c r="C7" s="838"/>
      <c r="D7" s="838"/>
      <c r="E7" s="807" t="s">
        <v>190</v>
      </c>
      <c r="F7" s="807" t="s">
        <v>71</v>
      </c>
      <c r="G7" s="809" t="str">
        <f>"CAPM General ("&amp;TEXT(Variables!$F$84,"0,00%")&amp;")"</f>
        <v>CAPM General (1,16%)</v>
      </c>
      <c r="H7" s="811" t="str">
        <f>"CAPM Ajust Colombia ("&amp;TEXT(Variables!$F$85,"0,00%")&amp;")"</f>
        <v>CAPM Ajust Colombia (1,61%)</v>
      </c>
    </row>
    <row r="8" spans="1:8" ht="15" customHeight="1" thickBot="1" x14ac:dyDescent="0.4">
      <c r="B8" s="836"/>
      <c r="C8" s="839"/>
      <c r="D8" s="839"/>
      <c r="E8" s="808"/>
      <c r="F8" s="808"/>
      <c r="G8" s="810"/>
      <c r="H8" s="812"/>
    </row>
    <row r="9" spans="1:8" ht="15" thickBot="1" x14ac:dyDescent="0.4"/>
    <row r="10" spans="1:8" x14ac:dyDescent="0.35">
      <c r="B10" s="594">
        <v>0.05</v>
      </c>
      <c r="C10" s="591" t="s">
        <v>826</v>
      </c>
      <c r="D10" s="590">
        <v>1</v>
      </c>
      <c r="E10" s="568">
        <v>6.2062371095210622E-2</v>
      </c>
      <c r="F10" s="568">
        <v>1.0596824311475932</v>
      </c>
      <c r="G10" s="584">
        <v>316862495</v>
      </c>
      <c r="H10" s="585">
        <v>257090711.55200407</v>
      </c>
    </row>
    <row r="11" spans="1:8" x14ac:dyDescent="0.35">
      <c r="B11" s="595">
        <v>0.1</v>
      </c>
      <c r="C11" s="592" t="s">
        <v>826</v>
      </c>
      <c r="D11" s="588">
        <v>1</v>
      </c>
      <c r="E11" s="569">
        <v>1.8267373034130951E-3</v>
      </c>
      <c r="F11" s="569">
        <v>2.2142434203237471E-2</v>
      </c>
      <c r="G11" s="573">
        <v>-47247268</v>
      </c>
      <c r="H11" s="574">
        <v>-62227442.936135538</v>
      </c>
    </row>
    <row r="12" spans="1:8" x14ac:dyDescent="0.35">
      <c r="B12" s="595">
        <v>0.05</v>
      </c>
      <c r="C12" s="592">
        <v>1</v>
      </c>
      <c r="D12" s="588">
        <v>1</v>
      </c>
      <c r="E12" s="569">
        <v>0.1325277687310944</v>
      </c>
      <c r="F12" s="569">
        <v>3.4523194054625028</v>
      </c>
      <c r="G12" s="573">
        <v>675720646</v>
      </c>
      <c r="H12" s="574">
        <v>584391471.02197921</v>
      </c>
    </row>
    <row r="13" spans="1:8" x14ac:dyDescent="0.35">
      <c r="B13" s="595">
        <v>0.05</v>
      </c>
      <c r="C13" s="592">
        <v>1</v>
      </c>
      <c r="D13" s="588" t="s">
        <v>826</v>
      </c>
      <c r="E13" s="597">
        <v>0.14246805589663358</v>
      </c>
      <c r="F13" s="597">
        <v>3.9445729570385337</v>
      </c>
      <c r="G13" s="598">
        <v>676332111</v>
      </c>
      <c r="H13" s="599">
        <v>586250894.41763008</v>
      </c>
    </row>
    <row r="14" spans="1:8" x14ac:dyDescent="0.35">
      <c r="B14" s="595">
        <v>0.1</v>
      </c>
      <c r="C14" s="592">
        <v>1</v>
      </c>
      <c r="D14" s="588">
        <v>1</v>
      </c>
      <c r="E14" s="569">
        <v>8.85392245219776E-2</v>
      </c>
      <c r="F14" s="569">
        <v>1.7677636213507943</v>
      </c>
      <c r="G14" s="573">
        <v>367670192</v>
      </c>
      <c r="H14" s="574">
        <v>314938467.71354961</v>
      </c>
    </row>
    <row r="15" spans="1:8" x14ac:dyDescent="0.35">
      <c r="B15" s="595">
        <v>0.1</v>
      </c>
      <c r="C15" s="592">
        <v>1</v>
      </c>
      <c r="D15" s="588" t="s">
        <v>826</v>
      </c>
      <c r="E15" s="569">
        <v>8.8206913002604859E-2</v>
      </c>
      <c r="F15" s="569">
        <v>1.7576412449389949</v>
      </c>
      <c r="G15" s="573">
        <v>367249737</v>
      </c>
      <c r="H15" s="574">
        <v>314505225.30543965</v>
      </c>
    </row>
    <row r="16" spans="1:8" x14ac:dyDescent="0.35">
      <c r="B16" s="595">
        <v>0.05</v>
      </c>
      <c r="C16" s="592" t="s">
        <v>826</v>
      </c>
      <c r="D16" s="588" t="s">
        <v>826</v>
      </c>
      <c r="E16" s="569">
        <v>6.682801960304996E-2</v>
      </c>
      <c r="F16" s="569">
        <v>1.173366476127899</v>
      </c>
      <c r="G16" s="573">
        <v>319230846</v>
      </c>
      <c r="H16" s="574">
        <v>260428607.48685488</v>
      </c>
    </row>
    <row r="17" spans="2:8" ht="15" thickBot="1" x14ac:dyDescent="0.4">
      <c r="B17" s="596">
        <v>0.1</v>
      </c>
      <c r="C17" s="593" t="s">
        <v>826</v>
      </c>
      <c r="D17" s="589" t="s">
        <v>826</v>
      </c>
      <c r="E17" s="572">
        <v>1.2424169408349339E-3</v>
      </c>
      <c r="F17" s="572">
        <v>1.5011303977039425E-2</v>
      </c>
      <c r="G17" s="586">
        <v>-49463701</v>
      </c>
      <c r="H17" s="587">
        <v>-64060606.532182127</v>
      </c>
    </row>
    <row r="20" spans="2:8" x14ac:dyDescent="0.35">
      <c r="B20" s="603">
        <f>VLOOKUP(1,Variables!$B$26:$C$27,2,0)</f>
        <v>0.05</v>
      </c>
      <c r="C20" s="604">
        <f>Variables!B51</f>
        <v>0</v>
      </c>
      <c r="D20" s="604">
        <f>Variables!B78</f>
        <v>1</v>
      </c>
    </row>
  </sheetData>
  <mergeCells count="10">
    <mergeCell ref="B6:B8"/>
    <mergeCell ref="C6:C8"/>
    <mergeCell ref="E6:F6"/>
    <mergeCell ref="D6:D8"/>
    <mergeCell ref="B4:H4"/>
    <mergeCell ref="G6:H6"/>
    <mergeCell ref="E7:E8"/>
    <mergeCell ref="F7:F8"/>
    <mergeCell ref="G7:G8"/>
    <mergeCell ref="H7:H8"/>
  </mergeCells>
  <conditionalFormatting sqref="C10:C17">
    <cfRule type="expression" priority="2" stopIfTrue="1">
      <formula>C10&lt;&gt;#REF!</formula>
    </cfRule>
  </conditionalFormatting>
  <conditionalFormatting sqref="D10:D17">
    <cfRule type="expression" priority="1" stopIfTrue="1">
      <formula>D10&lt;&gt;#REF!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BI89"/>
  <sheetViews>
    <sheetView workbookViewId="0">
      <pane xSplit="2" ySplit="6" topLeftCell="AO7" activePane="bottomRight" state="frozen"/>
      <selection activeCell="H18" sqref="H18"/>
      <selection pane="topRight" activeCell="H18" sqref="H18"/>
      <selection pane="bottomLeft" activeCell="H18" sqref="H18"/>
      <selection pane="bottomRight" activeCell="H18" sqref="H18"/>
    </sheetView>
  </sheetViews>
  <sheetFormatPr baseColWidth="10" defaultRowHeight="14.5" x14ac:dyDescent="0.35"/>
  <cols>
    <col min="3" max="4" width="11.1796875" bestFit="1" customWidth="1"/>
    <col min="5" max="5" width="11.6328125" customWidth="1"/>
    <col min="6" max="8" width="12.36328125" bestFit="1" customWidth="1"/>
    <col min="9" max="9" width="11.1796875" customWidth="1"/>
    <col min="10" max="10" width="12.36328125" bestFit="1" customWidth="1"/>
    <col min="11" max="11" width="11.1796875" customWidth="1"/>
    <col min="12" max="12" width="11.54296875" bestFit="1" customWidth="1"/>
    <col min="13" max="13" width="12.36328125" bestFit="1" customWidth="1"/>
    <col min="16" max="17" width="12.36328125" bestFit="1" customWidth="1"/>
    <col min="18" max="19" width="12.36328125" customWidth="1"/>
    <col min="20" max="21" width="11.54296875" customWidth="1"/>
    <col min="23" max="23" width="12.36328125" bestFit="1" customWidth="1"/>
    <col min="24" max="25" width="12.36328125" customWidth="1"/>
    <col min="26" max="26" width="12.90625" bestFit="1" customWidth="1"/>
    <col min="27" max="27" width="4.6328125" customWidth="1"/>
    <col min="29" max="29" width="13.08984375" customWidth="1"/>
    <col min="31" max="31" width="12.36328125" bestFit="1" customWidth="1"/>
    <col min="32" max="32" width="12.54296875" customWidth="1"/>
    <col min="33" max="33" width="12.36328125" bestFit="1" customWidth="1"/>
    <col min="34" max="34" width="4.6328125" customWidth="1"/>
    <col min="38" max="38" width="4.6328125" customWidth="1"/>
    <col min="39" max="42" width="13" customWidth="1"/>
    <col min="43" max="43" width="4.6328125" customWidth="1"/>
    <col min="49" max="49" width="12.36328125" bestFit="1" customWidth="1"/>
    <col min="60" max="60" width="14.6328125" bestFit="1" customWidth="1"/>
  </cols>
  <sheetData>
    <row r="1" spans="1:61" x14ac:dyDescent="0.35">
      <c r="A1" s="1"/>
      <c r="B1" s="185"/>
      <c r="C1" s="1" t="s">
        <v>190</v>
      </c>
      <c r="F1" s="366">
        <v>3</v>
      </c>
      <c r="H1">
        <v>5</v>
      </c>
      <c r="J1">
        <v>3</v>
      </c>
      <c r="K1">
        <v>2</v>
      </c>
      <c r="M1" s="299">
        <f>Variables!$B$19</f>
        <v>1</v>
      </c>
      <c r="N1" s="241" t="str">
        <f>IF(M1=0,"Contado","Meses")</f>
        <v>Meses</v>
      </c>
      <c r="Q1" s="349"/>
      <c r="T1" s="299">
        <f>Variables!$B$20</f>
        <v>0</v>
      </c>
      <c r="U1" s="360" t="str">
        <f>IF(T1=1,"Mes","Meses")</f>
        <v>Meses</v>
      </c>
      <c r="AB1" s="299">
        <f>Variables!$B$21</f>
        <v>1</v>
      </c>
      <c r="AC1" t="str">
        <f>IF(AB1=1,"Mes","Meses")</f>
        <v>Mes</v>
      </c>
      <c r="AE1">
        <f>COLUMN()</f>
        <v>31</v>
      </c>
      <c r="AF1">
        <f>COLUMN()</f>
        <v>32</v>
      </c>
      <c r="AG1">
        <f>COLUMN()</f>
        <v>33</v>
      </c>
      <c r="AH1" t="str">
        <f>IF(AB1=1,"Mes","Meses")</f>
        <v>Mes</v>
      </c>
      <c r="AN1">
        <f>COLUMN()</f>
        <v>40</v>
      </c>
      <c r="AO1">
        <f>COLUMN()</f>
        <v>41</v>
      </c>
      <c r="AP1">
        <f>COLUMN()</f>
        <v>42</v>
      </c>
      <c r="AR1">
        <f>COLUMN()</f>
        <v>44</v>
      </c>
      <c r="AS1">
        <f>COLUMN()</f>
        <v>45</v>
      </c>
      <c r="AT1">
        <f>COLUMN()</f>
        <v>46</v>
      </c>
      <c r="AU1">
        <f>COLUMN()</f>
        <v>47</v>
      </c>
      <c r="AV1">
        <f>COLUMN()</f>
        <v>48</v>
      </c>
      <c r="AW1">
        <f>COLUMN()</f>
        <v>49</v>
      </c>
      <c r="AX1">
        <f>COLUMN()</f>
        <v>50</v>
      </c>
    </row>
    <row r="2" spans="1:61" x14ac:dyDescent="0.35">
      <c r="A2" s="1"/>
      <c r="B2" s="185"/>
      <c r="C2" s="185" t="s">
        <v>71</v>
      </c>
      <c r="D2" s="1"/>
      <c r="N2" s="1">
        <v>8</v>
      </c>
      <c r="U2" s="296">
        <f>VLOOKUP(1,Variables!$B$26:$C$27,2,9)</f>
        <v>0.05</v>
      </c>
      <c r="AC2" s="366">
        <v>3</v>
      </c>
      <c r="AD2" s="366">
        <v>4</v>
      </c>
    </row>
    <row r="3" spans="1:61" x14ac:dyDescent="0.35">
      <c r="Q3">
        <v>30</v>
      </c>
      <c r="R3">
        <v>31</v>
      </c>
      <c r="S3">
        <v>32</v>
      </c>
      <c r="AN3">
        <v>33</v>
      </c>
    </row>
    <row r="4" spans="1:61" ht="14.5" customHeight="1" x14ac:dyDescent="0.35">
      <c r="A4" s="179" t="s">
        <v>179</v>
      </c>
      <c r="B4" s="180" t="s">
        <v>190</v>
      </c>
      <c r="C4" s="180" t="s">
        <v>71</v>
      </c>
      <c r="D4" s="889" t="s">
        <v>185</v>
      </c>
      <c r="E4" s="889"/>
      <c r="F4" s="890"/>
      <c r="G4" s="889"/>
      <c r="H4" s="886" t="s">
        <v>184</v>
      </c>
      <c r="I4" s="887"/>
      <c r="J4" s="887"/>
      <c r="K4" s="887"/>
      <c r="L4" s="888"/>
      <c r="M4" s="891" t="s">
        <v>48</v>
      </c>
      <c r="N4" s="891"/>
      <c r="O4" s="891"/>
      <c r="P4" s="891"/>
      <c r="Q4" s="891" t="s">
        <v>183</v>
      </c>
      <c r="R4" s="891"/>
      <c r="S4" s="892"/>
      <c r="T4" s="891"/>
      <c r="U4" s="891"/>
      <c r="V4" s="891"/>
      <c r="W4" s="891"/>
      <c r="X4" s="896" t="s">
        <v>186</v>
      </c>
      <c r="Y4" s="897"/>
      <c r="Z4" s="898"/>
      <c r="AB4" s="884" t="s">
        <v>366</v>
      </c>
      <c r="AC4" s="884" t="s">
        <v>808</v>
      </c>
      <c r="AD4" s="884" t="s">
        <v>554</v>
      </c>
      <c r="AE4" s="884" t="s">
        <v>514</v>
      </c>
      <c r="AF4" s="884" t="s">
        <v>503</v>
      </c>
      <c r="AG4" s="884" t="s">
        <v>504</v>
      </c>
      <c r="AI4" s="885" t="s">
        <v>374</v>
      </c>
      <c r="AJ4" s="885"/>
      <c r="AK4" s="885"/>
      <c r="AM4" s="899" t="s">
        <v>563</v>
      </c>
      <c r="AN4" s="899" t="s">
        <v>230</v>
      </c>
      <c r="AO4" s="882" t="s">
        <v>575</v>
      </c>
      <c r="AP4" s="882" t="s">
        <v>576</v>
      </c>
      <c r="AQ4" s="297"/>
      <c r="AR4" s="885" t="s">
        <v>390</v>
      </c>
      <c r="AS4" s="885"/>
      <c r="AT4" s="885" t="s">
        <v>392</v>
      </c>
      <c r="AU4" s="885"/>
      <c r="AV4" s="368" t="s">
        <v>393</v>
      </c>
      <c r="AW4" s="882" t="s">
        <v>577</v>
      </c>
      <c r="AX4" s="882" t="s">
        <v>587</v>
      </c>
    </row>
    <row r="5" spans="1:61" ht="26" customHeight="1" x14ac:dyDescent="0.35">
      <c r="A5" s="181"/>
      <c r="B5" t="s">
        <v>57</v>
      </c>
      <c r="C5" s="181"/>
      <c r="D5" s="173" t="s">
        <v>207</v>
      </c>
      <c r="E5" s="173" t="s">
        <v>492</v>
      </c>
      <c r="F5" s="350" t="s">
        <v>553</v>
      </c>
      <c r="G5" s="173" t="s">
        <v>65</v>
      </c>
      <c r="H5" s="198" t="s">
        <v>209</v>
      </c>
      <c r="I5" s="307" t="s">
        <v>155</v>
      </c>
      <c r="J5" s="198" t="s">
        <v>210</v>
      </c>
      <c r="K5" s="198" t="s">
        <v>187</v>
      </c>
      <c r="L5" s="310" t="s">
        <v>371</v>
      </c>
      <c r="M5" s="174" t="s">
        <v>579</v>
      </c>
      <c r="N5" s="173" t="s">
        <v>181</v>
      </c>
      <c r="O5" s="353" t="s">
        <v>188</v>
      </c>
      <c r="P5" s="173" t="s">
        <v>115</v>
      </c>
      <c r="Q5" s="893" t="s">
        <v>252</v>
      </c>
      <c r="R5" s="894"/>
      <c r="S5" s="894"/>
      <c r="T5" s="894"/>
      <c r="U5" s="895"/>
      <c r="V5" s="173" t="s">
        <v>182</v>
      </c>
      <c r="W5" s="173" t="s">
        <v>115</v>
      </c>
      <c r="X5" s="350" t="s">
        <v>513</v>
      </c>
      <c r="Y5" s="899" t="s">
        <v>584</v>
      </c>
      <c r="Z5" s="350" t="s">
        <v>65</v>
      </c>
      <c r="AB5" s="884"/>
      <c r="AC5" s="884"/>
      <c r="AD5" s="884"/>
      <c r="AE5" s="884"/>
      <c r="AF5" s="884"/>
      <c r="AG5" s="884"/>
      <c r="AI5" s="306" t="s">
        <v>207</v>
      </c>
      <c r="AJ5" s="306" t="s">
        <v>383</v>
      </c>
      <c r="AK5" s="306" t="s">
        <v>65</v>
      </c>
      <c r="AM5" s="900"/>
      <c r="AN5" s="900"/>
      <c r="AO5" s="883"/>
      <c r="AP5" s="883"/>
      <c r="AQ5" s="297"/>
      <c r="AR5" s="321" t="s">
        <v>384</v>
      </c>
      <c r="AS5" s="321" t="s">
        <v>388</v>
      </c>
      <c r="AT5" s="321" t="s">
        <v>384</v>
      </c>
      <c r="AU5" s="321" t="s">
        <v>388</v>
      </c>
      <c r="AV5" s="369"/>
      <c r="AW5" s="883"/>
      <c r="AX5" s="883"/>
    </row>
    <row r="6" spans="1:61" ht="26" x14ac:dyDescent="0.35">
      <c r="A6" s="181"/>
      <c r="B6" s="181"/>
      <c r="C6" s="330"/>
      <c r="D6" s="177"/>
      <c r="E6" s="176"/>
      <c r="F6" s="363"/>
      <c r="G6" s="176"/>
      <c r="H6" s="176"/>
      <c r="I6" s="308"/>
      <c r="J6" s="176"/>
      <c r="K6" s="176"/>
      <c r="L6" s="308"/>
      <c r="M6" s="174"/>
      <c r="N6" s="173"/>
      <c r="O6" s="174"/>
      <c r="P6" s="173"/>
      <c r="Q6" s="226" t="s">
        <v>253</v>
      </c>
      <c r="R6" s="226" t="s">
        <v>255</v>
      </c>
      <c r="S6" s="372" t="s">
        <v>230</v>
      </c>
      <c r="T6" s="226" t="s">
        <v>254</v>
      </c>
      <c r="U6" s="278" t="s">
        <v>40</v>
      </c>
      <c r="V6" s="173"/>
      <c r="W6" s="173"/>
      <c r="X6" s="343"/>
      <c r="Y6" s="900"/>
      <c r="Z6" s="173"/>
    </row>
    <row r="7" spans="1:61" x14ac:dyDescent="0.35">
      <c r="A7" s="181"/>
      <c r="B7" s="312"/>
      <c r="C7" s="41"/>
      <c r="D7" s="313"/>
      <c r="E7" s="313"/>
      <c r="F7" s="313"/>
      <c r="G7" s="313"/>
      <c r="H7" s="313"/>
      <c r="I7" s="313"/>
      <c r="J7" s="313"/>
      <c r="K7" s="313"/>
      <c r="L7" s="313"/>
      <c r="M7" s="314"/>
      <c r="N7" s="315"/>
      <c r="O7" s="314"/>
      <c r="P7" s="315"/>
      <c r="Q7" s="316"/>
      <c r="R7" s="316"/>
      <c r="S7" s="316"/>
      <c r="T7" s="316"/>
      <c r="U7" s="317"/>
      <c r="V7" s="315"/>
      <c r="W7" s="315"/>
      <c r="X7" s="342"/>
      <c r="Y7" s="371"/>
      <c r="Z7" s="315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R7" s="41"/>
      <c r="AS7" s="41"/>
    </row>
    <row r="8" spans="1:61" x14ac:dyDescent="0.35">
      <c r="A8" s="318">
        <v>0</v>
      </c>
      <c r="B8" s="319">
        <v>42004</v>
      </c>
      <c r="C8" s="331">
        <f>YEAR(B8)</f>
        <v>2014</v>
      </c>
      <c r="D8" s="178">
        <f>'Inv Inicial'!$D$16</f>
        <v>264650000</v>
      </c>
      <c r="E8" s="175">
        <f>IFERROR(HLOOKUP($B8,'Inv Adic'!$D$6:$M$29,13,0),0)</f>
        <v>0</v>
      </c>
      <c r="F8" s="175">
        <f>IFERROR(VLOOKUP($B8,'Inv Temp'!$B$7:$I$67,F$1,0),0)</f>
        <v>0</v>
      </c>
      <c r="G8" s="175">
        <f>SUM(D8:F8)</f>
        <v>264650000</v>
      </c>
      <c r="H8" s="175">
        <f>VLOOKUP($B8,'Financ Total'!$B$10:$F$70,H$1,0)</f>
        <v>214650000</v>
      </c>
      <c r="I8" s="309">
        <f>'Inv Inicial'!$D$21</f>
        <v>50000000</v>
      </c>
      <c r="J8" s="175">
        <f>VLOOKUP($B8,'Financ Total'!$B$10:$F$70,J$1,0)</f>
        <v>0</v>
      </c>
      <c r="K8" s="175">
        <f>VLOOKUP($B8,'Financ Total'!$B$10:$F$70,K$1,0)</f>
        <v>0</v>
      </c>
      <c r="L8" s="175">
        <f>H8+I8-J8-K8</f>
        <v>264650000</v>
      </c>
      <c r="M8" s="175">
        <f>IF($M$1=0,IFERROR(HLOOKUP(YEAR($B8),'Ing Proyect'!$B$6:$G$12,6,0),0),IF($M$1=1,IFERROR(HLOOKUP(YEAR($B7),'Ing Proyect'!$B$6:$G$12,6,0),0),IFERROR(HLOOKUP(YEAR($B6),'Ing Proyect'!$B$6:$G$12,6,0),0)))</f>
        <v>0</v>
      </c>
      <c r="N8" s="175">
        <f>VLOOKUP($B8,'Inv Temp'!$B$7:$I$67,N$2,0)</f>
        <v>0</v>
      </c>
      <c r="O8" s="175">
        <v>0</v>
      </c>
      <c r="P8" s="175">
        <f>SUM(M8:O8)</f>
        <v>0</v>
      </c>
      <c r="Q8" s="175">
        <f>VLOOKUP($B8,'Gtos Consultores'!$B$9:$AH$69,Q$3,0)</f>
        <v>0</v>
      </c>
      <c r="R8" s="175">
        <f>VLOOKUP($B8,'Gtos Consultores'!$B$9:$AH$69,R$3,0)</f>
        <v>0</v>
      </c>
      <c r="S8" s="175">
        <f>IFERROR(VLOOKUP($B8,'Gtos Consultores'!$B$9:$AH$69,S$3,0),0)</f>
        <v>0</v>
      </c>
      <c r="T8" s="175">
        <f>IF($T$1=0,IFERROR(HLOOKUP(YEAR($B8),'Gastos Proyect'!$B$4:$F$17,14,0),0),IF($T$1=1,IFERROR(HLOOKUP(YEAR($B7),'Gastos Proyect'!$B$4:$F$17,14,0),0),IFERROR(HLOOKUP(YEAR($B6),'Gastos Proyect'!$B$4:$F$17,14,0),0)))</f>
        <v>0</v>
      </c>
      <c r="U8" s="359">
        <f>IFERROR(HLOOKUP(YEAR($B8),'Ing Proyect'!$B$6:$G$12,6,0),0)*$U$2</f>
        <v>0</v>
      </c>
      <c r="V8" s="175">
        <v>0</v>
      </c>
      <c r="W8" s="175">
        <f t="shared" ref="W8:W39" si="0">SUM(Q8:V8)</f>
        <v>0</v>
      </c>
      <c r="X8" s="175">
        <f>P8-W8</f>
        <v>0</v>
      </c>
      <c r="Y8" s="359">
        <f t="shared" ref="Y8:Y39" si="1">-IF(OR(MONTH($B8)=4,MONTH($B8)=6)=TRUE,ROUND(VLOOKUP(DATE(YEAR($B8)-1,12,31),$B$8:$AW$68,47,0)/2,0),0)</f>
        <v>0</v>
      </c>
      <c r="Z8" s="175">
        <f>-G8+L8+P8-W8+Y8</f>
        <v>0</v>
      </c>
      <c r="AB8" s="175">
        <f t="shared" ref="AB8:AB67" si="2">ROUNDUP(IF($A8=60,AB7,IF($AB$1=2,SUM(W9:W10),W9)),-6)</f>
        <v>97000000</v>
      </c>
      <c r="AC8" s="175">
        <f>AE7+(-G8+(VLOOKUP($A8,'Financ 1'!$A$15:$Q$75,17,0)+VLOOKUP($A8,'Financ 2'!$A$15:$Q$75,17,0))+I8+P8-W8+Y8)-AB8</f>
        <v>-97000000</v>
      </c>
      <c r="AD8" s="175">
        <f>VLOOKUP($B8,'Inv Temp'!$B$7:$I$67,AD$2,0)</f>
        <v>0</v>
      </c>
      <c r="AE8" s="351">
        <f>IF($A8=0,'Inv Inicial'!$D$15,AE7+Z8-AC8*0+AD8)</f>
        <v>194000000</v>
      </c>
      <c r="AF8" s="175">
        <f t="shared" ref="AF8:AF39" si="3">IF(AE8&gt;AB8,AE8-AB8,0)</f>
        <v>97000000</v>
      </c>
      <c r="AG8" s="175">
        <f t="shared" ref="AG8:AG39" si="4">IF(AE8&lt;AB8,AB8-AE8,0)</f>
        <v>0</v>
      </c>
      <c r="AI8" s="175">
        <f>VLOOKUP($A8,'Amort Inv Inic'!$A$7:$U$67,21,0)</f>
        <v>0</v>
      </c>
      <c r="AJ8" s="175">
        <f>VLOOKUP($A8,'Amort Inv Adic'!$A$7:$BI$67,54,0)</f>
        <v>0</v>
      </c>
      <c r="AK8" s="175">
        <f>SUM(AI8:AJ8)</f>
        <v>0</v>
      </c>
      <c r="AM8" s="175">
        <f>IFERROR(HLOOKUP(YEAR($B8),'Ing Proyect'!$B$6:$G$12,6,0),0)</f>
        <v>0</v>
      </c>
      <c r="AN8" s="175">
        <f>VLOOKUP($B8,'Gtos Consultores'!$B$9:$AI$69,AN$3,0)</f>
        <v>0</v>
      </c>
      <c r="AO8" s="175">
        <f>(P8-M8+AM8)-(W8-S8)-K8-AK8-AN8+T8-IFERROR(HLOOKUP(YEAR($B8),'Gastos Proyect'!$B$4:$F$17,14,0),0)</f>
        <v>0</v>
      </c>
      <c r="AP8" s="175">
        <f>SUMIF($C$8:$C8,$C8,$AO$8:$AO8)</f>
        <v>0</v>
      </c>
      <c r="AR8" s="320">
        <f>IFERROR(VLOOKUP(ROUNDUP($A8/12,0),Variables!$B$32:$E$36,4,0),0)</f>
        <v>0</v>
      </c>
      <c r="AS8" s="175">
        <f>ROUNDUP(IF($AP8&gt;0,$AP8*AR8,0),-3)</f>
        <v>0</v>
      </c>
      <c r="AT8" s="320">
        <f>IFERROR(VLOOKUP(ROUNDUP($A8/12,0),Variables!$B$41:$E$45,4,0),0)</f>
        <v>0</v>
      </c>
      <c r="AU8" s="175">
        <f>ROUNDUP(IF($AP8&gt;0,$AP8*AT8,0),-3)</f>
        <v>0</v>
      </c>
      <c r="AV8" s="359">
        <f>AS8+AU8</f>
        <v>0</v>
      </c>
      <c r="AW8" s="175">
        <f t="shared" ref="AW8:AW67" si="5">AP8-AV8</f>
        <v>0</v>
      </c>
      <c r="AX8" s="175">
        <f t="shared" ref="AX8:AX39" si="6">IF(C8=C7,AX7+(AV8-AV7),AX7+AV8)+Y8</f>
        <v>0</v>
      </c>
      <c r="BH8" s="15">
        <f>VLOOKUP($A8,'Financ 1'!$A$15:$Q$75,17,0)+VLOOKUP($A8,'Financ 2'!$A$15:$Q$75,17,0)</f>
        <v>214650000</v>
      </c>
      <c r="BI8" s="15"/>
    </row>
    <row r="9" spans="1:61" x14ac:dyDescent="0.35">
      <c r="A9" s="18">
        <v>1</v>
      </c>
      <c r="B9" s="184">
        <v>42035</v>
      </c>
      <c r="C9" s="331">
        <f t="shared" ref="C9:C68" si="7">YEAR(B9)</f>
        <v>2015</v>
      </c>
      <c r="D9" s="175">
        <v>0</v>
      </c>
      <c r="E9" s="175">
        <f>IFERROR(HLOOKUP($B9,'Inv Adic'!$D$6:$M$29,13,0),0)</f>
        <v>0</v>
      </c>
      <c r="F9" s="175">
        <f>IFERROR(VLOOKUP($B9,'Inv Temp'!$B$7:$I$67,F$1,0),0)</f>
        <v>92000000</v>
      </c>
      <c r="G9" s="175">
        <f t="shared" ref="G9:G68" si="8">SUM(D9:F9)</f>
        <v>92000000</v>
      </c>
      <c r="H9" s="175">
        <f>VLOOKUP($B9,'Financ Total'!$B$10:$F$70,H$1,0)</f>
        <v>2000000</v>
      </c>
      <c r="I9" s="309">
        <v>0</v>
      </c>
      <c r="J9" s="175">
        <f>VLOOKUP($B9,'Financ Total'!$B$10:$F$70,J$1,0)</f>
        <v>0</v>
      </c>
      <c r="K9" s="175">
        <f>VLOOKUP($B9,'Financ Total'!$B$10:$F$70,K$1,0)</f>
        <v>1747752</v>
      </c>
      <c r="L9" s="175">
        <f t="shared" ref="L9:L68" si="9">H9+I9-J9-K9</f>
        <v>252248</v>
      </c>
      <c r="M9" s="175">
        <f>IF($M$1=0,IFERROR(HLOOKUP(YEAR($B9),'Ing Proyect'!$B$6:$G$12,6,0),0),IF($M$1=1,IFERROR(HLOOKUP(YEAR($B8),'Ing Proyect'!$B$6:$G$12,6,0),0),IFERROR(HLOOKUP(YEAR($B7),'Ing Proyect'!$B$6:$G$12,6,0),0)))</f>
        <v>0</v>
      </c>
      <c r="N9" s="175">
        <f>VLOOKUP($B9,'Inv Temp'!$B$7:$I$67,N$2,0)</f>
        <v>356471</v>
      </c>
      <c r="O9" s="175">
        <v>0</v>
      </c>
      <c r="P9" s="175">
        <f>SUM(M9:O9)</f>
        <v>356471</v>
      </c>
      <c r="Q9" s="175">
        <f>VLOOKUP($B9,'Gtos Consultores'!$B$9:$AH$69,Q$3,0)</f>
        <v>72707464.400000006</v>
      </c>
      <c r="R9" s="175">
        <f>VLOOKUP($B9,'Gtos Consultores'!$B$9:$AH$69,R$3,0)</f>
        <v>7397308.6399500007</v>
      </c>
      <c r="S9" s="175">
        <f>IFERROR(VLOOKUP($B9,'Gtos Consultores'!$B$9:$AH$69,S$3,0),0)</f>
        <v>0</v>
      </c>
      <c r="T9" s="175">
        <f>IF($T$1=0,IFERROR(HLOOKUP(YEAR($B9),'Gastos Proyect'!$B$4:$F$17,14,0),0),IF($T$1=1,IFERROR(HLOOKUP(YEAR($B8),'Gastos Proyect'!$B$4:$F$17,14,0),0),IFERROR(HLOOKUP(YEAR($B7),'Gastos Proyect'!$B$4:$F$17,14,0),0)))</f>
        <v>11491000</v>
      </c>
      <c r="U9" s="359">
        <f>IFERROR(HLOOKUP(YEAR($B9),'Ing Proyect'!$B$6:$G$12,6,0),0)*$U$2</f>
        <v>5224150</v>
      </c>
      <c r="V9" s="175">
        <v>0</v>
      </c>
      <c r="W9" s="175">
        <f t="shared" si="0"/>
        <v>96819923.039950013</v>
      </c>
      <c r="X9" s="175">
        <f t="shared" ref="X9:X68" si="10">P9-W9</f>
        <v>-96463452.039950013</v>
      </c>
      <c r="Y9" s="359">
        <f t="shared" si="1"/>
        <v>0</v>
      </c>
      <c r="Z9" s="175">
        <f t="shared" ref="Z9:Z68" si="11">-G9+L9+P9-W9+Y9</f>
        <v>-188211204.03995001</v>
      </c>
      <c r="AB9" s="175">
        <f t="shared" si="2"/>
        <v>97000000</v>
      </c>
      <c r="AC9" s="175">
        <f>AE8+(-G9+(VLOOKUP($A9,'Financ 1'!$A$15:$Q$75,17,0)+VLOOKUP($A9,'Financ 2'!$A$15:$Q$75,17,0))+I9+P9-W9+Y9)-AB9</f>
        <v>-93211204.039950013</v>
      </c>
      <c r="AD9" s="175">
        <f>VLOOKUP($B9,'Inv Temp'!$B$7:$I$67,AD$2,0)</f>
        <v>92000000</v>
      </c>
      <c r="AE9" s="175">
        <f>IF($A9=0,'Inv Inicial'!$D$15,AE8+Z9-AC9*0+AD9)</f>
        <v>97788795.960049987</v>
      </c>
      <c r="AF9" s="175">
        <f t="shared" si="3"/>
        <v>788795.96004998684</v>
      </c>
      <c r="AG9" s="175">
        <f t="shared" si="4"/>
        <v>0</v>
      </c>
      <c r="AI9" s="175">
        <f>VLOOKUP($A9,'Amort Inv Inic'!$A$7:$U$67,21,0)</f>
        <v>2853471</v>
      </c>
      <c r="AJ9" s="175">
        <f>VLOOKUP($A9,'Amort Inv Adic'!$A$7:$BI$67,54,0)</f>
        <v>0</v>
      </c>
      <c r="AK9" s="175">
        <f t="shared" ref="AK9:AK68" si="12">SUM(AI9:AJ9)</f>
        <v>2853471</v>
      </c>
      <c r="AM9" s="175">
        <f>IFERROR(HLOOKUP(YEAR($B9),'Ing Proyect'!$B$6:$G$12,6,0),0)</f>
        <v>104483000</v>
      </c>
      <c r="AN9" s="175">
        <f>VLOOKUP($B9,'Gtos Consultores'!$B$9:$AI$69,AN$3,0)</f>
        <v>998288</v>
      </c>
      <c r="AO9" s="175">
        <f>(P9-M9+AM9)-(W9-S9)-K9-AK9-AN9+T9-IFERROR(HLOOKUP(YEAR($B9),'Gastos Proyect'!$B$4:$F$17,14,0),0)</f>
        <v>2420036.9600499868</v>
      </c>
      <c r="AP9" s="175">
        <f>SUMIF($C$8:$C9,$C9,$AO$8:$AO9)</f>
        <v>2420036.9600499868</v>
      </c>
      <c r="AR9" s="320">
        <f>IFERROR(VLOOKUP(ROUNDUP($A9/12,0),Variables!$B$32:$E$36,4,0),0)</f>
        <v>0</v>
      </c>
      <c r="AS9" s="175">
        <f t="shared" ref="AS9:AS68" si="13">ROUNDUP(IF($AP9&gt;0,$AP9*AR9,0),-3)</f>
        <v>0</v>
      </c>
      <c r="AT9" s="320">
        <f>IFERROR(VLOOKUP(ROUNDUP($A9/12,0),Variables!$B$41:$E$45,4,0),0)</f>
        <v>0.09</v>
      </c>
      <c r="AU9" s="175">
        <f t="shared" ref="AU9:AU68" si="14">ROUNDUP(IF($AP9&gt;0,$AP9*AT9,0),-3)</f>
        <v>218000</v>
      </c>
      <c r="AV9" s="359">
        <f>AS9+AU9</f>
        <v>218000</v>
      </c>
      <c r="AW9" s="175">
        <f t="shared" si="5"/>
        <v>2202036.9600499868</v>
      </c>
      <c r="AX9" s="175">
        <f t="shared" si="6"/>
        <v>218000</v>
      </c>
      <c r="BH9" s="15">
        <f>VLOOKUP($A9,'Financ 1'!$A$15:$Q$75,17,0)+VLOOKUP($A9,'Financ 2'!$A$15:$Q$75,17,0)</f>
        <v>-1747752</v>
      </c>
      <c r="BI9" s="15"/>
    </row>
    <row r="10" spans="1:61" x14ac:dyDescent="0.35">
      <c r="A10" s="18">
        <v>2</v>
      </c>
      <c r="B10" s="184">
        <v>42063</v>
      </c>
      <c r="C10" s="331">
        <f t="shared" si="7"/>
        <v>2015</v>
      </c>
      <c r="D10" s="175">
        <v>0</v>
      </c>
      <c r="E10" s="175">
        <f>IFERROR(HLOOKUP($B10,'Inv Adic'!$D$6:$M$29,13,0),0)</f>
        <v>0</v>
      </c>
      <c r="F10" s="175">
        <f>IFERROR(VLOOKUP($B10,'Inv Temp'!$B$7:$I$67,F$1,0),0)</f>
        <v>0</v>
      </c>
      <c r="G10" s="175">
        <f t="shared" si="8"/>
        <v>0</v>
      </c>
      <c r="H10" s="175">
        <f>VLOOKUP($B10,'Financ Total'!$B$10:$F$70,H$1,0)</f>
        <v>0</v>
      </c>
      <c r="I10" s="309">
        <v>0</v>
      </c>
      <c r="J10" s="175">
        <f>VLOOKUP($B10,'Financ Total'!$B$10:$F$70,J$1,0)</f>
        <v>2000000</v>
      </c>
      <c r="K10" s="175">
        <f>VLOOKUP($B10,'Financ Total'!$B$10:$F$70,K$1,0)</f>
        <v>1769663</v>
      </c>
      <c r="L10" s="175">
        <f t="shared" si="9"/>
        <v>-3769663</v>
      </c>
      <c r="M10" s="175">
        <f>IF($M$1=0,IFERROR(HLOOKUP(YEAR($B10),'Ing Proyect'!$B$6:$G$12,6,0),0),IF($M$1=1,IFERROR(HLOOKUP(YEAR($B9),'Ing Proyect'!$B$6:$G$12,6,0),0),IFERROR(HLOOKUP(YEAR($B8),'Ing Proyect'!$B$6:$G$12,6,0),0)))</f>
        <v>104483000</v>
      </c>
      <c r="N10" s="175">
        <f>VLOOKUP($B10,'Inv Temp'!$B$7:$I$67,N$2,0)</f>
        <v>0</v>
      </c>
      <c r="O10" s="175">
        <v>0</v>
      </c>
      <c r="P10" s="175">
        <f t="shared" ref="P10:P68" si="15">SUM(M10:O10)</f>
        <v>104483000</v>
      </c>
      <c r="Q10" s="175">
        <f>VLOOKUP($B10,'Gtos Consultores'!$B$9:$AH$69,Q$3,0)</f>
        <v>72707464.400000006</v>
      </c>
      <c r="R10" s="175">
        <f>VLOOKUP($B10,'Gtos Consultores'!$B$9:$AH$69,R$3,0)</f>
        <v>7397308.6399500007</v>
      </c>
      <c r="S10" s="175">
        <f>IFERROR(VLOOKUP($B10,'Gtos Consultores'!$B$9:$AH$69,S$3,0),0)</f>
        <v>0</v>
      </c>
      <c r="T10" s="175">
        <f>IF($T$1=0,IFERROR(HLOOKUP(YEAR($B10),'Gastos Proyect'!$B$4:$F$17,14,0),0),IF($T$1=1,IFERROR(HLOOKUP(YEAR($B9),'Gastos Proyect'!$B$4:$F$17,14,0),0),IFERROR(HLOOKUP(YEAR($B8),'Gastos Proyect'!$B$4:$F$17,14,0),0)))</f>
        <v>11491000</v>
      </c>
      <c r="U10" s="359">
        <f>IFERROR(HLOOKUP(YEAR($B10),'Ing Proyect'!$B$6:$G$12,6,0),0)*$U$2</f>
        <v>5224150</v>
      </c>
      <c r="V10" s="175">
        <v>0</v>
      </c>
      <c r="W10" s="175">
        <f t="shared" si="0"/>
        <v>96819923.039950013</v>
      </c>
      <c r="X10" s="175">
        <f t="shared" si="10"/>
        <v>7663076.9600499868</v>
      </c>
      <c r="Y10" s="359">
        <f t="shared" si="1"/>
        <v>0</v>
      </c>
      <c r="Z10" s="175">
        <f t="shared" si="11"/>
        <v>3893413.9600499868</v>
      </c>
      <c r="AB10" s="175">
        <f t="shared" si="2"/>
        <v>97000000</v>
      </c>
      <c r="AC10" s="175">
        <f>AE9+(-G10+(VLOOKUP($A10,'Financ 1'!$A$15:$Q$75,17,0)+VLOOKUP($A10,'Financ 2'!$A$15:$Q$75,17,0))+I10+P10-W10+Y10)-AB10</f>
        <v>6704120.9200999737</v>
      </c>
      <c r="AD10" s="175">
        <f>VLOOKUP($B10,'Inv Temp'!$B$7:$I$67,AD$2,0)</f>
        <v>0</v>
      </c>
      <c r="AE10" s="175">
        <f>IF($A10=0,'Inv Inicial'!$D$15,AE9+Z10-AC10*0+AD10)</f>
        <v>101682209.92009997</v>
      </c>
      <c r="AF10" s="175">
        <f t="shared" si="3"/>
        <v>4682209.9200999737</v>
      </c>
      <c r="AG10" s="175">
        <f t="shared" si="4"/>
        <v>0</v>
      </c>
      <c r="AI10" s="175">
        <f>VLOOKUP($A10,'Amort Inv Inic'!$A$7:$U$67,21,0)</f>
        <v>2853471</v>
      </c>
      <c r="AJ10" s="175">
        <f>VLOOKUP($A10,'Amort Inv Adic'!$A$7:$BI$67,54,0)</f>
        <v>0</v>
      </c>
      <c r="AK10" s="175">
        <f t="shared" si="12"/>
        <v>2853471</v>
      </c>
      <c r="AM10" s="175">
        <f>IFERROR(HLOOKUP(YEAR($B10),'Ing Proyect'!$B$6:$G$12,6,0),0)</f>
        <v>104483000</v>
      </c>
      <c r="AN10" s="175">
        <f>VLOOKUP($B10,'Gtos Consultores'!$B$9:$AI$69,AN$3,0)</f>
        <v>998288</v>
      </c>
      <c r="AO10" s="175">
        <f>(P10-M10+AM10)-(W10-S10)-K10-AK10-AN10+T10-IFERROR(HLOOKUP(YEAR($B10),'Gastos Proyect'!$B$4:$F$17,14,0),0)</f>
        <v>2041654.9600499868</v>
      </c>
      <c r="AP10" s="175">
        <f>SUMIF($C$8:$C10,$C10,$AO$8:$AO10)</f>
        <v>4461691.9200999737</v>
      </c>
      <c r="AR10" s="320">
        <f>IFERROR(VLOOKUP(ROUNDUP($A10/12,0),Variables!$B$32:$E$36,4,0),0)</f>
        <v>0</v>
      </c>
      <c r="AS10" s="175">
        <f t="shared" si="13"/>
        <v>0</v>
      </c>
      <c r="AT10" s="320">
        <f>IFERROR(VLOOKUP(ROUNDUP($A10/12,0),Variables!$B$41:$E$45,4,0),0)</f>
        <v>0.09</v>
      </c>
      <c r="AU10" s="175">
        <f t="shared" si="14"/>
        <v>402000</v>
      </c>
      <c r="AV10" s="359">
        <f t="shared" ref="AV10:AV68" si="16">AS10+AU10</f>
        <v>402000</v>
      </c>
      <c r="AW10" s="175">
        <f t="shared" si="5"/>
        <v>4059691.9200999737</v>
      </c>
      <c r="AX10" s="175">
        <f t="shared" si="6"/>
        <v>402000</v>
      </c>
      <c r="BH10" s="15">
        <f>VLOOKUP($A10,'Financ 1'!$A$15:$Q$75,17,0)+VLOOKUP($A10,'Financ 2'!$A$15:$Q$75,17,0)</f>
        <v>-1747752</v>
      </c>
      <c r="BI10" s="15"/>
    </row>
    <row r="11" spans="1:61" x14ac:dyDescent="0.35">
      <c r="A11" s="18">
        <v>3</v>
      </c>
      <c r="B11" s="184">
        <v>42094</v>
      </c>
      <c r="C11" s="331">
        <f t="shared" si="7"/>
        <v>2015</v>
      </c>
      <c r="D11" s="175">
        <v>0</v>
      </c>
      <c r="E11" s="175">
        <f>IFERROR(HLOOKUP($B11,'Inv Adic'!$D$6:$M$29,13,0),0)</f>
        <v>0</v>
      </c>
      <c r="F11" s="175">
        <f>IFERROR(VLOOKUP($B11,'Inv Temp'!$B$7:$I$67,F$1,0),0)</f>
        <v>0</v>
      </c>
      <c r="G11" s="175">
        <f t="shared" si="8"/>
        <v>0</v>
      </c>
      <c r="H11" s="175">
        <f>VLOOKUP($B11,'Financ Total'!$B$10:$F$70,H$1,0)</f>
        <v>0</v>
      </c>
      <c r="I11" s="309">
        <v>0</v>
      </c>
      <c r="J11" s="175">
        <f>VLOOKUP($B11,'Financ Total'!$B$10:$F$70,J$1,0)</f>
        <v>0</v>
      </c>
      <c r="K11" s="175">
        <f>VLOOKUP($B11,'Financ Total'!$B$10:$F$70,K$1,0)</f>
        <v>1747752</v>
      </c>
      <c r="L11" s="175">
        <f t="shared" si="9"/>
        <v>-1747752</v>
      </c>
      <c r="M11" s="175">
        <f>IF($M$1=0,IFERROR(HLOOKUP(YEAR($B11),'Ing Proyect'!$B$6:$G$12,6,0),0),IF($M$1=1,IFERROR(HLOOKUP(YEAR($B10),'Ing Proyect'!$B$6:$G$12,6,0),0),IFERROR(HLOOKUP(YEAR($B9),'Ing Proyect'!$B$6:$G$12,6,0),0)))</f>
        <v>104483000</v>
      </c>
      <c r="N11" s="175">
        <f>VLOOKUP($B11,'Inv Temp'!$B$7:$I$67,N$2,0)</f>
        <v>0</v>
      </c>
      <c r="O11" s="175">
        <v>0</v>
      </c>
      <c r="P11" s="175">
        <f t="shared" si="15"/>
        <v>104483000</v>
      </c>
      <c r="Q11" s="175">
        <f>VLOOKUP($B11,'Gtos Consultores'!$B$9:$AH$69,Q$3,0)</f>
        <v>72707464.400000006</v>
      </c>
      <c r="R11" s="175">
        <f>VLOOKUP($B11,'Gtos Consultores'!$B$9:$AH$69,R$3,0)</f>
        <v>7397308.6399500007</v>
      </c>
      <c r="S11" s="175">
        <f>IFERROR(VLOOKUP($B11,'Gtos Consultores'!$B$9:$AH$69,S$3,0),0)</f>
        <v>0</v>
      </c>
      <c r="T11" s="175">
        <f>IF($T$1=0,IFERROR(HLOOKUP(YEAR($B11),'Gastos Proyect'!$B$4:$F$17,14,0),0),IF($T$1=1,IFERROR(HLOOKUP(YEAR($B10),'Gastos Proyect'!$B$4:$F$17,14,0),0),IFERROR(HLOOKUP(YEAR($B9),'Gastos Proyect'!$B$4:$F$17,14,0),0)))</f>
        <v>11491000</v>
      </c>
      <c r="U11" s="359">
        <f>IFERROR(HLOOKUP(YEAR($B11),'Ing Proyect'!$B$6:$G$12,6,0),0)*$U$2</f>
        <v>5224150</v>
      </c>
      <c r="V11" s="175">
        <v>0</v>
      </c>
      <c r="W11" s="175">
        <f t="shared" si="0"/>
        <v>96819923.039950013</v>
      </c>
      <c r="X11" s="175">
        <f t="shared" si="10"/>
        <v>7663076.9600499868</v>
      </c>
      <c r="Y11" s="359">
        <f t="shared" si="1"/>
        <v>0</v>
      </c>
      <c r="Z11" s="175">
        <f t="shared" si="11"/>
        <v>5915324.9600499868</v>
      </c>
      <c r="AB11" s="175">
        <f t="shared" si="2"/>
        <v>97000000</v>
      </c>
      <c r="AC11" s="175">
        <f>AE10+(-G11+(VLOOKUP($A11,'Financ 1'!$A$15:$Q$75,17,0)+VLOOKUP($A11,'Financ 2'!$A$15:$Q$75,17,0))+I11+P11-W11+Y11)-AB11</f>
        <v>10597534.880149961</v>
      </c>
      <c r="AD11" s="175">
        <f>VLOOKUP($B11,'Inv Temp'!$B$7:$I$67,AD$2,0)</f>
        <v>0</v>
      </c>
      <c r="AE11" s="175">
        <f>IF($A11=0,'Inv Inicial'!$D$15,AE10+Z11-AC11*0+AD11)</f>
        <v>107597534.88014996</v>
      </c>
      <c r="AF11" s="175">
        <f t="shared" si="3"/>
        <v>10597534.880149961</v>
      </c>
      <c r="AG11" s="175">
        <f t="shared" si="4"/>
        <v>0</v>
      </c>
      <c r="AI11" s="175">
        <f>VLOOKUP($A11,'Amort Inv Inic'!$A$7:$U$67,21,0)</f>
        <v>2853471</v>
      </c>
      <c r="AJ11" s="175">
        <f>VLOOKUP($A11,'Amort Inv Adic'!$A$7:$BI$67,54,0)</f>
        <v>0</v>
      </c>
      <c r="AK11" s="175">
        <f t="shared" si="12"/>
        <v>2853471</v>
      </c>
      <c r="AM11" s="175">
        <f>IFERROR(HLOOKUP(YEAR($B11),'Ing Proyect'!$B$6:$G$12,6,0),0)</f>
        <v>104483000</v>
      </c>
      <c r="AN11" s="175">
        <f>VLOOKUP($B11,'Gtos Consultores'!$B$9:$AI$69,AN$3,0)</f>
        <v>998288</v>
      </c>
      <c r="AO11" s="175">
        <f>(P11-M11+AM11)-(W11-S11)-K11-AK11-AN11+T11-IFERROR(HLOOKUP(YEAR($B11),'Gastos Proyect'!$B$4:$F$17,14,0),0)</f>
        <v>2063565.9600499868</v>
      </c>
      <c r="AP11" s="175">
        <f>SUMIF($C$8:$C11,$C11,$AO$8:$AO11)</f>
        <v>6525257.8801499605</v>
      </c>
      <c r="AR11" s="320">
        <f>IFERROR(VLOOKUP(ROUNDUP($A11/12,0),Variables!$B$32:$E$36,4,0),0)</f>
        <v>0</v>
      </c>
      <c r="AS11" s="175">
        <f t="shared" si="13"/>
        <v>0</v>
      </c>
      <c r="AT11" s="320">
        <f>IFERROR(VLOOKUP(ROUNDUP($A11/12,0),Variables!$B$41:$E$45,4,0),0)</f>
        <v>0.09</v>
      </c>
      <c r="AU11" s="175">
        <f t="shared" si="14"/>
        <v>588000</v>
      </c>
      <c r="AV11" s="359">
        <f t="shared" si="16"/>
        <v>588000</v>
      </c>
      <c r="AW11" s="175">
        <f t="shared" si="5"/>
        <v>5937257.8801499605</v>
      </c>
      <c r="AX11" s="175">
        <f t="shared" si="6"/>
        <v>588000</v>
      </c>
      <c r="BH11" s="15">
        <f>VLOOKUP($A11,'Financ 1'!$A$15:$Q$75,17,0)+VLOOKUP($A11,'Financ 2'!$A$15:$Q$75,17,0)</f>
        <v>-1747752</v>
      </c>
      <c r="BI11" s="15"/>
    </row>
    <row r="12" spans="1:61" x14ac:dyDescent="0.35">
      <c r="A12" s="18">
        <v>4</v>
      </c>
      <c r="B12" s="184">
        <v>42124</v>
      </c>
      <c r="C12" s="331">
        <f t="shared" si="7"/>
        <v>2015</v>
      </c>
      <c r="D12" s="175">
        <v>0</v>
      </c>
      <c r="E12" s="175">
        <f>IFERROR(HLOOKUP($B12,'Inv Adic'!$D$6:$M$29,13,0),0)</f>
        <v>0</v>
      </c>
      <c r="F12" s="175">
        <f>IFERROR(VLOOKUP($B12,'Inv Temp'!$B$7:$I$67,F$1,0),0)</f>
        <v>5000000</v>
      </c>
      <c r="G12" s="175">
        <f t="shared" si="8"/>
        <v>5000000</v>
      </c>
      <c r="H12" s="175">
        <f>VLOOKUP($B12,'Financ Total'!$B$10:$F$70,H$1,0)</f>
        <v>0</v>
      </c>
      <c r="I12" s="309">
        <v>0</v>
      </c>
      <c r="J12" s="175">
        <f>VLOOKUP($B12,'Financ Total'!$B$10:$F$70,J$1,0)</f>
        <v>0</v>
      </c>
      <c r="K12" s="175">
        <f>VLOOKUP($B12,'Financ Total'!$B$10:$F$70,K$1,0)</f>
        <v>1791295</v>
      </c>
      <c r="L12" s="175">
        <f t="shared" si="9"/>
        <v>-1791295</v>
      </c>
      <c r="M12" s="175">
        <f>IF($M$1=0,IFERROR(HLOOKUP(YEAR($B12),'Ing Proyect'!$B$6:$G$12,6,0),0),IF($M$1=1,IFERROR(HLOOKUP(YEAR($B11),'Ing Proyect'!$B$6:$G$12,6,0),0),IFERROR(HLOOKUP(YEAR($B10),'Ing Proyect'!$B$6:$G$12,6,0),0)))</f>
        <v>104483000</v>
      </c>
      <c r="N12" s="175">
        <f>VLOOKUP($B12,'Inv Temp'!$B$7:$I$67,N$2,0)</f>
        <v>20371</v>
      </c>
      <c r="O12" s="175">
        <v>0</v>
      </c>
      <c r="P12" s="175">
        <f t="shared" si="15"/>
        <v>104503371</v>
      </c>
      <c r="Q12" s="175">
        <f>VLOOKUP($B12,'Gtos Consultores'!$B$9:$AH$69,Q$3,0)</f>
        <v>72707464.400000006</v>
      </c>
      <c r="R12" s="175">
        <f>VLOOKUP($B12,'Gtos Consultores'!$B$9:$AH$69,R$3,0)</f>
        <v>7397308.6399500007</v>
      </c>
      <c r="S12" s="175">
        <f>IFERROR(VLOOKUP($B12,'Gtos Consultores'!$B$9:$AH$69,S$3,0),0)</f>
        <v>0</v>
      </c>
      <c r="T12" s="175">
        <f>IF($T$1=0,IFERROR(HLOOKUP(YEAR($B12),'Gastos Proyect'!$B$4:$F$17,14,0),0),IF($T$1=1,IFERROR(HLOOKUP(YEAR($B11),'Gastos Proyect'!$B$4:$F$17,14,0),0),IFERROR(HLOOKUP(YEAR($B10),'Gastos Proyect'!$B$4:$F$17,14,0),0)))</f>
        <v>11491000</v>
      </c>
      <c r="U12" s="359">
        <f>IFERROR(HLOOKUP(YEAR($B12),'Ing Proyect'!$B$6:$G$12,6,0),0)*$U$2</f>
        <v>5224150</v>
      </c>
      <c r="V12" s="175">
        <v>0</v>
      </c>
      <c r="W12" s="175">
        <f t="shared" si="0"/>
        <v>96819923.039950013</v>
      </c>
      <c r="X12" s="175">
        <f t="shared" si="10"/>
        <v>7683447.9600499868</v>
      </c>
      <c r="Y12" s="359">
        <f t="shared" si="1"/>
        <v>0</v>
      </c>
      <c r="Z12" s="175">
        <f t="shared" si="11"/>
        <v>892152.96004998684</v>
      </c>
      <c r="AB12" s="175">
        <f t="shared" si="2"/>
        <v>97000000</v>
      </c>
      <c r="AC12" s="175">
        <f>AE11+(-G12+(VLOOKUP($A12,'Financ 1'!$A$15:$Q$75,17,0)+VLOOKUP($A12,'Financ 2'!$A$15:$Q$75,17,0))+I12+P12-W12+Y12)-AB12</f>
        <v>11489687.840199947</v>
      </c>
      <c r="AD12" s="175">
        <f>VLOOKUP($B12,'Inv Temp'!$B$7:$I$67,AD$2,0)</f>
        <v>0</v>
      </c>
      <c r="AE12" s="175">
        <f>IF($A12=0,'Inv Inicial'!$D$15,AE11+Z12-AC12*0+AD12)</f>
        <v>108489687.84019995</v>
      </c>
      <c r="AF12" s="175">
        <f t="shared" si="3"/>
        <v>11489687.840199947</v>
      </c>
      <c r="AG12" s="175">
        <f t="shared" si="4"/>
        <v>0</v>
      </c>
      <c r="AI12" s="175">
        <f>VLOOKUP($A12,'Amort Inv Inic'!$A$7:$U$67,21,0)</f>
        <v>2853471</v>
      </c>
      <c r="AJ12" s="175">
        <f>VLOOKUP($A12,'Amort Inv Adic'!$A$7:$BI$67,54,0)</f>
        <v>0</v>
      </c>
      <c r="AK12" s="175">
        <f t="shared" si="12"/>
        <v>2853471</v>
      </c>
      <c r="AM12" s="175">
        <f>IFERROR(HLOOKUP(YEAR($B12),'Ing Proyect'!$B$6:$G$12,6,0),0)</f>
        <v>104483000</v>
      </c>
      <c r="AN12" s="175">
        <f>VLOOKUP($B12,'Gtos Consultores'!$B$9:$AI$69,AN$3,0)</f>
        <v>998288</v>
      </c>
      <c r="AO12" s="175">
        <f>(P12-M12+AM12)-(W12-S12)-K12-AK12-AN12+T12-IFERROR(HLOOKUP(YEAR($B12),'Gastos Proyect'!$B$4:$F$17,14,0),0)</f>
        <v>2040393.9600499868</v>
      </c>
      <c r="AP12" s="175">
        <f>SUMIF($C$8:$C12,$C12,$AO$8:$AO12)</f>
        <v>8565651.8401999474</v>
      </c>
      <c r="AR12" s="320">
        <f>IFERROR(VLOOKUP(ROUNDUP($A12/12,0),Variables!$B$32:$E$36,4,0),0)</f>
        <v>0</v>
      </c>
      <c r="AS12" s="175">
        <f t="shared" si="13"/>
        <v>0</v>
      </c>
      <c r="AT12" s="320">
        <f>IFERROR(VLOOKUP(ROUNDUP($A12/12,0),Variables!$B$41:$E$45,4,0),0)</f>
        <v>0.09</v>
      </c>
      <c r="AU12" s="175">
        <f t="shared" si="14"/>
        <v>771000</v>
      </c>
      <c r="AV12" s="359">
        <f t="shared" si="16"/>
        <v>771000</v>
      </c>
      <c r="AW12" s="175">
        <f t="shared" si="5"/>
        <v>7794651.8401999474</v>
      </c>
      <c r="AX12" s="175">
        <f t="shared" si="6"/>
        <v>771000</v>
      </c>
      <c r="BH12" s="15">
        <f>VLOOKUP($A12,'Financ 1'!$A$15:$Q$75,17,0)+VLOOKUP($A12,'Financ 2'!$A$15:$Q$75,17,0)</f>
        <v>-1791295</v>
      </c>
      <c r="BI12" s="15"/>
    </row>
    <row r="13" spans="1:61" x14ac:dyDescent="0.35">
      <c r="A13" s="18">
        <v>5</v>
      </c>
      <c r="B13" s="184">
        <v>42155</v>
      </c>
      <c r="C13" s="331">
        <f t="shared" si="7"/>
        <v>2015</v>
      </c>
      <c r="D13" s="175">
        <v>0</v>
      </c>
      <c r="E13" s="175">
        <f>IFERROR(HLOOKUP($B13,'Inv Adic'!$D$6:$M$29,13,0),0)</f>
        <v>0</v>
      </c>
      <c r="F13" s="175">
        <f>IFERROR(VLOOKUP($B13,'Inv Temp'!$B$7:$I$67,F$1,0),0)</f>
        <v>6000000</v>
      </c>
      <c r="G13" s="175">
        <f t="shared" si="8"/>
        <v>6000000</v>
      </c>
      <c r="H13" s="175">
        <f>VLOOKUP($B13,'Financ Total'!$B$10:$F$70,H$1,0)</f>
        <v>0</v>
      </c>
      <c r="I13" s="309">
        <v>0</v>
      </c>
      <c r="J13" s="175">
        <f>VLOOKUP($B13,'Financ Total'!$B$10:$F$70,J$1,0)</f>
        <v>0</v>
      </c>
      <c r="K13" s="175">
        <f>VLOOKUP($B13,'Financ Total'!$B$10:$F$70,K$1,0)</f>
        <v>1791295</v>
      </c>
      <c r="L13" s="175">
        <f t="shared" si="9"/>
        <v>-1791295</v>
      </c>
      <c r="M13" s="175">
        <f>IF($M$1=0,IFERROR(HLOOKUP(YEAR($B13),'Ing Proyect'!$B$6:$G$12,6,0),0),IF($M$1=1,IFERROR(HLOOKUP(YEAR($B12),'Ing Proyect'!$B$6:$G$12,6,0),0),IFERROR(HLOOKUP(YEAR($B11),'Ing Proyect'!$B$6:$G$12,6,0),0)))</f>
        <v>104483000</v>
      </c>
      <c r="N13" s="175">
        <f>VLOOKUP($B13,'Inv Temp'!$B$7:$I$67,N$2,0)</f>
        <v>44815</v>
      </c>
      <c r="O13" s="175">
        <v>0</v>
      </c>
      <c r="P13" s="175">
        <f t="shared" si="15"/>
        <v>104527815</v>
      </c>
      <c r="Q13" s="175">
        <f>VLOOKUP($B13,'Gtos Consultores'!$B$9:$AH$69,Q$3,0)</f>
        <v>72707464.400000006</v>
      </c>
      <c r="R13" s="175">
        <f>VLOOKUP($B13,'Gtos Consultores'!$B$9:$AH$69,R$3,0)</f>
        <v>7397308.6399500007</v>
      </c>
      <c r="S13" s="175">
        <f>IFERROR(VLOOKUP($B13,'Gtos Consultores'!$B$9:$AH$69,S$3,0),0)</f>
        <v>0</v>
      </c>
      <c r="T13" s="175">
        <f>IF($T$1=0,IFERROR(HLOOKUP(YEAR($B13),'Gastos Proyect'!$B$4:$F$17,14,0),0),IF($T$1=1,IFERROR(HLOOKUP(YEAR($B12),'Gastos Proyect'!$B$4:$F$17,14,0),0),IFERROR(HLOOKUP(YEAR($B11),'Gastos Proyect'!$B$4:$F$17,14,0),0)))</f>
        <v>11491000</v>
      </c>
      <c r="U13" s="359">
        <f>IFERROR(HLOOKUP(YEAR($B13),'Ing Proyect'!$B$6:$G$12,6,0),0)*$U$2</f>
        <v>5224150</v>
      </c>
      <c r="V13" s="175">
        <v>0</v>
      </c>
      <c r="W13" s="175">
        <f t="shared" si="0"/>
        <v>96819923.039950013</v>
      </c>
      <c r="X13" s="175">
        <f t="shared" si="10"/>
        <v>7707891.9600499868</v>
      </c>
      <c r="Y13" s="359">
        <f t="shared" si="1"/>
        <v>0</v>
      </c>
      <c r="Z13" s="175">
        <f t="shared" si="11"/>
        <v>-83403.039950013161</v>
      </c>
      <c r="AB13" s="175">
        <f t="shared" si="2"/>
        <v>100000000</v>
      </c>
      <c r="AC13" s="175">
        <f>AE12+(-G13+(VLOOKUP($A13,'Financ 1'!$A$15:$Q$75,17,0)+VLOOKUP($A13,'Financ 2'!$A$15:$Q$75,17,0))+I13+P13-W13+Y13)-AB13</f>
        <v>8406284.8002499342</v>
      </c>
      <c r="AD13" s="175">
        <f>VLOOKUP($B13,'Inv Temp'!$B$7:$I$67,AD$2,0)</f>
        <v>0</v>
      </c>
      <c r="AE13" s="175">
        <f>IF($A13=0,'Inv Inicial'!$D$15,AE12+Z13-AC13*0+AD13)</f>
        <v>108406284.80024993</v>
      </c>
      <c r="AF13" s="175">
        <f t="shared" si="3"/>
        <v>8406284.8002499342</v>
      </c>
      <c r="AG13" s="175">
        <f t="shared" si="4"/>
        <v>0</v>
      </c>
      <c r="AI13" s="175">
        <f>VLOOKUP($A13,'Amort Inv Inic'!$A$7:$U$67,21,0)</f>
        <v>2853471</v>
      </c>
      <c r="AJ13" s="175">
        <f>VLOOKUP($A13,'Amort Inv Adic'!$A$7:$BI$67,54,0)</f>
        <v>0</v>
      </c>
      <c r="AK13" s="175">
        <f t="shared" si="12"/>
        <v>2853471</v>
      </c>
      <c r="AM13" s="175">
        <f>IFERROR(HLOOKUP(YEAR($B13),'Ing Proyect'!$B$6:$G$12,6,0),0)</f>
        <v>104483000</v>
      </c>
      <c r="AN13" s="175">
        <f>VLOOKUP($B13,'Gtos Consultores'!$B$9:$AI$69,AN$3,0)</f>
        <v>998288</v>
      </c>
      <c r="AO13" s="175">
        <f>(P13-M13+AM13)-(W13-S13)-K13-AK13-AN13+T13-IFERROR(HLOOKUP(YEAR($B13),'Gastos Proyect'!$B$4:$F$17,14,0),0)</f>
        <v>2064837.9600499868</v>
      </c>
      <c r="AP13" s="175">
        <f>SUMIF($C$8:$C13,$C13,$AO$8:$AO13)</f>
        <v>10630489.800249934</v>
      </c>
      <c r="AR13" s="320">
        <f>IFERROR(VLOOKUP(ROUNDUP($A13/12,0),Variables!$B$32:$E$36,4,0),0)</f>
        <v>0</v>
      </c>
      <c r="AS13" s="175">
        <f t="shared" si="13"/>
        <v>0</v>
      </c>
      <c r="AT13" s="320">
        <f>IFERROR(VLOOKUP(ROUNDUP($A13/12,0),Variables!$B$41:$E$45,4,0),0)</f>
        <v>0.09</v>
      </c>
      <c r="AU13" s="175">
        <f t="shared" si="14"/>
        <v>957000</v>
      </c>
      <c r="AV13" s="359">
        <f t="shared" si="16"/>
        <v>957000</v>
      </c>
      <c r="AW13" s="175">
        <f t="shared" si="5"/>
        <v>9673489.8002499342</v>
      </c>
      <c r="AX13" s="175">
        <f t="shared" si="6"/>
        <v>957000</v>
      </c>
      <c r="BH13" s="15">
        <f>VLOOKUP($A13,'Financ 1'!$A$15:$Q$75,17,0)+VLOOKUP($A13,'Financ 2'!$A$15:$Q$75,17,0)</f>
        <v>-1791295</v>
      </c>
      <c r="BI13" s="15"/>
    </row>
    <row r="14" spans="1:61" x14ac:dyDescent="0.35">
      <c r="A14" s="18">
        <v>6</v>
      </c>
      <c r="B14" s="184">
        <v>42185</v>
      </c>
      <c r="C14" s="331">
        <f t="shared" si="7"/>
        <v>2015</v>
      </c>
      <c r="D14" s="175">
        <v>0</v>
      </c>
      <c r="E14" s="175">
        <f>IFERROR(HLOOKUP($B14,'Inv Adic'!$D$6:$M$29,13,0),0)</f>
        <v>12000000</v>
      </c>
      <c r="F14" s="175">
        <f>IFERROR(VLOOKUP($B14,'Inv Temp'!$B$7:$I$67,F$1,0),0)</f>
        <v>3000000</v>
      </c>
      <c r="G14" s="175">
        <f t="shared" si="8"/>
        <v>15000000</v>
      </c>
      <c r="H14" s="175">
        <f>VLOOKUP($B14,'Financ Total'!$B$10:$F$70,H$1,0)</f>
        <v>0</v>
      </c>
      <c r="I14" s="309">
        <v>0</v>
      </c>
      <c r="J14" s="175">
        <f>VLOOKUP($B14,'Financ Total'!$B$10:$F$70,J$1,0)</f>
        <v>0</v>
      </c>
      <c r="K14" s="175">
        <f>VLOOKUP($B14,'Financ Total'!$B$10:$F$70,K$1,0)</f>
        <v>1791295</v>
      </c>
      <c r="L14" s="175">
        <f t="shared" si="9"/>
        <v>-1791295</v>
      </c>
      <c r="M14" s="175">
        <f>IF($M$1=0,IFERROR(HLOOKUP(YEAR($B14),'Ing Proyect'!$B$6:$G$12,6,0),0),IF($M$1=1,IFERROR(HLOOKUP(YEAR($B13),'Ing Proyect'!$B$6:$G$12,6,0),0),IFERROR(HLOOKUP(YEAR($B12),'Ing Proyect'!$B$6:$G$12,6,0),0)))</f>
        <v>104483000</v>
      </c>
      <c r="N14" s="175">
        <f>VLOOKUP($B14,'Inv Temp'!$B$7:$I$67,N$2,0)</f>
        <v>57038</v>
      </c>
      <c r="O14" s="175">
        <v>0</v>
      </c>
      <c r="P14" s="175">
        <f t="shared" si="15"/>
        <v>104540038</v>
      </c>
      <c r="Q14" s="175">
        <f>VLOOKUP($B14,'Gtos Consultores'!$B$9:$AH$69,Q$3,0)</f>
        <v>72707464.400000006</v>
      </c>
      <c r="R14" s="175">
        <f>VLOOKUP($B14,'Gtos Consultores'!$B$9:$AH$69,R$3,0)</f>
        <v>7397308.6399500007</v>
      </c>
      <c r="S14" s="175">
        <f>IFERROR(VLOOKUP($B14,'Gtos Consultores'!$B$9:$AH$69,S$3,0),0)</f>
        <v>2825344</v>
      </c>
      <c r="T14" s="175">
        <f>IF($T$1=0,IFERROR(HLOOKUP(YEAR($B14),'Gastos Proyect'!$B$4:$F$17,14,0),0),IF($T$1=1,IFERROR(HLOOKUP(YEAR($B13),'Gastos Proyect'!$B$4:$F$17,14,0),0),IFERROR(HLOOKUP(YEAR($B12),'Gastos Proyect'!$B$4:$F$17,14,0),0)))</f>
        <v>11491000</v>
      </c>
      <c r="U14" s="359">
        <f>IFERROR(HLOOKUP(YEAR($B14),'Ing Proyect'!$B$6:$G$12,6,0),0)*$U$2</f>
        <v>5224150</v>
      </c>
      <c r="V14" s="175">
        <v>0</v>
      </c>
      <c r="W14" s="175">
        <f t="shared" si="0"/>
        <v>99645267.039950013</v>
      </c>
      <c r="X14" s="175">
        <f t="shared" si="10"/>
        <v>4894770.9600499868</v>
      </c>
      <c r="Y14" s="359">
        <f t="shared" si="1"/>
        <v>0</v>
      </c>
      <c r="Z14" s="175">
        <f t="shared" si="11"/>
        <v>-11896524.039950013</v>
      </c>
      <c r="AB14" s="175">
        <f t="shared" si="2"/>
        <v>97000000</v>
      </c>
      <c r="AC14" s="175">
        <f>AE13+(-G14+(VLOOKUP($A14,'Financ 1'!$A$15:$Q$75,17,0)+VLOOKUP($A14,'Financ 2'!$A$15:$Q$75,17,0))+I14+P14-W14+Y14)-AB14</f>
        <v>-490239.23970007896</v>
      </c>
      <c r="AD14" s="175">
        <f>VLOOKUP($B14,'Inv Temp'!$B$7:$I$67,AD$2,0)</f>
        <v>1000000</v>
      </c>
      <c r="AE14" s="175">
        <f>IF($A14=0,'Inv Inicial'!$D$15,AE13+Z14-AC14*0+AD14)</f>
        <v>97509760.760299921</v>
      </c>
      <c r="AF14" s="175">
        <f t="shared" si="3"/>
        <v>509760.76029992104</v>
      </c>
      <c r="AG14" s="175">
        <f t="shared" si="4"/>
        <v>0</v>
      </c>
      <c r="AI14" s="175">
        <f>VLOOKUP($A14,'Amort Inv Inic'!$A$7:$U$67,21,0)</f>
        <v>2853471</v>
      </c>
      <c r="AJ14" s="175">
        <f>VLOOKUP($A14,'Amort Inv Adic'!$A$7:$BI$67,54,0)</f>
        <v>0</v>
      </c>
      <c r="AK14" s="175">
        <f t="shared" si="12"/>
        <v>2853471</v>
      </c>
      <c r="AM14" s="175">
        <f>IFERROR(HLOOKUP(YEAR($B14),'Ing Proyect'!$B$6:$G$12,6,0),0)</f>
        <v>104483000</v>
      </c>
      <c r="AN14" s="175">
        <f>VLOOKUP($B14,'Gtos Consultores'!$B$9:$AI$69,AN$3,0)</f>
        <v>998288</v>
      </c>
      <c r="AO14" s="175">
        <f>(P14-M14+AM14)-(W14-S14)-K14-AK14-AN14+T14-IFERROR(HLOOKUP(YEAR($B14),'Gastos Proyect'!$B$4:$F$17,14,0),0)</f>
        <v>2077060.9600499868</v>
      </c>
      <c r="AP14" s="175">
        <f>SUMIF($C$8:$C14,$C14,$AO$8:$AO14)</f>
        <v>12707550.760299921</v>
      </c>
      <c r="AR14" s="320">
        <f>IFERROR(VLOOKUP(ROUNDUP($A14/12,0),Variables!$B$32:$E$36,4,0),0)</f>
        <v>0</v>
      </c>
      <c r="AS14" s="175">
        <f t="shared" si="13"/>
        <v>0</v>
      </c>
      <c r="AT14" s="320">
        <f>IFERROR(VLOOKUP(ROUNDUP($A14/12,0),Variables!$B$41:$E$45,4,0),0)</f>
        <v>0.09</v>
      </c>
      <c r="AU14" s="175">
        <f t="shared" si="14"/>
        <v>1144000</v>
      </c>
      <c r="AV14" s="359">
        <f t="shared" si="16"/>
        <v>1144000</v>
      </c>
      <c r="AW14" s="175">
        <f t="shared" si="5"/>
        <v>11563550.760299921</v>
      </c>
      <c r="AX14" s="175">
        <f t="shared" si="6"/>
        <v>1144000</v>
      </c>
      <c r="BH14" s="15">
        <f>VLOOKUP($A14,'Financ 1'!$A$15:$Q$75,17,0)+VLOOKUP($A14,'Financ 2'!$A$15:$Q$75,17,0)</f>
        <v>-1791295</v>
      </c>
      <c r="BI14" s="15"/>
    </row>
    <row r="15" spans="1:61" x14ac:dyDescent="0.35">
      <c r="A15" s="18">
        <v>7</v>
      </c>
      <c r="B15" s="184">
        <v>42216</v>
      </c>
      <c r="C15" s="331">
        <f t="shared" si="7"/>
        <v>2015</v>
      </c>
      <c r="D15" s="175">
        <v>0</v>
      </c>
      <c r="E15" s="175">
        <f>IFERROR(HLOOKUP($B15,'Inv Adic'!$D$6:$M$29,13,0),0)</f>
        <v>0</v>
      </c>
      <c r="F15" s="175">
        <f>IFERROR(VLOOKUP($B15,'Inv Temp'!$B$7:$I$67,F$1,0),0)</f>
        <v>0</v>
      </c>
      <c r="G15" s="175">
        <f t="shared" si="8"/>
        <v>0</v>
      </c>
      <c r="H15" s="175">
        <f>VLOOKUP($B15,'Financ Total'!$B$10:$F$70,H$1,0)</f>
        <v>0</v>
      </c>
      <c r="I15" s="309">
        <v>0</v>
      </c>
      <c r="J15" s="175">
        <f>VLOOKUP($B15,'Financ Total'!$B$10:$F$70,J$1,0)</f>
        <v>0</v>
      </c>
      <c r="K15" s="175">
        <f>VLOOKUP($B15,'Financ Total'!$B$10:$F$70,K$1,0)</f>
        <v>1834743</v>
      </c>
      <c r="L15" s="175">
        <f t="shared" si="9"/>
        <v>-1834743</v>
      </c>
      <c r="M15" s="175">
        <f>IF($M$1=0,IFERROR(HLOOKUP(YEAR($B15),'Ing Proyect'!$B$6:$G$12,6,0),0),IF($M$1=1,IFERROR(HLOOKUP(YEAR($B14),'Ing Proyect'!$B$6:$G$12,6,0),0),IFERROR(HLOOKUP(YEAR($B13),'Ing Proyect'!$B$6:$G$12,6,0),0)))</f>
        <v>104483000</v>
      </c>
      <c r="N15" s="175">
        <f>VLOOKUP($B15,'Inv Temp'!$B$7:$I$67,N$2,0)</f>
        <v>55551</v>
      </c>
      <c r="O15" s="175">
        <v>0</v>
      </c>
      <c r="P15" s="175">
        <f t="shared" si="15"/>
        <v>104538551</v>
      </c>
      <c r="Q15" s="175">
        <f>VLOOKUP($B15,'Gtos Consultores'!$B$9:$AH$69,Q$3,0)</f>
        <v>72707464.400000006</v>
      </c>
      <c r="R15" s="175">
        <f>VLOOKUP($B15,'Gtos Consultores'!$B$9:$AH$69,R$3,0)</f>
        <v>7397308.6399500007</v>
      </c>
      <c r="S15" s="175">
        <f>IFERROR(VLOOKUP($B15,'Gtos Consultores'!$B$9:$AH$69,S$3,0),0)</f>
        <v>0</v>
      </c>
      <c r="T15" s="175">
        <f>IF($T$1=0,IFERROR(HLOOKUP(YEAR($B15),'Gastos Proyect'!$B$4:$F$17,14,0),0),IF($T$1=1,IFERROR(HLOOKUP(YEAR($B14),'Gastos Proyect'!$B$4:$F$17,14,0),0),IFERROR(HLOOKUP(YEAR($B13),'Gastos Proyect'!$B$4:$F$17,14,0),0)))</f>
        <v>11491000</v>
      </c>
      <c r="U15" s="359">
        <f>IFERROR(HLOOKUP(YEAR($B15),'Ing Proyect'!$B$6:$G$12,6,0),0)*$U$2</f>
        <v>5224150</v>
      </c>
      <c r="V15" s="175">
        <v>0</v>
      </c>
      <c r="W15" s="175">
        <f t="shared" si="0"/>
        <v>96819923.039950013</v>
      </c>
      <c r="X15" s="175">
        <f t="shared" si="10"/>
        <v>7718627.9600499868</v>
      </c>
      <c r="Y15" s="359">
        <f t="shared" si="1"/>
        <v>0</v>
      </c>
      <c r="Z15" s="175">
        <f t="shared" si="11"/>
        <v>5883884.9600499868</v>
      </c>
      <c r="AB15" s="175">
        <f t="shared" si="2"/>
        <v>97000000</v>
      </c>
      <c r="AC15" s="175">
        <f>AE14+(-G15+(VLOOKUP($A15,'Financ 1'!$A$15:$Q$75,17,0)+VLOOKUP($A15,'Financ 2'!$A$15:$Q$75,17,0))+I15+P15-W15+Y15)-AB15</f>
        <v>6393645.7203499079</v>
      </c>
      <c r="AD15" s="175">
        <f>VLOOKUP($B15,'Inv Temp'!$B$7:$I$67,AD$2,0)</f>
        <v>0</v>
      </c>
      <c r="AE15" s="175">
        <f>IF($A15=0,'Inv Inicial'!$D$15,AE14+Z15-AC15*0+AD15)</f>
        <v>103393645.72034991</v>
      </c>
      <c r="AF15" s="175">
        <f t="shared" si="3"/>
        <v>6393645.7203499079</v>
      </c>
      <c r="AG15" s="175">
        <f t="shared" si="4"/>
        <v>0</v>
      </c>
      <c r="AI15" s="175">
        <f>VLOOKUP($A15,'Amort Inv Inic'!$A$7:$U$67,21,0)</f>
        <v>2853471</v>
      </c>
      <c r="AJ15" s="175">
        <f>VLOOKUP($A15,'Amort Inv Adic'!$A$7:$BI$67,54,0)</f>
        <v>1000000</v>
      </c>
      <c r="AK15" s="175">
        <f t="shared" si="12"/>
        <v>3853471</v>
      </c>
      <c r="AM15" s="175">
        <f>IFERROR(HLOOKUP(YEAR($B15),'Ing Proyect'!$B$6:$G$12,6,0),0)</f>
        <v>104483000</v>
      </c>
      <c r="AN15" s="175">
        <f>VLOOKUP($B15,'Gtos Consultores'!$B$9:$AI$69,AN$3,0)</f>
        <v>998288</v>
      </c>
      <c r="AO15" s="175">
        <f>(P15-M15+AM15)-(W15-S15)-K15-AK15-AN15+T15-IFERROR(HLOOKUP(YEAR($B15),'Gastos Proyect'!$B$4:$F$17,14,0),0)</f>
        <v>1032125.9600499868</v>
      </c>
      <c r="AP15" s="175">
        <f>SUMIF($C$8:$C15,$C15,$AO$8:$AO15)</f>
        <v>13739676.720349908</v>
      </c>
      <c r="AR15" s="320">
        <f>IFERROR(VLOOKUP(ROUNDUP($A15/12,0),Variables!$B$32:$E$36,4,0),0)</f>
        <v>0</v>
      </c>
      <c r="AS15" s="175">
        <f t="shared" si="13"/>
        <v>0</v>
      </c>
      <c r="AT15" s="320">
        <f>IFERROR(VLOOKUP(ROUNDUP($A15/12,0),Variables!$B$41:$E$45,4,0),0)</f>
        <v>0.09</v>
      </c>
      <c r="AU15" s="175">
        <f t="shared" si="14"/>
        <v>1237000</v>
      </c>
      <c r="AV15" s="359">
        <f t="shared" si="16"/>
        <v>1237000</v>
      </c>
      <c r="AW15" s="175">
        <f t="shared" si="5"/>
        <v>12502676.720349908</v>
      </c>
      <c r="AX15" s="175">
        <f t="shared" si="6"/>
        <v>1237000</v>
      </c>
      <c r="BH15" s="15">
        <f>VLOOKUP($A15,'Financ 1'!$A$15:$Q$75,17,0)+VLOOKUP($A15,'Financ 2'!$A$15:$Q$75,17,0)</f>
        <v>-1834743</v>
      </c>
      <c r="BI15" s="15"/>
    </row>
    <row r="16" spans="1:61" x14ac:dyDescent="0.35">
      <c r="A16" s="18">
        <v>8</v>
      </c>
      <c r="B16" s="184">
        <v>42247</v>
      </c>
      <c r="C16" s="331">
        <f t="shared" si="7"/>
        <v>2015</v>
      </c>
      <c r="D16" s="175">
        <v>0</v>
      </c>
      <c r="E16" s="175">
        <f>IFERROR(HLOOKUP($B16,'Inv Adic'!$D$6:$M$29,13,0),0)</f>
        <v>0</v>
      </c>
      <c r="F16" s="175">
        <f>IFERROR(VLOOKUP($B16,'Inv Temp'!$B$7:$I$67,F$1,0),0)</f>
        <v>1000000</v>
      </c>
      <c r="G16" s="175">
        <f t="shared" si="8"/>
        <v>1000000</v>
      </c>
      <c r="H16" s="175">
        <f>VLOOKUP($B16,'Financ Total'!$B$10:$F$70,H$1,0)</f>
        <v>0</v>
      </c>
      <c r="I16" s="309">
        <v>0</v>
      </c>
      <c r="J16" s="175">
        <f>VLOOKUP($B16,'Financ Total'!$B$10:$F$70,J$1,0)</f>
        <v>0</v>
      </c>
      <c r="K16" s="175">
        <f>VLOOKUP($B16,'Financ Total'!$B$10:$F$70,K$1,0)</f>
        <v>1834743</v>
      </c>
      <c r="L16" s="175">
        <f t="shared" si="9"/>
        <v>-1834743</v>
      </c>
      <c r="M16" s="175">
        <f>IF($M$1=0,IFERROR(HLOOKUP(YEAR($B16),'Ing Proyect'!$B$6:$G$12,6,0),0),IF($M$1=1,IFERROR(HLOOKUP(YEAR($B15),'Ing Proyect'!$B$6:$G$12,6,0),0),IFERROR(HLOOKUP(YEAR($B14),'Ing Proyect'!$B$6:$G$12,6,0),0)))</f>
        <v>104483000</v>
      </c>
      <c r="N16" s="175">
        <f>VLOOKUP($B16,'Inv Temp'!$B$7:$I$67,N$2,0)</f>
        <v>59824</v>
      </c>
      <c r="O16" s="175">
        <v>0</v>
      </c>
      <c r="P16" s="175">
        <f t="shared" si="15"/>
        <v>104542824</v>
      </c>
      <c r="Q16" s="175">
        <f>VLOOKUP($B16,'Gtos Consultores'!$B$9:$AH$69,Q$3,0)</f>
        <v>72707464.400000006</v>
      </c>
      <c r="R16" s="175">
        <f>VLOOKUP($B16,'Gtos Consultores'!$B$9:$AH$69,R$3,0)</f>
        <v>7397308.6399500007</v>
      </c>
      <c r="S16" s="175">
        <f>IFERROR(VLOOKUP($B16,'Gtos Consultores'!$B$9:$AH$69,S$3,0),0)</f>
        <v>0</v>
      </c>
      <c r="T16" s="175">
        <f>IF($T$1=0,IFERROR(HLOOKUP(YEAR($B16),'Gastos Proyect'!$B$4:$F$17,14,0),0),IF($T$1=1,IFERROR(HLOOKUP(YEAR($B15),'Gastos Proyect'!$B$4:$F$17,14,0),0),IFERROR(HLOOKUP(YEAR($B14),'Gastos Proyect'!$B$4:$F$17,14,0),0)))</f>
        <v>11491000</v>
      </c>
      <c r="U16" s="359">
        <f>IFERROR(HLOOKUP(YEAR($B16),'Ing Proyect'!$B$6:$G$12,6,0),0)*$U$2</f>
        <v>5224150</v>
      </c>
      <c r="V16" s="175">
        <v>0</v>
      </c>
      <c r="W16" s="175">
        <f t="shared" si="0"/>
        <v>96819923.039950013</v>
      </c>
      <c r="X16" s="175">
        <f t="shared" si="10"/>
        <v>7722900.9600499868</v>
      </c>
      <c r="Y16" s="359">
        <f t="shared" si="1"/>
        <v>0</v>
      </c>
      <c r="Z16" s="175">
        <f t="shared" si="11"/>
        <v>4888157.9600499868</v>
      </c>
      <c r="AB16" s="175">
        <f t="shared" si="2"/>
        <v>97000000</v>
      </c>
      <c r="AC16" s="175">
        <f>AE15+(-G16+(VLOOKUP($A16,'Financ 1'!$A$15:$Q$75,17,0)+VLOOKUP($A16,'Financ 2'!$A$15:$Q$75,17,0))+I16+P16-W16+Y16)-AB16</f>
        <v>11281803.680399895</v>
      </c>
      <c r="AD16" s="175">
        <f>VLOOKUP($B16,'Inv Temp'!$B$7:$I$67,AD$2,0)</f>
        <v>0</v>
      </c>
      <c r="AE16" s="175">
        <f>IF($A16=0,'Inv Inicial'!$D$15,AE15+Z16-AC16*0+AD16)</f>
        <v>108281803.68039989</v>
      </c>
      <c r="AF16" s="175">
        <f t="shared" si="3"/>
        <v>11281803.680399895</v>
      </c>
      <c r="AG16" s="175">
        <f t="shared" si="4"/>
        <v>0</v>
      </c>
      <c r="AI16" s="175">
        <f>VLOOKUP($A16,'Amort Inv Inic'!$A$7:$U$67,21,0)</f>
        <v>2853471</v>
      </c>
      <c r="AJ16" s="175">
        <f>VLOOKUP($A16,'Amort Inv Adic'!$A$7:$BI$67,54,0)</f>
        <v>1000000</v>
      </c>
      <c r="AK16" s="175">
        <f t="shared" si="12"/>
        <v>3853471</v>
      </c>
      <c r="AM16" s="175">
        <f>IFERROR(HLOOKUP(YEAR($B16),'Ing Proyect'!$B$6:$G$12,6,0),0)</f>
        <v>104483000</v>
      </c>
      <c r="AN16" s="175">
        <f>VLOOKUP($B16,'Gtos Consultores'!$B$9:$AI$69,AN$3,0)</f>
        <v>998288</v>
      </c>
      <c r="AO16" s="175">
        <f>(P16-M16+AM16)-(W16-S16)-K16-AK16-AN16+T16-IFERROR(HLOOKUP(YEAR($B16),'Gastos Proyect'!$B$4:$F$17,14,0),0)</f>
        <v>1036398.9600499868</v>
      </c>
      <c r="AP16" s="175">
        <f>SUMIF($C$8:$C16,$C16,$AO$8:$AO16)</f>
        <v>14776075.680399895</v>
      </c>
      <c r="AR16" s="320">
        <f>IFERROR(VLOOKUP(ROUNDUP($A16/12,0),Variables!$B$32:$E$36,4,0),0)</f>
        <v>0</v>
      </c>
      <c r="AS16" s="175">
        <f t="shared" si="13"/>
        <v>0</v>
      </c>
      <c r="AT16" s="320">
        <f>IFERROR(VLOOKUP(ROUNDUP($A16/12,0),Variables!$B$41:$E$45,4,0),0)</f>
        <v>0.09</v>
      </c>
      <c r="AU16" s="175">
        <f t="shared" si="14"/>
        <v>1330000</v>
      </c>
      <c r="AV16" s="359">
        <f t="shared" si="16"/>
        <v>1330000</v>
      </c>
      <c r="AW16" s="175">
        <f t="shared" si="5"/>
        <v>13446075.680399895</v>
      </c>
      <c r="AX16" s="175">
        <f t="shared" si="6"/>
        <v>1330000</v>
      </c>
      <c r="BH16" s="15">
        <f>VLOOKUP($A16,'Financ 1'!$A$15:$Q$75,17,0)+VLOOKUP($A16,'Financ 2'!$A$15:$Q$75,17,0)</f>
        <v>-1834743</v>
      </c>
      <c r="BI16" s="15"/>
    </row>
    <row r="17" spans="1:61" x14ac:dyDescent="0.35">
      <c r="A17" s="18">
        <v>9</v>
      </c>
      <c r="B17" s="184">
        <v>42277</v>
      </c>
      <c r="C17" s="331">
        <f t="shared" si="7"/>
        <v>2015</v>
      </c>
      <c r="D17" s="175">
        <v>0</v>
      </c>
      <c r="E17" s="175">
        <f>IFERROR(HLOOKUP($B17,'Inv Adic'!$D$6:$M$29,13,0),0)</f>
        <v>0</v>
      </c>
      <c r="F17" s="175">
        <f>IFERROR(VLOOKUP($B17,'Inv Temp'!$B$7:$I$67,F$1,0),0)</f>
        <v>6000000</v>
      </c>
      <c r="G17" s="175">
        <f t="shared" si="8"/>
        <v>6000000</v>
      </c>
      <c r="H17" s="175">
        <f>VLOOKUP($B17,'Financ Total'!$B$10:$F$70,H$1,0)</f>
        <v>0</v>
      </c>
      <c r="I17" s="309">
        <v>0</v>
      </c>
      <c r="J17" s="175">
        <f>VLOOKUP($B17,'Financ Total'!$B$10:$F$70,J$1,0)</f>
        <v>0</v>
      </c>
      <c r="K17" s="175">
        <f>VLOOKUP($B17,'Financ Total'!$B$10:$F$70,K$1,0)</f>
        <v>1834743</v>
      </c>
      <c r="L17" s="175">
        <f t="shared" si="9"/>
        <v>-1834743</v>
      </c>
      <c r="M17" s="175">
        <f>IF($M$1=0,IFERROR(HLOOKUP(YEAR($B17),'Ing Proyect'!$B$6:$G$12,6,0),0),IF($M$1=1,IFERROR(HLOOKUP(YEAR($B16),'Ing Proyect'!$B$6:$G$12,6,0),0),IFERROR(HLOOKUP(YEAR($B15),'Ing Proyect'!$B$6:$G$12,6,0),0)))</f>
        <v>104483000</v>
      </c>
      <c r="N17" s="175">
        <f>VLOOKUP($B17,'Inv Temp'!$B$7:$I$67,N$2,0)</f>
        <v>85463</v>
      </c>
      <c r="O17" s="175">
        <v>0</v>
      </c>
      <c r="P17" s="175">
        <f t="shared" si="15"/>
        <v>104568463</v>
      </c>
      <c r="Q17" s="175">
        <f>VLOOKUP($B17,'Gtos Consultores'!$B$9:$AH$69,Q$3,0)</f>
        <v>72707464.400000006</v>
      </c>
      <c r="R17" s="175">
        <f>VLOOKUP($B17,'Gtos Consultores'!$B$9:$AH$69,R$3,0)</f>
        <v>7397308.6399500007</v>
      </c>
      <c r="S17" s="175">
        <f>IFERROR(VLOOKUP($B17,'Gtos Consultores'!$B$9:$AH$69,S$3,0),0)</f>
        <v>0</v>
      </c>
      <c r="T17" s="175">
        <f>IF($T$1=0,IFERROR(HLOOKUP(YEAR($B17),'Gastos Proyect'!$B$4:$F$17,14,0),0),IF($T$1=1,IFERROR(HLOOKUP(YEAR($B16),'Gastos Proyect'!$B$4:$F$17,14,0),0),IFERROR(HLOOKUP(YEAR($B15),'Gastos Proyect'!$B$4:$F$17,14,0),0)))</f>
        <v>11491000</v>
      </c>
      <c r="U17" s="359">
        <f>IFERROR(HLOOKUP(YEAR($B17),'Ing Proyect'!$B$6:$G$12,6,0),0)*$U$2</f>
        <v>5224150</v>
      </c>
      <c r="V17" s="175">
        <v>0</v>
      </c>
      <c r="W17" s="175">
        <f t="shared" si="0"/>
        <v>96819923.039950013</v>
      </c>
      <c r="X17" s="175">
        <f t="shared" si="10"/>
        <v>7748539.9600499868</v>
      </c>
      <c r="Y17" s="359">
        <f t="shared" si="1"/>
        <v>0</v>
      </c>
      <c r="Z17" s="175">
        <f t="shared" si="11"/>
        <v>-86203.039950013161</v>
      </c>
      <c r="AB17" s="175">
        <f t="shared" si="2"/>
        <v>97000000</v>
      </c>
      <c r="AC17" s="175">
        <f>AE16+(-G17+(VLOOKUP($A17,'Financ 1'!$A$15:$Q$75,17,0)+VLOOKUP($A17,'Financ 2'!$A$15:$Q$75,17,0))+I17+P17-W17+Y17)-AB17</f>
        <v>11195600.640449882</v>
      </c>
      <c r="AD17" s="175">
        <f>VLOOKUP($B17,'Inv Temp'!$B$7:$I$67,AD$2,0)</f>
        <v>0</v>
      </c>
      <c r="AE17" s="175">
        <f>IF($A17=0,'Inv Inicial'!$D$15,AE16+Z17-AC17*0+AD17)</f>
        <v>108195600.64044988</v>
      </c>
      <c r="AF17" s="175">
        <f t="shared" si="3"/>
        <v>11195600.640449882</v>
      </c>
      <c r="AG17" s="175">
        <f t="shared" si="4"/>
        <v>0</v>
      </c>
      <c r="AI17" s="175">
        <f>VLOOKUP($A17,'Amort Inv Inic'!$A$7:$U$67,21,0)</f>
        <v>2853471</v>
      </c>
      <c r="AJ17" s="175">
        <f>VLOOKUP($A17,'Amort Inv Adic'!$A$7:$BI$67,54,0)</f>
        <v>1000000</v>
      </c>
      <c r="AK17" s="175">
        <f t="shared" si="12"/>
        <v>3853471</v>
      </c>
      <c r="AM17" s="175">
        <f>IFERROR(HLOOKUP(YEAR($B17),'Ing Proyect'!$B$6:$G$12,6,0),0)</f>
        <v>104483000</v>
      </c>
      <c r="AN17" s="175">
        <f>VLOOKUP($B17,'Gtos Consultores'!$B$9:$AI$69,AN$3,0)</f>
        <v>998288</v>
      </c>
      <c r="AO17" s="175">
        <f>(P17-M17+AM17)-(W17-S17)-K17-AK17-AN17+T17-IFERROR(HLOOKUP(YEAR($B17),'Gastos Proyect'!$B$4:$F$17,14,0),0)</f>
        <v>1062037.9600499868</v>
      </c>
      <c r="AP17" s="175">
        <f>SUMIF($C$8:$C17,$C17,$AO$8:$AO17)</f>
        <v>15838113.640449882</v>
      </c>
      <c r="AR17" s="320">
        <f>IFERROR(VLOOKUP(ROUNDUP($A17/12,0),Variables!$B$32:$E$36,4,0),0)</f>
        <v>0</v>
      </c>
      <c r="AS17" s="175">
        <f t="shared" si="13"/>
        <v>0</v>
      </c>
      <c r="AT17" s="320">
        <f>IFERROR(VLOOKUP(ROUNDUP($A17/12,0),Variables!$B$41:$E$45,4,0),0)</f>
        <v>0.09</v>
      </c>
      <c r="AU17" s="175">
        <f t="shared" si="14"/>
        <v>1426000</v>
      </c>
      <c r="AV17" s="359">
        <f t="shared" si="16"/>
        <v>1426000</v>
      </c>
      <c r="AW17" s="175">
        <f t="shared" si="5"/>
        <v>14412113.640449882</v>
      </c>
      <c r="AX17" s="175">
        <f t="shared" si="6"/>
        <v>1426000</v>
      </c>
      <c r="BH17" s="15">
        <f>VLOOKUP($A17,'Financ 1'!$A$15:$Q$75,17,0)+VLOOKUP($A17,'Financ 2'!$A$15:$Q$75,17,0)</f>
        <v>-1834743</v>
      </c>
      <c r="BI17" s="15"/>
    </row>
    <row r="18" spans="1:61" x14ac:dyDescent="0.35">
      <c r="A18" s="18">
        <v>10</v>
      </c>
      <c r="B18" s="184">
        <v>42308</v>
      </c>
      <c r="C18" s="331">
        <f t="shared" si="7"/>
        <v>2015</v>
      </c>
      <c r="D18" s="175">
        <v>0</v>
      </c>
      <c r="E18" s="175">
        <f>IFERROR(HLOOKUP($B18,'Inv Adic'!$D$6:$M$29,13,0),0)</f>
        <v>0</v>
      </c>
      <c r="F18" s="175">
        <f>IFERROR(VLOOKUP($B18,'Inv Temp'!$B$7:$I$67,F$1,0),0)</f>
        <v>6000000</v>
      </c>
      <c r="G18" s="175">
        <f t="shared" si="8"/>
        <v>6000000</v>
      </c>
      <c r="H18" s="175">
        <f>VLOOKUP($B18,'Financ Total'!$B$10:$F$70,H$1,0)</f>
        <v>0</v>
      </c>
      <c r="I18" s="309">
        <v>0</v>
      </c>
      <c r="J18" s="175">
        <f>VLOOKUP($B18,'Financ Total'!$B$10:$F$70,J$1,0)</f>
        <v>0</v>
      </c>
      <c r="K18" s="175">
        <f>VLOOKUP($B18,'Financ Total'!$B$10:$F$70,K$1,0)</f>
        <v>1878096</v>
      </c>
      <c r="L18" s="175">
        <f t="shared" si="9"/>
        <v>-1878096</v>
      </c>
      <c r="M18" s="175">
        <f>IF($M$1=0,IFERROR(HLOOKUP(YEAR($B18),'Ing Proyect'!$B$6:$G$12,6,0),0),IF($M$1=1,IFERROR(HLOOKUP(YEAR($B17),'Ing Proyect'!$B$6:$G$12,6,0),0),IFERROR(HLOOKUP(YEAR($B16),'Ing Proyect'!$B$6:$G$12,6,0),0)))</f>
        <v>104483000</v>
      </c>
      <c r="N18" s="175">
        <f>VLOOKUP($B18,'Inv Temp'!$B$7:$I$67,N$2,0)</f>
        <v>116264</v>
      </c>
      <c r="O18" s="175">
        <v>0</v>
      </c>
      <c r="P18" s="175">
        <f t="shared" si="15"/>
        <v>104599264</v>
      </c>
      <c r="Q18" s="175">
        <f>VLOOKUP($B18,'Gtos Consultores'!$B$9:$AH$69,Q$3,0)</f>
        <v>72707464.400000006</v>
      </c>
      <c r="R18" s="175">
        <f>VLOOKUP($B18,'Gtos Consultores'!$B$9:$AH$69,R$3,0)</f>
        <v>7397308.6399500007</v>
      </c>
      <c r="S18" s="175">
        <f>IFERROR(VLOOKUP($B18,'Gtos Consultores'!$B$9:$AH$69,S$3,0),0)</f>
        <v>0</v>
      </c>
      <c r="T18" s="175">
        <f>IF($T$1=0,IFERROR(HLOOKUP(YEAR($B18),'Gastos Proyect'!$B$4:$F$17,14,0),0),IF($T$1=1,IFERROR(HLOOKUP(YEAR($B17),'Gastos Proyect'!$B$4:$F$17,14,0),0),IFERROR(HLOOKUP(YEAR($B16),'Gastos Proyect'!$B$4:$F$17,14,0),0)))</f>
        <v>11491000</v>
      </c>
      <c r="U18" s="359">
        <f>IFERROR(HLOOKUP(YEAR($B18),'Ing Proyect'!$B$6:$G$12,6,0),0)*$U$2</f>
        <v>5224150</v>
      </c>
      <c r="V18" s="175">
        <v>0</v>
      </c>
      <c r="W18" s="175">
        <f t="shared" si="0"/>
        <v>96819923.039950013</v>
      </c>
      <c r="X18" s="175">
        <f t="shared" si="10"/>
        <v>7779340.9600499868</v>
      </c>
      <c r="Y18" s="359">
        <f t="shared" si="1"/>
        <v>0</v>
      </c>
      <c r="Z18" s="175">
        <f t="shared" si="11"/>
        <v>-98755.039950013161</v>
      </c>
      <c r="AB18" s="175">
        <f t="shared" si="2"/>
        <v>97000000</v>
      </c>
      <c r="AC18" s="175">
        <f>AE17+(-G18+(VLOOKUP($A18,'Financ 1'!$A$15:$Q$75,17,0)+VLOOKUP($A18,'Financ 2'!$A$15:$Q$75,17,0))+I18+P18-W18+Y18)-AB18</f>
        <v>11096845.600499868</v>
      </c>
      <c r="AD18" s="175">
        <f>VLOOKUP($B18,'Inv Temp'!$B$7:$I$67,AD$2,0)</f>
        <v>0</v>
      </c>
      <c r="AE18" s="175">
        <f>IF($A18=0,'Inv Inicial'!$D$15,AE17+Z18-AC18*0+AD18)</f>
        <v>108096845.60049987</v>
      </c>
      <c r="AF18" s="175">
        <f t="shared" si="3"/>
        <v>11096845.600499868</v>
      </c>
      <c r="AG18" s="175">
        <f t="shared" si="4"/>
        <v>0</v>
      </c>
      <c r="AI18" s="175">
        <f>VLOOKUP($A18,'Amort Inv Inic'!$A$7:$U$67,21,0)</f>
        <v>2853471</v>
      </c>
      <c r="AJ18" s="175">
        <f>VLOOKUP($A18,'Amort Inv Adic'!$A$7:$BI$67,54,0)</f>
        <v>1000000</v>
      </c>
      <c r="AK18" s="175">
        <f t="shared" si="12"/>
        <v>3853471</v>
      </c>
      <c r="AM18" s="175">
        <f>IFERROR(HLOOKUP(YEAR($B18),'Ing Proyect'!$B$6:$G$12,6,0),0)</f>
        <v>104483000</v>
      </c>
      <c r="AN18" s="175">
        <f>VLOOKUP($B18,'Gtos Consultores'!$B$9:$AI$69,AN$3,0)</f>
        <v>998288</v>
      </c>
      <c r="AO18" s="175">
        <f>(P18-M18+AM18)-(W18-S18)-K18-AK18-AN18+T18-IFERROR(HLOOKUP(YEAR($B18),'Gastos Proyect'!$B$4:$F$17,14,0),0)</f>
        <v>1049485.9600499868</v>
      </c>
      <c r="AP18" s="175">
        <f>SUMIF($C$8:$C18,$C18,$AO$8:$AO18)</f>
        <v>16887599.600499868</v>
      </c>
      <c r="AR18" s="320">
        <f>IFERROR(VLOOKUP(ROUNDUP($A18/12,0),Variables!$B$32:$E$36,4,0),0)</f>
        <v>0</v>
      </c>
      <c r="AS18" s="175">
        <f t="shared" si="13"/>
        <v>0</v>
      </c>
      <c r="AT18" s="320">
        <f>IFERROR(VLOOKUP(ROUNDUP($A18/12,0),Variables!$B$41:$E$45,4,0),0)</f>
        <v>0.09</v>
      </c>
      <c r="AU18" s="175">
        <f t="shared" si="14"/>
        <v>1520000</v>
      </c>
      <c r="AV18" s="359">
        <f t="shared" si="16"/>
        <v>1520000</v>
      </c>
      <c r="AW18" s="175">
        <f t="shared" si="5"/>
        <v>15367599.600499868</v>
      </c>
      <c r="AX18" s="175">
        <f t="shared" si="6"/>
        <v>1520000</v>
      </c>
      <c r="BH18" s="15">
        <f>VLOOKUP($A18,'Financ 1'!$A$15:$Q$75,17,0)+VLOOKUP($A18,'Financ 2'!$A$15:$Q$75,17,0)</f>
        <v>-1878096</v>
      </c>
      <c r="BI18" s="15"/>
    </row>
    <row r="19" spans="1:61" x14ac:dyDescent="0.35">
      <c r="A19" s="18">
        <v>11</v>
      </c>
      <c r="B19" s="184">
        <v>42338</v>
      </c>
      <c r="C19" s="331">
        <f t="shared" si="7"/>
        <v>2015</v>
      </c>
      <c r="D19" s="175">
        <v>0</v>
      </c>
      <c r="E19" s="175">
        <f>IFERROR(HLOOKUP($B19,'Inv Adic'!$D$6:$M$29,13,0),0)</f>
        <v>0</v>
      </c>
      <c r="F19" s="175">
        <f>IFERROR(VLOOKUP($B19,'Inv Temp'!$B$7:$I$67,F$1,0),0)</f>
        <v>6000000</v>
      </c>
      <c r="G19" s="175">
        <f t="shared" si="8"/>
        <v>6000000</v>
      </c>
      <c r="H19" s="175">
        <f>VLOOKUP($B19,'Financ Total'!$B$10:$F$70,H$1,0)</f>
        <v>0</v>
      </c>
      <c r="I19" s="309">
        <v>0</v>
      </c>
      <c r="J19" s="175">
        <f>VLOOKUP($B19,'Financ Total'!$B$10:$F$70,J$1,0)</f>
        <v>0</v>
      </c>
      <c r="K19" s="175">
        <f>VLOOKUP($B19,'Financ Total'!$B$10:$F$70,K$1,0)</f>
        <v>1878096</v>
      </c>
      <c r="L19" s="175">
        <f t="shared" si="9"/>
        <v>-1878096</v>
      </c>
      <c r="M19" s="175">
        <f>IF($M$1=0,IFERROR(HLOOKUP(YEAR($B19),'Ing Proyect'!$B$6:$G$12,6,0),0),IF($M$1=1,IFERROR(HLOOKUP(YEAR($B18),'Ing Proyect'!$B$6:$G$12,6,0),0),IFERROR(HLOOKUP(YEAR($B17),'Ing Proyect'!$B$6:$G$12,6,0),0)))</f>
        <v>104483000</v>
      </c>
      <c r="N19" s="175">
        <f>VLOOKUP($B19,'Inv Temp'!$B$7:$I$67,N$2,0)</f>
        <v>143094</v>
      </c>
      <c r="O19" s="175">
        <v>0</v>
      </c>
      <c r="P19" s="175">
        <f t="shared" si="15"/>
        <v>104626094</v>
      </c>
      <c r="Q19" s="175">
        <f>VLOOKUP($B19,'Gtos Consultores'!$B$9:$AH$69,Q$3,0)</f>
        <v>72707464.400000006</v>
      </c>
      <c r="R19" s="175">
        <f>VLOOKUP($B19,'Gtos Consultores'!$B$9:$AH$69,R$3,0)</f>
        <v>7397308.6399500007</v>
      </c>
      <c r="S19" s="175">
        <f>IFERROR(VLOOKUP($B19,'Gtos Consultores'!$B$9:$AH$69,S$3,0),0)</f>
        <v>0</v>
      </c>
      <c r="T19" s="175">
        <f>IF($T$1=0,IFERROR(HLOOKUP(YEAR($B19),'Gastos Proyect'!$B$4:$F$17,14,0),0),IF($T$1=1,IFERROR(HLOOKUP(YEAR($B18),'Gastos Proyect'!$B$4:$F$17,14,0),0),IFERROR(HLOOKUP(YEAR($B17),'Gastos Proyect'!$B$4:$F$17,14,0),0)))</f>
        <v>11491000</v>
      </c>
      <c r="U19" s="359">
        <f>IFERROR(HLOOKUP(YEAR($B19),'Ing Proyect'!$B$6:$G$12,6,0),0)*$U$2</f>
        <v>5224150</v>
      </c>
      <c r="V19" s="175">
        <v>0</v>
      </c>
      <c r="W19" s="175">
        <f t="shared" si="0"/>
        <v>96819923.039950013</v>
      </c>
      <c r="X19" s="175">
        <f t="shared" si="10"/>
        <v>7806170.9600499868</v>
      </c>
      <c r="Y19" s="359">
        <f t="shared" si="1"/>
        <v>0</v>
      </c>
      <c r="Z19" s="175">
        <f t="shared" si="11"/>
        <v>-71925.039950013161</v>
      </c>
      <c r="AB19" s="175">
        <f t="shared" si="2"/>
        <v>100000000</v>
      </c>
      <c r="AC19" s="175">
        <f>AE18+(-G19+(VLOOKUP($A19,'Financ 1'!$A$15:$Q$75,17,0)+VLOOKUP($A19,'Financ 2'!$A$15:$Q$75,17,0))+I19+P19-W19+Y19)-AB19</f>
        <v>8024920.5605498552</v>
      </c>
      <c r="AD19" s="175">
        <f>VLOOKUP($B19,'Inv Temp'!$B$7:$I$67,AD$2,0)</f>
        <v>0</v>
      </c>
      <c r="AE19" s="175">
        <f>IF($A19=0,'Inv Inicial'!$D$15,AE18+Z19-AC19*0+AD19)</f>
        <v>108024920.56054986</v>
      </c>
      <c r="AF19" s="175">
        <f t="shared" si="3"/>
        <v>8024920.5605498552</v>
      </c>
      <c r="AG19" s="175">
        <f t="shared" si="4"/>
        <v>0</v>
      </c>
      <c r="AI19" s="175">
        <f>VLOOKUP($A19,'Amort Inv Inic'!$A$7:$U$67,21,0)</f>
        <v>2853471</v>
      </c>
      <c r="AJ19" s="175">
        <f>VLOOKUP($A19,'Amort Inv Adic'!$A$7:$BI$67,54,0)</f>
        <v>1000000</v>
      </c>
      <c r="AK19" s="175">
        <f t="shared" si="12"/>
        <v>3853471</v>
      </c>
      <c r="AM19" s="175">
        <f>IFERROR(HLOOKUP(YEAR($B19),'Ing Proyect'!$B$6:$G$12,6,0),0)</f>
        <v>104483000</v>
      </c>
      <c r="AN19" s="175">
        <f>VLOOKUP($B19,'Gtos Consultores'!$B$9:$AI$69,AN$3,0)</f>
        <v>998288</v>
      </c>
      <c r="AO19" s="175">
        <f>(P19-M19+AM19)-(W19-S19)-K19-AK19-AN19+T19-IFERROR(HLOOKUP(YEAR($B19),'Gastos Proyect'!$B$4:$F$17,14,0),0)</f>
        <v>1076315.9600499868</v>
      </c>
      <c r="AP19" s="175">
        <f>SUMIF($C$8:$C19,$C19,$AO$8:$AO19)</f>
        <v>17963915.560549855</v>
      </c>
      <c r="AR19" s="320">
        <f>IFERROR(VLOOKUP(ROUNDUP($A19/12,0),Variables!$B$32:$E$36,4,0),0)</f>
        <v>0</v>
      </c>
      <c r="AS19" s="175">
        <f t="shared" si="13"/>
        <v>0</v>
      </c>
      <c r="AT19" s="320">
        <f>IFERROR(VLOOKUP(ROUNDUP($A19/12,0),Variables!$B$41:$E$45,4,0),0)</f>
        <v>0.09</v>
      </c>
      <c r="AU19" s="175">
        <f t="shared" si="14"/>
        <v>1617000</v>
      </c>
      <c r="AV19" s="359">
        <f t="shared" si="16"/>
        <v>1617000</v>
      </c>
      <c r="AW19" s="175">
        <f t="shared" si="5"/>
        <v>16346915.560549855</v>
      </c>
      <c r="AX19" s="175">
        <f t="shared" si="6"/>
        <v>1617000</v>
      </c>
      <c r="BH19" s="15">
        <f>VLOOKUP($A19,'Financ 1'!$A$15:$Q$75,17,0)+VLOOKUP($A19,'Financ 2'!$A$15:$Q$75,17,0)</f>
        <v>-1878096</v>
      </c>
      <c r="BI19" s="15"/>
    </row>
    <row r="20" spans="1:61" x14ac:dyDescent="0.35">
      <c r="A20" s="18">
        <v>12</v>
      </c>
      <c r="B20" s="184">
        <v>42369</v>
      </c>
      <c r="C20" s="331">
        <f t="shared" si="7"/>
        <v>2015</v>
      </c>
      <c r="D20" s="175">
        <v>0</v>
      </c>
      <c r="E20" s="175">
        <f>IFERROR(HLOOKUP($B20,'Inv Adic'!$D$6:$M$29,13,0),0)</f>
        <v>3300000</v>
      </c>
      <c r="F20" s="175">
        <f>IFERROR(VLOOKUP($B20,'Inv Temp'!$B$7:$I$67,F$1,0),0)</f>
        <v>3000000</v>
      </c>
      <c r="G20" s="175">
        <f t="shared" si="8"/>
        <v>6300000</v>
      </c>
      <c r="H20" s="175">
        <f>VLOOKUP($B20,'Financ Total'!$B$10:$F$70,H$1,0)</f>
        <v>0</v>
      </c>
      <c r="I20" s="309">
        <v>0</v>
      </c>
      <c r="J20" s="175">
        <f>VLOOKUP($B20,'Financ Total'!$B$10:$F$70,J$1,0)</f>
        <v>0</v>
      </c>
      <c r="K20" s="175">
        <f>VLOOKUP($B20,'Financ Total'!$B$10:$F$70,K$1,0)</f>
        <v>1878096</v>
      </c>
      <c r="L20" s="175">
        <f t="shared" si="9"/>
        <v>-1878096</v>
      </c>
      <c r="M20" s="175">
        <f>IF($M$1=0,IFERROR(HLOOKUP(YEAR($B20),'Ing Proyect'!$B$6:$G$12,6,0),0),IF($M$1=1,IFERROR(HLOOKUP(YEAR($B19),'Ing Proyect'!$B$6:$G$12,6,0),0),IFERROR(HLOOKUP(YEAR($B18),'Ing Proyect'!$B$6:$G$12,6,0),0)))</f>
        <v>104483000</v>
      </c>
      <c r="N20" s="175">
        <f>VLOOKUP($B20,'Inv Temp'!$B$7:$I$67,N$2,0)</f>
        <v>156509</v>
      </c>
      <c r="O20" s="175">
        <v>0</v>
      </c>
      <c r="P20" s="175">
        <f t="shared" si="15"/>
        <v>104639509</v>
      </c>
      <c r="Q20" s="175">
        <f>VLOOKUP($B20,'Gtos Consultores'!$B$9:$AH$69,Q$3,0)</f>
        <v>72707464.400000006</v>
      </c>
      <c r="R20" s="175">
        <f>VLOOKUP($B20,'Gtos Consultores'!$B$9:$AH$69,R$3,0)</f>
        <v>7397308.6399500007</v>
      </c>
      <c r="S20" s="175">
        <f>IFERROR(VLOOKUP($B20,'Gtos Consultores'!$B$9:$AH$69,S$3,0),0)</f>
        <v>2825344</v>
      </c>
      <c r="T20" s="175">
        <f>IF($T$1=0,IFERROR(HLOOKUP(YEAR($B20),'Gastos Proyect'!$B$4:$F$17,14,0),0),IF($T$1=1,IFERROR(HLOOKUP(YEAR($B19),'Gastos Proyect'!$B$4:$F$17,14,0),0),IFERROR(HLOOKUP(YEAR($B18),'Gastos Proyect'!$B$4:$F$17,14,0),0)))</f>
        <v>11491000</v>
      </c>
      <c r="U20" s="359">
        <f>IFERROR(HLOOKUP(YEAR($B20),'Ing Proyect'!$B$6:$G$12,6,0),0)*$U$2</f>
        <v>5224150</v>
      </c>
      <c r="V20" s="175">
        <v>0</v>
      </c>
      <c r="W20" s="175">
        <f t="shared" si="0"/>
        <v>99645267.039950013</v>
      </c>
      <c r="X20" s="175">
        <f t="shared" si="10"/>
        <v>4994241.9600499868</v>
      </c>
      <c r="Y20" s="359">
        <f t="shared" si="1"/>
        <v>0</v>
      </c>
      <c r="Z20" s="175">
        <f t="shared" si="11"/>
        <v>-3183854.0399500132</v>
      </c>
      <c r="AB20" s="175">
        <f t="shared" si="2"/>
        <v>117000000</v>
      </c>
      <c r="AC20" s="175">
        <f>AE19+(-G20+(VLOOKUP($A20,'Financ 1'!$A$15:$Q$75,17,0)+VLOOKUP($A20,'Financ 2'!$A$15:$Q$75,17,0))+I20+P20-W20+Y20)-AB20</f>
        <v>-12158933.479400158</v>
      </c>
      <c r="AD20" s="175">
        <f>VLOOKUP($B20,'Inv Temp'!$B$7:$I$67,AD$2,0)</f>
        <v>13000000</v>
      </c>
      <c r="AE20" s="175">
        <f>IF($A20=0,'Inv Inicial'!$D$15,AE19+Z20-AC20*0+AD20)</f>
        <v>117841066.52059984</v>
      </c>
      <c r="AF20" s="175">
        <f t="shared" si="3"/>
        <v>841066.52059984207</v>
      </c>
      <c r="AG20" s="175">
        <f t="shared" si="4"/>
        <v>0</v>
      </c>
      <c r="AI20" s="175">
        <f>VLOOKUP($A20,'Amort Inv Inic'!$A$7:$U$67,21,0)</f>
        <v>2853471</v>
      </c>
      <c r="AJ20" s="175">
        <f>VLOOKUP($A20,'Amort Inv Adic'!$A$7:$BI$67,54,0)</f>
        <v>1000000</v>
      </c>
      <c r="AK20" s="175">
        <f t="shared" si="12"/>
        <v>3853471</v>
      </c>
      <c r="AM20" s="175">
        <f>IFERROR(HLOOKUP(YEAR($B20),'Ing Proyect'!$B$6:$G$12,6,0),0)</f>
        <v>104483000</v>
      </c>
      <c r="AN20" s="175">
        <f>VLOOKUP($B20,'Gtos Consultores'!$B$9:$AI$69,AN$3,0)</f>
        <v>998288</v>
      </c>
      <c r="AO20" s="175">
        <f>(P20-M20+AM20)-(W20-S20)-K20-AK20-AN20+T20-IFERROR(HLOOKUP(YEAR($B20),'Gastos Proyect'!$B$4:$F$17,14,0),0)</f>
        <v>1089730.9600499868</v>
      </c>
      <c r="AP20" s="175">
        <f>SUMIF($C$8:$C20,$C20,$AO$8:$AO20)</f>
        <v>19053646.520599842</v>
      </c>
      <c r="AR20" s="320">
        <f>IFERROR(VLOOKUP(ROUNDUP($A20/12,0),Variables!$B$32:$E$36,4,0),0)</f>
        <v>0</v>
      </c>
      <c r="AS20" s="175">
        <f t="shared" si="13"/>
        <v>0</v>
      </c>
      <c r="AT20" s="320">
        <f>IFERROR(VLOOKUP(ROUNDUP($A20/12,0),Variables!$B$41:$E$45,4,0),0)</f>
        <v>0.09</v>
      </c>
      <c r="AU20" s="175">
        <f t="shared" si="14"/>
        <v>1715000</v>
      </c>
      <c r="AV20" s="359">
        <f t="shared" si="16"/>
        <v>1715000</v>
      </c>
      <c r="AW20" s="175">
        <f t="shared" si="5"/>
        <v>17338646.520599842</v>
      </c>
      <c r="AX20" s="175">
        <f t="shared" si="6"/>
        <v>1715000</v>
      </c>
      <c r="BH20" s="15">
        <f>VLOOKUP($A20,'Financ 1'!$A$15:$Q$75,17,0)+VLOOKUP($A20,'Financ 2'!$A$15:$Q$75,17,0)</f>
        <v>-1878096</v>
      </c>
      <c r="BI20" s="15"/>
    </row>
    <row r="21" spans="1:61" x14ac:dyDescent="0.35">
      <c r="A21" s="18">
        <v>13</v>
      </c>
      <c r="B21" s="184">
        <v>42400</v>
      </c>
      <c r="C21" s="331">
        <f t="shared" si="7"/>
        <v>2016</v>
      </c>
      <c r="D21" s="175">
        <v>0</v>
      </c>
      <c r="E21" s="175">
        <f>IFERROR(HLOOKUP($B21,'Inv Adic'!$D$6:$M$29,13,0),0)</f>
        <v>0</v>
      </c>
      <c r="F21" s="175">
        <f>IFERROR(VLOOKUP($B21,'Inv Temp'!$B$7:$I$67,F$1,0),0)</f>
        <v>0</v>
      </c>
      <c r="G21" s="175">
        <f t="shared" si="8"/>
        <v>0</v>
      </c>
      <c r="H21" s="175">
        <f>VLOOKUP($B21,'Financ Total'!$B$10:$F$70,H$1,0)</f>
        <v>0</v>
      </c>
      <c r="I21" s="309">
        <v>0</v>
      </c>
      <c r="J21" s="175">
        <f>VLOOKUP($B21,'Financ Total'!$B$10:$F$70,J$1,0)</f>
        <v>8943750</v>
      </c>
      <c r="K21" s="175">
        <f>VLOOKUP($B21,'Financ Total'!$B$10:$F$70,K$1,0)</f>
        <v>1921357</v>
      </c>
      <c r="L21" s="175">
        <f t="shared" si="9"/>
        <v>-10865107</v>
      </c>
      <c r="M21" s="175">
        <f>IF($M$1=0,IFERROR(HLOOKUP(YEAR($B21),'Ing Proyect'!$B$6:$G$12,6,0),0),IF($M$1=1,IFERROR(HLOOKUP(YEAR($B20),'Ing Proyect'!$B$6:$G$12,6,0),0),IFERROR(HLOOKUP(YEAR($B19),'Ing Proyect'!$B$6:$G$12,6,0),0)))</f>
        <v>104483000</v>
      </c>
      <c r="N21" s="175">
        <f>VLOOKUP($B21,'Inv Temp'!$B$7:$I$67,N$2,0)</f>
        <v>102736</v>
      </c>
      <c r="O21" s="175">
        <v>0</v>
      </c>
      <c r="P21" s="175">
        <f t="shared" si="15"/>
        <v>104585736</v>
      </c>
      <c r="Q21" s="175">
        <f>VLOOKUP($B21,'Gtos Consultores'!$B$9:$AH$69,Q$3,0)</f>
        <v>84494659.800000012</v>
      </c>
      <c r="R21" s="175">
        <f>VLOOKUP($B21,'Gtos Consultores'!$B$9:$AH$69,R$3,0)</f>
        <v>7952383.0637999997</v>
      </c>
      <c r="S21" s="175">
        <f>IFERROR(VLOOKUP($B21,'Gtos Consultores'!$B$9:$AH$69,S$3,0),0)</f>
        <v>6328770</v>
      </c>
      <c r="T21" s="175">
        <f>IF($T$1=0,IFERROR(HLOOKUP(YEAR($B21),'Gastos Proyect'!$B$4:$F$17,14,0),0),IF($T$1=1,IFERROR(HLOOKUP(YEAR($B20),'Gastos Proyect'!$B$4:$F$17,14,0),0),IFERROR(HLOOKUP(YEAR($B19),'Gastos Proyect'!$B$4:$F$17,14,0),0)))</f>
        <v>11837000</v>
      </c>
      <c r="U21" s="359">
        <f>IFERROR(HLOOKUP(YEAR($B21),'Ing Proyect'!$B$6:$G$12,6,0),0)*$U$2</f>
        <v>5969650</v>
      </c>
      <c r="V21" s="175">
        <v>0</v>
      </c>
      <c r="W21" s="175">
        <f t="shared" si="0"/>
        <v>116582462.86380002</v>
      </c>
      <c r="X21" s="175">
        <f t="shared" si="10"/>
        <v>-11996726.863800019</v>
      </c>
      <c r="Y21" s="359">
        <f t="shared" si="1"/>
        <v>0</v>
      </c>
      <c r="Z21" s="175">
        <f t="shared" si="11"/>
        <v>-22861833.863800019</v>
      </c>
      <c r="AB21" s="175">
        <f t="shared" si="2"/>
        <v>111000000</v>
      </c>
      <c r="AC21" s="175">
        <f>AE20+(-G21+(VLOOKUP($A21,'Financ 1'!$A$15:$Q$75,17,0)+VLOOKUP($A21,'Financ 2'!$A$15:$Q$75,17,0))+I21+P21-W21+Y21)-AB21</f>
        <v>-16020767.343200177</v>
      </c>
      <c r="AD21" s="175">
        <f>VLOOKUP($B21,'Inv Temp'!$B$7:$I$67,AD$2,0)</f>
        <v>17000000</v>
      </c>
      <c r="AE21" s="175">
        <f>IF($A21=0,'Inv Inicial'!$D$15,AE20+Z21-AC21*0+AD21)</f>
        <v>111979232.65679982</v>
      </c>
      <c r="AF21" s="175">
        <f t="shared" si="3"/>
        <v>979232.65679982305</v>
      </c>
      <c r="AG21" s="175">
        <f t="shared" si="4"/>
        <v>0</v>
      </c>
      <c r="AI21" s="175">
        <f>VLOOKUP($A21,'Amort Inv Inic'!$A$7:$U$67,21,0)</f>
        <v>1603472</v>
      </c>
      <c r="AJ21" s="175">
        <f>VLOOKUP($A21,'Amort Inv Adic'!$A$7:$BI$67,54,0)</f>
        <v>1275000</v>
      </c>
      <c r="AK21" s="175">
        <f t="shared" si="12"/>
        <v>2878472</v>
      </c>
      <c r="AM21" s="175">
        <f>IFERROR(HLOOKUP(YEAR($B21),'Ing Proyect'!$B$6:$G$12,6,0),0)</f>
        <v>119393000</v>
      </c>
      <c r="AN21" s="175">
        <f>VLOOKUP($B21,'Gtos Consultores'!$B$9:$AI$69,AN$3,0)</f>
        <v>1088696</v>
      </c>
      <c r="AO21" s="175">
        <f>(P21-M21+AM21)-(W21-S21)-K21-AK21-AN21+T21-IFERROR(HLOOKUP(YEAR($B21),'Gastos Proyect'!$B$4:$F$17,14,0),0)</f>
        <v>3353518.136199981</v>
      </c>
      <c r="AP21" s="175">
        <f>SUMIF($C$8:$C21,$C21,$AO$8:$AO21)</f>
        <v>3353518.136199981</v>
      </c>
      <c r="AR21" s="320">
        <f>IFERROR(VLOOKUP(ROUNDUP($A21/12,0),Variables!$B$32:$E$36,4,0),0)</f>
        <v>0</v>
      </c>
      <c r="AS21" s="175">
        <f t="shared" si="13"/>
        <v>0</v>
      </c>
      <c r="AT21" s="320">
        <f>IFERROR(VLOOKUP(ROUNDUP($A21/12,0),Variables!$B$41:$E$45,4,0),0)</f>
        <v>0.09</v>
      </c>
      <c r="AU21" s="175">
        <f t="shared" si="14"/>
        <v>302000</v>
      </c>
      <c r="AV21" s="359">
        <f t="shared" si="16"/>
        <v>302000</v>
      </c>
      <c r="AW21" s="175">
        <f t="shared" si="5"/>
        <v>3051518.136199981</v>
      </c>
      <c r="AX21" s="175">
        <f t="shared" si="6"/>
        <v>2017000</v>
      </c>
      <c r="BH21" s="15">
        <f>VLOOKUP($A21,'Financ 1'!$A$15:$Q$75,17,0)+VLOOKUP($A21,'Financ 2'!$A$15:$Q$75,17,0)</f>
        <v>-10865107</v>
      </c>
      <c r="BI21" s="15"/>
    </row>
    <row r="22" spans="1:61" x14ac:dyDescent="0.35">
      <c r="A22" s="18">
        <v>14</v>
      </c>
      <c r="B22" s="184">
        <v>42429</v>
      </c>
      <c r="C22" s="331">
        <f t="shared" si="7"/>
        <v>2016</v>
      </c>
      <c r="D22" s="175">
        <v>0</v>
      </c>
      <c r="E22" s="175">
        <f>IFERROR(HLOOKUP($B22,'Inv Adic'!$D$6:$M$29,13,0),0)</f>
        <v>0</v>
      </c>
      <c r="F22" s="175">
        <f>IFERROR(VLOOKUP($B22,'Inv Temp'!$B$7:$I$67,F$1,0),0)</f>
        <v>0</v>
      </c>
      <c r="G22" s="175">
        <f t="shared" si="8"/>
        <v>0</v>
      </c>
      <c r="H22" s="175">
        <f>VLOOKUP($B22,'Financ Total'!$B$10:$F$70,H$1,0)</f>
        <v>0</v>
      </c>
      <c r="I22" s="309">
        <v>0</v>
      </c>
      <c r="J22" s="175">
        <f>VLOOKUP($B22,'Financ Total'!$B$10:$F$70,J$1,0)</f>
        <v>8943750</v>
      </c>
      <c r="K22" s="175">
        <f>VLOOKUP($B22,'Financ Total'!$B$10:$F$70,K$1,0)</f>
        <v>1841300</v>
      </c>
      <c r="L22" s="175">
        <f t="shared" si="9"/>
        <v>-10785050</v>
      </c>
      <c r="M22" s="175">
        <f>IF($M$1=0,IFERROR(HLOOKUP(YEAR($B22),'Ing Proyect'!$B$6:$G$12,6,0),0),IF($M$1=1,IFERROR(HLOOKUP(YEAR($B21),'Ing Proyect'!$B$6:$G$12,6,0),0),IFERROR(HLOOKUP(YEAR($B20),'Ing Proyect'!$B$6:$G$12,6,0),0)))</f>
        <v>119393000</v>
      </c>
      <c r="N22" s="175">
        <f>VLOOKUP($B22,'Inv Temp'!$B$7:$I$67,N$2,0)</f>
        <v>23349</v>
      </c>
      <c r="O22" s="175">
        <v>0</v>
      </c>
      <c r="P22" s="175">
        <f t="shared" si="15"/>
        <v>119416349</v>
      </c>
      <c r="Q22" s="175">
        <f>VLOOKUP($B22,'Gtos Consultores'!$B$9:$AH$69,Q$3,0)</f>
        <v>84494659.800000012</v>
      </c>
      <c r="R22" s="175">
        <f>VLOOKUP($B22,'Gtos Consultores'!$B$9:$AH$69,R$3,0)</f>
        <v>7952383.0637999997</v>
      </c>
      <c r="S22" s="175">
        <f>IFERROR(VLOOKUP($B22,'Gtos Consultores'!$B$9:$AH$69,S$3,0),0)</f>
        <v>0</v>
      </c>
      <c r="T22" s="175">
        <f>IF($T$1=0,IFERROR(HLOOKUP(YEAR($B22),'Gastos Proyect'!$B$4:$F$17,14,0),0),IF($T$1=1,IFERROR(HLOOKUP(YEAR($B21),'Gastos Proyect'!$B$4:$F$17,14,0),0),IFERROR(HLOOKUP(YEAR($B20),'Gastos Proyect'!$B$4:$F$17,14,0),0)))</f>
        <v>11837000</v>
      </c>
      <c r="U22" s="359">
        <f>IFERROR(HLOOKUP(YEAR($B22),'Ing Proyect'!$B$6:$G$12,6,0),0)*$U$2</f>
        <v>5969650</v>
      </c>
      <c r="V22" s="175">
        <v>0</v>
      </c>
      <c r="W22" s="175">
        <f t="shared" si="0"/>
        <v>110253692.86380002</v>
      </c>
      <c r="X22" s="175">
        <f t="shared" si="10"/>
        <v>9162656.136199981</v>
      </c>
      <c r="Y22" s="359">
        <f t="shared" si="1"/>
        <v>0</v>
      </c>
      <c r="Z22" s="175">
        <f t="shared" si="11"/>
        <v>-1622393.863800019</v>
      </c>
      <c r="AB22" s="175">
        <f t="shared" si="2"/>
        <v>111000000</v>
      </c>
      <c r="AC22" s="175">
        <f>AE21+(-G22+(VLOOKUP($A22,'Financ 1'!$A$15:$Q$75,17,0)+VLOOKUP($A22,'Financ 2'!$A$15:$Q$75,17,0))+I22+P22-W22+Y22)-AB22</f>
        <v>-643161.20700019598</v>
      </c>
      <c r="AD22" s="175">
        <f>VLOOKUP($B22,'Inv Temp'!$B$7:$I$67,AD$2,0)</f>
        <v>1000000</v>
      </c>
      <c r="AE22" s="175">
        <f>IF($A22=0,'Inv Inicial'!$D$15,AE21+Z22-AC22*0+AD22)</f>
        <v>111356838.7929998</v>
      </c>
      <c r="AF22" s="175">
        <f t="shared" si="3"/>
        <v>356838.79299980402</v>
      </c>
      <c r="AG22" s="175">
        <f t="shared" si="4"/>
        <v>0</v>
      </c>
      <c r="AI22" s="175">
        <f>VLOOKUP($A22,'Amort Inv Inic'!$A$7:$U$67,21,0)</f>
        <v>1603471</v>
      </c>
      <c r="AJ22" s="175">
        <f>VLOOKUP($A22,'Amort Inv Adic'!$A$7:$BI$67,54,0)</f>
        <v>1275000</v>
      </c>
      <c r="AK22" s="175">
        <f t="shared" si="12"/>
        <v>2878471</v>
      </c>
      <c r="AM22" s="175">
        <f>IFERROR(HLOOKUP(YEAR($B22),'Ing Proyect'!$B$6:$G$12,6,0),0)</f>
        <v>119393000</v>
      </c>
      <c r="AN22" s="175">
        <f>VLOOKUP($B22,'Gtos Consultores'!$B$9:$AI$69,AN$3,0)</f>
        <v>1088696</v>
      </c>
      <c r="AO22" s="175">
        <f>(P22-M22+AM22)-(W22-S22)-K22-AK22-AN22+T22-IFERROR(HLOOKUP(YEAR($B22),'Gastos Proyect'!$B$4:$F$17,14,0),0)</f>
        <v>3354189.136199981</v>
      </c>
      <c r="AP22" s="175">
        <f>SUMIF($C$8:$C22,$C22,$AO$8:$AO22)</f>
        <v>6707707.2723999619</v>
      </c>
      <c r="AR22" s="320">
        <f>IFERROR(VLOOKUP(ROUNDUP($A22/12,0),Variables!$B$32:$E$36,4,0),0)</f>
        <v>0</v>
      </c>
      <c r="AS22" s="175">
        <f t="shared" si="13"/>
        <v>0</v>
      </c>
      <c r="AT22" s="320">
        <f>IFERROR(VLOOKUP(ROUNDUP($A22/12,0),Variables!$B$41:$E$45,4,0),0)</f>
        <v>0.09</v>
      </c>
      <c r="AU22" s="175">
        <f t="shared" si="14"/>
        <v>604000</v>
      </c>
      <c r="AV22" s="359">
        <f t="shared" si="16"/>
        <v>604000</v>
      </c>
      <c r="AW22" s="175">
        <f t="shared" si="5"/>
        <v>6103707.2723999619</v>
      </c>
      <c r="AX22" s="175">
        <f t="shared" si="6"/>
        <v>2319000</v>
      </c>
      <c r="BH22" s="15">
        <f>VLOOKUP($A22,'Financ 1'!$A$15:$Q$75,17,0)+VLOOKUP($A22,'Financ 2'!$A$15:$Q$75,17,0)</f>
        <v>-10785050</v>
      </c>
      <c r="BI22" s="15"/>
    </row>
    <row r="23" spans="1:61" x14ac:dyDescent="0.35">
      <c r="A23" s="18">
        <v>15</v>
      </c>
      <c r="B23" s="184">
        <v>42460</v>
      </c>
      <c r="C23" s="331">
        <f t="shared" si="7"/>
        <v>2016</v>
      </c>
      <c r="D23" s="175">
        <v>0</v>
      </c>
      <c r="E23" s="175">
        <f>IFERROR(HLOOKUP($B23,'Inv Adic'!$D$6:$M$29,13,0),0)</f>
        <v>0</v>
      </c>
      <c r="F23" s="175">
        <f>IFERROR(VLOOKUP($B23,'Inv Temp'!$B$7:$I$67,F$1,0),0)</f>
        <v>0</v>
      </c>
      <c r="G23" s="175">
        <f t="shared" si="8"/>
        <v>0</v>
      </c>
      <c r="H23" s="175">
        <f>VLOOKUP($B23,'Financ Total'!$B$10:$F$70,H$1,0)</f>
        <v>0</v>
      </c>
      <c r="I23" s="309">
        <v>0</v>
      </c>
      <c r="J23" s="175">
        <f>VLOOKUP($B23,'Financ Total'!$B$10:$F$70,J$1,0)</f>
        <v>8943750</v>
      </c>
      <c r="K23" s="175">
        <f>VLOOKUP($B23,'Financ Total'!$B$10:$F$70,K$1,0)</f>
        <v>1761244</v>
      </c>
      <c r="L23" s="175">
        <f t="shared" si="9"/>
        <v>-10704994</v>
      </c>
      <c r="M23" s="175">
        <f>IF($M$1=0,IFERROR(HLOOKUP(YEAR($B23),'Ing Proyect'!$B$6:$G$12,6,0),0),IF($M$1=1,IFERROR(HLOOKUP(YEAR($B22),'Ing Proyect'!$B$6:$G$12,6,0),0),IFERROR(HLOOKUP(YEAR($B21),'Ing Proyect'!$B$6:$G$12,6,0),0)))</f>
        <v>119393000</v>
      </c>
      <c r="N23" s="175">
        <f>VLOOKUP($B23,'Inv Temp'!$B$7:$I$67,N$2,0)</f>
        <v>18679</v>
      </c>
      <c r="O23" s="175">
        <v>0</v>
      </c>
      <c r="P23" s="175">
        <f t="shared" si="15"/>
        <v>119411679</v>
      </c>
      <c r="Q23" s="175">
        <f>VLOOKUP($B23,'Gtos Consultores'!$B$9:$AH$69,Q$3,0)</f>
        <v>84494659.800000012</v>
      </c>
      <c r="R23" s="175">
        <f>VLOOKUP($B23,'Gtos Consultores'!$B$9:$AH$69,R$3,0)</f>
        <v>7952383.0637999997</v>
      </c>
      <c r="S23" s="175">
        <f>IFERROR(VLOOKUP($B23,'Gtos Consultores'!$B$9:$AH$69,S$3,0),0)</f>
        <v>0</v>
      </c>
      <c r="T23" s="175">
        <f>IF($T$1=0,IFERROR(HLOOKUP(YEAR($B23),'Gastos Proyect'!$B$4:$F$17,14,0),0),IF($T$1=1,IFERROR(HLOOKUP(YEAR($B22),'Gastos Proyect'!$B$4:$F$17,14,0),0),IFERROR(HLOOKUP(YEAR($B21),'Gastos Proyect'!$B$4:$F$17,14,0),0)))</f>
        <v>11837000</v>
      </c>
      <c r="U23" s="359">
        <f>IFERROR(HLOOKUP(YEAR($B23),'Ing Proyect'!$B$6:$G$12,6,0),0)*$U$2</f>
        <v>5969650</v>
      </c>
      <c r="V23" s="175">
        <v>0</v>
      </c>
      <c r="W23" s="175">
        <f t="shared" si="0"/>
        <v>110253692.86380002</v>
      </c>
      <c r="X23" s="175">
        <f t="shared" si="10"/>
        <v>9157986.136199981</v>
      </c>
      <c r="Y23" s="359">
        <f t="shared" si="1"/>
        <v>0</v>
      </c>
      <c r="Z23" s="175">
        <f t="shared" si="11"/>
        <v>-1547007.863800019</v>
      </c>
      <c r="AB23" s="175">
        <f t="shared" si="2"/>
        <v>111000000</v>
      </c>
      <c r="AC23" s="175">
        <f>AE22+(-G23+(VLOOKUP($A23,'Financ 1'!$A$15:$Q$75,17,0)+VLOOKUP($A23,'Financ 2'!$A$15:$Q$75,17,0))+I23+P23-W23+Y23)-AB23</f>
        <v>-1190169.070800215</v>
      </c>
      <c r="AD23" s="175">
        <f>VLOOKUP($B23,'Inv Temp'!$B$7:$I$67,AD$2,0)</f>
        <v>2000000</v>
      </c>
      <c r="AE23" s="175">
        <f>IF($A23=0,'Inv Inicial'!$D$15,AE22+Z23-AC23*0+AD23)</f>
        <v>111809830.92919978</v>
      </c>
      <c r="AF23" s="175">
        <f t="shared" si="3"/>
        <v>809830.92919978499</v>
      </c>
      <c r="AG23" s="175">
        <f t="shared" si="4"/>
        <v>0</v>
      </c>
      <c r="AI23" s="175">
        <f>VLOOKUP($A23,'Amort Inv Inic'!$A$7:$U$67,21,0)</f>
        <v>1603472</v>
      </c>
      <c r="AJ23" s="175">
        <f>VLOOKUP($A23,'Amort Inv Adic'!$A$7:$BI$67,54,0)</f>
        <v>1275000</v>
      </c>
      <c r="AK23" s="175">
        <f t="shared" si="12"/>
        <v>2878472</v>
      </c>
      <c r="AM23" s="175">
        <f>IFERROR(HLOOKUP(YEAR($B23),'Ing Proyect'!$B$6:$G$12,6,0),0)</f>
        <v>119393000</v>
      </c>
      <c r="AN23" s="175">
        <f>VLOOKUP($B23,'Gtos Consultores'!$B$9:$AI$69,AN$3,0)</f>
        <v>1088696</v>
      </c>
      <c r="AO23" s="175">
        <f>(P23-M23+AM23)-(W23-S23)-K23-AK23-AN23+T23-IFERROR(HLOOKUP(YEAR($B23),'Gastos Proyect'!$B$4:$F$17,14,0),0)</f>
        <v>3429574.136199981</v>
      </c>
      <c r="AP23" s="175">
        <f>SUMIF($C$8:$C23,$C23,$AO$8:$AO23)</f>
        <v>10137281.408599943</v>
      </c>
      <c r="AR23" s="320">
        <f>IFERROR(VLOOKUP(ROUNDUP($A23/12,0),Variables!$B$32:$E$36,4,0),0)</f>
        <v>0</v>
      </c>
      <c r="AS23" s="175">
        <f t="shared" si="13"/>
        <v>0</v>
      </c>
      <c r="AT23" s="320">
        <f>IFERROR(VLOOKUP(ROUNDUP($A23/12,0),Variables!$B$41:$E$45,4,0),0)</f>
        <v>0.09</v>
      </c>
      <c r="AU23" s="175">
        <f t="shared" si="14"/>
        <v>913000</v>
      </c>
      <c r="AV23" s="359">
        <f t="shared" si="16"/>
        <v>913000</v>
      </c>
      <c r="AW23" s="175">
        <f t="shared" si="5"/>
        <v>9224281.4085999429</v>
      </c>
      <c r="AX23" s="175">
        <f t="shared" si="6"/>
        <v>2628000</v>
      </c>
      <c r="BH23" s="15">
        <f>VLOOKUP($A23,'Financ 1'!$A$15:$Q$75,17,0)+VLOOKUP($A23,'Financ 2'!$A$15:$Q$75,17,0)</f>
        <v>-10704994</v>
      </c>
      <c r="BI23" s="15"/>
    </row>
    <row r="24" spans="1:61" x14ac:dyDescent="0.35">
      <c r="A24" s="18">
        <v>16</v>
      </c>
      <c r="B24" s="184">
        <v>42490</v>
      </c>
      <c r="C24" s="331">
        <f t="shared" si="7"/>
        <v>2016</v>
      </c>
      <c r="D24" s="175">
        <v>0</v>
      </c>
      <c r="E24" s="175">
        <f>IFERROR(HLOOKUP($B24,'Inv Adic'!$D$6:$M$29,13,0),0)</f>
        <v>0</v>
      </c>
      <c r="F24" s="175">
        <f>IFERROR(VLOOKUP($B24,'Inv Temp'!$B$7:$I$67,F$1,0),0)</f>
        <v>0</v>
      </c>
      <c r="G24" s="175">
        <f t="shared" si="8"/>
        <v>0</v>
      </c>
      <c r="H24" s="175">
        <f>VLOOKUP($B24,'Financ Total'!$B$10:$F$70,H$1,0)</f>
        <v>0</v>
      </c>
      <c r="I24" s="309">
        <v>0</v>
      </c>
      <c r="J24" s="175">
        <f>VLOOKUP($B24,'Financ Total'!$B$10:$F$70,J$1,0)</f>
        <v>8943750</v>
      </c>
      <c r="K24" s="175">
        <f>VLOOKUP($B24,'Financ Total'!$B$10:$F$70,K$1,0)</f>
        <v>1643334</v>
      </c>
      <c r="L24" s="175">
        <f t="shared" si="9"/>
        <v>-10587084</v>
      </c>
      <c r="M24" s="175">
        <f>IF($M$1=0,IFERROR(HLOOKUP(YEAR($B24),'Ing Proyect'!$B$6:$G$12,6,0),0),IF($M$1=1,IFERROR(HLOOKUP(YEAR($B23),'Ing Proyect'!$B$6:$G$12,6,0),0),IFERROR(HLOOKUP(YEAR($B22),'Ing Proyect'!$B$6:$G$12,6,0),0)))</f>
        <v>119393000</v>
      </c>
      <c r="N24" s="175">
        <f>VLOOKUP($B24,'Inv Temp'!$B$7:$I$67,N$2,0)</f>
        <v>8943</v>
      </c>
      <c r="O24" s="175">
        <v>0</v>
      </c>
      <c r="P24" s="175">
        <f t="shared" si="15"/>
        <v>119401943</v>
      </c>
      <c r="Q24" s="175">
        <f>VLOOKUP($B24,'Gtos Consultores'!$B$9:$AH$69,Q$3,0)</f>
        <v>84494659.800000012</v>
      </c>
      <c r="R24" s="175">
        <f>VLOOKUP($B24,'Gtos Consultores'!$B$9:$AH$69,R$3,0)</f>
        <v>7952383.0637999997</v>
      </c>
      <c r="S24" s="175">
        <f>IFERROR(VLOOKUP($B24,'Gtos Consultores'!$B$9:$AH$69,S$3,0),0)</f>
        <v>0</v>
      </c>
      <c r="T24" s="175">
        <f>IF($T$1=0,IFERROR(HLOOKUP(YEAR($B24),'Gastos Proyect'!$B$4:$F$17,14,0),0),IF($T$1=1,IFERROR(HLOOKUP(YEAR($B23),'Gastos Proyect'!$B$4:$F$17,14,0),0),IFERROR(HLOOKUP(YEAR($B22),'Gastos Proyect'!$B$4:$F$17,14,0),0)))</f>
        <v>11837000</v>
      </c>
      <c r="U24" s="359">
        <f>IFERROR(HLOOKUP(YEAR($B24),'Ing Proyect'!$B$6:$G$12,6,0),0)*$U$2</f>
        <v>5969650</v>
      </c>
      <c r="V24" s="175">
        <v>0</v>
      </c>
      <c r="W24" s="175">
        <f t="shared" si="0"/>
        <v>110253692.86380002</v>
      </c>
      <c r="X24" s="175">
        <f t="shared" si="10"/>
        <v>9148250.136199981</v>
      </c>
      <c r="Y24" s="359">
        <f t="shared" si="1"/>
        <v>-857500</v>
      </c>
      <c r="Z24" s="175">
        <f t="shared" si="11"/>
        <v>-2296333.863800019</v>
      </c>
      <c r="AB24" s="175">
        <f t="shared" si="2"/>
        <v>111000000</v>
      </c>
      <c r="AC24" s="175">
        <f>AE23+(-G24+(VLOOKUP($A24,'Financ 1'!$A$15:$Q$75,17,0)+VLOOKUP($A24,'Financ 2'!$A$15:$Q$75,17,0))+I24+P24-W24+Y24)-AB24</f>
        <v>-1486502.934600234</v>
      </c>
      <c r="AD24" s="175">
        <f>VLOOKUP($B24,'Inv Temp'!$B$7:$I$67,AD$2,0)</f>
        <v>2000000</v>
      </c>
      <c r="AE24" s="175">
        <f>IF($A24=0,'Inv Inicial'!$D$15,AE23+Z24-AC24*0+AD24)</f>
        <v>111513497.06539977</v>
      </c>
      <c r="AF24" s="175">
        <f t="shared" si="3"/>
        <v>513497.06539976597</v>
      </c>
      <c r="AG24" s="175">
        <f t="shared" si="4"/>
        <v>0</v>
      </c>
      <c r="AI24" s="175">
        <f>VLOOKUP($A24,'Amort Inv Inic'!$A$7:$U$67,21,0)</f>
        <v>1603471</v>
      </c>
      <c r="AJ24" s="175">
        <f>VLOOKUP($A24,'Amort Inv Adic'!$A$7:$BI$67,54,0)</f>
        <v>1275000</v>
      </c>
      <c r="AK24" s="175">
        <f t="shared" si="12"/>
        <v>2878471</v>
      </c>
      <c r="AM24" s="175">
        <f>IFERROR(HLOOKUP(YEAR($B24),'Ing Proyect'!$B$6:$G$12,6,0),0)</f>
        <v>119393000</v>
      </c>
      <c r="AN24" s="175">
        <f>VLOOKUP($B24,'Gtos Consultores'!$B$9:$AI$69,AN$3,0)</f>
        <v>1088696</v>
      </c>
      <c r="AO24" s="175">
        <f>(P24-M24+AM24)-(W24-S24)-K24-AK24-AN24+T24-IFERROR(HLOOKUP(YEAR($B24),'Gastos Proyect'!$B$4:$F$17,14,0),0)</f>
        <v>3537749.136199981</v>
      </c>
      <c r="AP24" s="175">
        <f>SUMIF($C$8:$C24,$C24,$AO$8:$AO24)</f>
        <v>13675030.544799924</v>
      </c>
      <c r="AR24" s="320">
        <f>IFERROR(VLOOKUP(ROUNDUP($A24/12,0),Variables!$B$32:$E$36,4,0),0)</f>
        <v>0</v>
      </c>
      <c r="AS24" s="175">
        <f t="shared" si="13"/>
        <v>0</v>
      </c>
      <c r="AT24" s="320">
        <f>IFERROR(VLOOKUP(ROUNDUP($A24/12,0),Variables!$B$41:$E$45,4,0),0)</f>
        <v>0.09</v>
      </c>
      <c r="AU24" s="175">
        <f t="shared" si="14"/>
        <v>1231000</v>
      </c>
      <c r="AV24" s="359">
        <f t="shared" si="16"/>
        <v>1231000</v>
      </c>
      <c r="AW24" s="175">
        <f t="shared" si="5"/>
        <v>12444030.544799924</v>
      </c>
      <c r="AX24" s="175">
        <f t="shared" si="6"/>
        <v>2088500</v>
      </c>
      <c r="BH24" s="15">
        <f>VLOOKUP($A24,'Financ 1'!$A$15:$Q$75,17,0)+VLOOKUP($A24,'Financ 2'!$A$15:$Q$75,17,0)</f>
        <v>-10587084</v>
      </c>
      <c r="BI24" s="15"/>
    </row>
    <row r="25" spans="1:61" x14ac:dyDescent="0.35">
      <c r="A25" s="18">
        <v>17</v>
      </c>
      <c r="B25" s="184">
        <v>42521</v>
      </c>
      <c r="C25" s="331">
        <f t="shared" si="7"/>
        <v>2016</v>
      </c>
      <c r="D25" s="175">
        <v>0</v>
      </c>
      <c r="E25" s="175">
        <f>IFERROR(HLOOKUP($B25,'Inv Adic'!$D$6:$M$29,13,0),0)</f>
        <v>0</v>
      </c>
      <c r="F25" s="175">
        <f>IFERROR(VLOOKUP($B25,'Inv Temp'!$B$7:$I$67,F$1,0),0)</f>
        <v>0</v>
      </c>
      <c r="G25" s="175">
        <f t="shared" si="8"/>
        <v>0</v>
      </c>
      <c r="H25" s="175">
        <f>VLOOKUP($B25,'Financ Total'!$B$10:$F$70,H$1,0)</f>
        <v>4000000</v>
      </c>
      <c r="I25" s="309">
        <v>0</v>
      </c>
      <c r="J25" s="175">
        <f>VLOOKUP($B25,'Financ Total'!$B$10:$F$70,J$1,0)</f>
        <v>8943750</v>
      </c>
      <c r="K25" s="175">
        <f>VLOOKUP($B25,'Financ Total'!$B$10:$F$70,K$1,0)</f>
        <v>1565080</v>
      </c>
      <c r="L25" s="175">
        <f t="shared" si="9"/>
        <v>-6508830</v>
      </c>
      <c r="M25" s="175">
        <f>IF($M$1=0,IFERROR(HLOOKUP(YEAR($B25),'Ing Proyect'!$B$6:$G$12,6,0),0),IF($M$1=1,IFERROR(HLOOKUP(YEAR($B24),'Ing Proyect'!$B$6:$G$12,6,0),0),IFERROR(HLOOKUP(YEAR($B23),'Ing Proyect'!$B$6:$G$12,6,0),0)))</f>
        <v>119393000</v>
      </c>
      <c r="N25" s="175">
        <f>VLOOKUP($B25,'Inv Temp'!$B$7:$I$67,N$2,0)</f>
        <v>0</v>
      </c>
      <c r="O25" s="175">
        <v>0</v>
      </c>
      <c r="P25" s="175">
        <f t="shared" si="15"/>
        <v>119393000</v>
      </c>
      <c r="Q25" s="175">
        <f>VLOOKUP($B25,'Gtos Consultores'!$B$9:$AH$69,Q$3,0)</f>
        <v>84494659.800000012</v>
      </c>
      <c r="R25" s="175">
        <f>VLOOKUP($B25,'Gtos Consultores'!$B$9:$AH$69,R$3,0)</f>
        <v>7952383.0637999997</v>
      </c>
      <c r="S25" s="175">
        <f>IFERROR(VLOOKUP($B25,'Gtos Consultores'!$B$9:$AH$69,S$3,0),0)</f>
        <v>0</v>
      </c>
      <c r="T25" s="175">
        <f>IF($T$1=0,IFERROR(HLOOKUP(YEAR($B25),'Gastos Proyect'!$B$4:$F$17,14,0),0),IF($T$1=1,IFERROR(HLOOKUP(YEAR($B24),'Gastos Proyect'!$B$4:$F$17,14,0),0),IFERROR(HLOOKUP(YEAR($B23),'Gastos Proyect'!$B$4:$F$17,14,0),0)))</f>
        <v>11837000</v>
      </c>
      <c r="U25" s="359">
        <f>IFERROR(HLOOKUP(YEAR($B25),'Ing Proyect'!$B$6:$G$12,6,0),0)*$U$2</f>
        <v>5969650</v>
      </c>
      <c r="V25" s="175">
        <v>0</v>
      </c>
      <c r="W25" s="175">
        <f t="shared" si="0"/>
        <v>110253692.86380002</v>
      </c>
      <c r="X25" s="175">
        <f t="shared" si="10"/>
        <v>9139307.136199981</v>
      </c>
      <c r="Y25" s="359">
        <f t="shared" si="1"/>
        <v>0</v>
      </c>
      <c r="Z25" s="175">
        <f t="shared" si="11"/>
        <v>2630477.136199981</v>
      </c>
      <c r="AB25" s="175">
        <f t="shared" si="2"/>
        <v>114000000</v>
      </c>
      <c r="AC25" s="175">
        <f>AE24+(-G25+(VLOOKUP($A25,'Financ 1'!$A$15:$Q$75,17,0)+VLOOKUP($A25,'Financ 2'!$A$15:$Q$75,17,0))+I25+P25-W25+Y25)-AB25</f>
        <v>-3856025.7984002531</v>
      </c>
      <c r="AD25" s="175">
        <f>VLOOKUP($B25,'Inv Temp'!$B$7:$I$67,AD$2,0)</f>
        <v>0</v>
      </c>
      <c r="AE25" s="175">
        <f>IF($A25=0,'Inv Inicial'!$D$15,AE24+Z25-AC25*0+AD25)</f>
        <v>114143974.20159975</v>
      </c>
      <c r="AF25" s="175">
        <f t="shared" si="3"/>
        <v>143974.20159974694</v>
      </c>
      <c r="AG25" s="175">
        <f t="shared" si="4"/>
        <v>0</v>
      </c>
      <c r="AI25" s="175">
        <f>VLOOKUP($A25,'Amort Inv Inic'!$A$7:$U$67,21,0)</f>
        <v>1603472</v>
      </c>
      <c r="AJ25" s="175">
        <f>VLOOKUP($A25,'Amort Inv Adic'!$A$7:$BI$67,54,0)</f>
        <v>1275000</v>
      </c>
      <c r="AK25" s="175">
        <f t="shared" si="12"/>
        <v>2878472</v>
      </c>
      <c r="AM25" s="175">
        <f>IFERROR(HLOOKUP(YEAR($B25),'Ing Proyect'!$B$6:$G$12,6,0),0)</f>
        <v>119393000</v>
      </c>
      <c r="AN25" s="175">
        <f>VLOOKUP($B25,'Gtos Consultores'!$B$9:$AI$69,AN$3,0)</f>
        <v>1088696</v>
      </c>
      <c r="AO25" s="175">
        <f>(P25-M25+AM25)-(W25-S25)-K25-AK25-AN25+T25-IFERROR(HLOOKUP(YEAR($B25),'Gastos Proyect'!$B$4:$F$17,14,0),0)</f>
        <v>3607059.136199981</v>
      </c>
      <c r="AP25" s="175">
        <f>SUMIF($C$8:$C25,$C25,$AO$8:$AO25)</f>
        <v>17282089.680999905</v>
      </c>
      <c r="AR25" s="320">
        <f>IFERROR(VLOOKUP(ROUNDUP($A25/12,0),Variables!$B$32:$E$36,4,0),0)</f>
        <v>0</v>
      </c>
      <c r="AS25" s="175">
        <f t="shared" si="13"/>
        <v>0</v>
      </c>
      <c r="AT25" s="320">
        <f>IFERROR(VLOOKUP(ROUNDUP($A25/12,0),Variables!$B$41:$E$45,4,0),0)</f>
        <v>0.09</v>
      </c>
      <c r="AU25" s="175">
        <f t="shared" si="14"/>
        <v>1556000</v>
      </c>
      <c r="AV25" s="359">
        <f t="shared" si="16"/>
        <v>1556000</v>
      </c>
      <c r="AW25" s="175">
        <f t="shared" si="5"/>
        <v>15726089.680999905</v>
      </c>
      <c r="AX25" s="175">
        <f t="shared" si="6"/>
        <v>2413500</v>
      </c>
      <c r="BH25" s="15">
        <f>VLOOKUP($A25,'Financ 1'!$A$15:$Q$75,17,0)+VLOOKUP($A25,'Financ 2'!$A$15:$Q$75,17,0)</f>
        <v>-10508830</v>
      </c>
      <c r="BI25" s="15"/>
    </row>
    <row r="26" spans="1:61" x14ac:dyDescent="0.35">
      <c r="A26" s="18">
        <v>18</v>
      </c>
      <c r="B26" s="184">
        <v>42551</v>
      </c>
      <c r="C26" s="331">
        <f t="shared" si="7"/>
        <v>2016</v>
      </c>
      <c r="D26" s="175">
        <v>0</v>
      </c>
      <c r="E26" s="175">
        <f>IFERROR(HLOOKUP($B26,'Inv Adic'!$D$6:$M$29,13,0),0)</f>
        <v>6600000</v>
      </c>
      <c r="F26" s="175">
        <f>IFERROR(VLOOKUP($B26,'Inv Temp'!$B$7:$I$67,F$1,0),0)</f>
        <v>0</v>
      </c>
      <c r="G26" s="175">
        <f t="shared" si="8"/>
        <v>6600000</v>
      </c>
      <c r="H26" s="175">
        <f>VLOOKUP($B26,'Financ Total'!$B$10:$F$70,H$1,0)</f>
        <v>9000000</v>
      </c>
      <c r="I26" s="309">
        <v>0</v>
      </c>
      <c r="J26" s="175">
        <f>VLOOKUP($B26,'Financ Total'!$B$10:$F$70,J$1,0)</f>
        <v>12943750</v>
      </c>
      <c r="K26" s="175">
        <f>VLOOKUP($B26,'Financ Total'!$B$10:$F$70,K$1,0)</f>
        <v>1533105</v>
      </c>
      <c r="L26" s="175">
        <f t="shared" si="9"/>
        <v>-5476855</v>
      </c>
      <c r="M26" s="175">
        <f>IF($M$1=0,IFERROR(HLOOKUP(YEAR($B26),'Ing Proyect'!$B$6:$G$12,6,0),0),IF($M$1=1,IFERROR(HLOOKUP(YEAR($B25),'Ing Proyect'!$B$6:$G$12,6,0),0),IFERROR(HLOOKUP(YEAR($B24),'Ing Proyect'!$B$6:$G$12,6,0),0)))</f>
        <v>119393000</v>
      </c>
      <c r="N26" s="175">
        <f>VLOOKUP($B26,'Inv Temp'!$B$7:$I$67,N$2,0)</f>
        <v>0</v>
      </c>
      <c r="O26" s="175">
        <v>0</v>
      </c>
      <c r="P26" s="175">
        <f t="shared" si="15"/>
        <v>119393000</v>
      </c>
      <c r="Q26" s="175">
        <f>VLOOKUP($B26,'Gtos Consultores'!$B$9:$AH$69,Q$3,0)</f>
        <v>84494659.800000012</v>
      </c>
      <c r="R26" s="175">
        <f>VLOOKUP($B26,'Gtos Consultores'!$B$9:$AH$69,R$3,0)</f>
        <v>7952383.0637999997</v>
      </c>
      <c r="S26" s="175">
        <f>IFERROR(VLOOKUP($B26,'Gtos Consultores'!$B$9:$AH$69,S$3,0),0)</f>
        <v>3081215</v>
      </c>
      <c r="T26" s="175">
        <f>IF($T$1=0,IFERROR(HLOOKUP(YEAR($B26),'Gastos Proyect'!$B$4:$F$17,14,0),0),IF($T$1=1,IFERROR(HLOOKUP(YEAR($B25),'Gastos Proyect'!$B$4:$F$17,14,0),0),IFERROR(HLOOKUP(YEAR($B24),'Gastos Proyect'!$B$4:$F$17,14,0),0)))</f>
        <v>11837000</v>
      </c>
      <c r="U26" s="359">
        <f>IFERROR(HLOOKUP(YEAR($B26),'Ing Proyect'!$B$6:$G$12,6,0),0)*$U$2</f>
        <v>5969650</v>
      </c>
      <c r="V26" s="175">
        <v>0</v>
      </c>
      <c r="W26" s="175">
        <f t="shared" si="0"/>
        <v>113334907.86380002</v>
      </c>
      <c r="X26" s="175">
        <f t="shared" si="10"/>
        <v>6058092.136199981</v>
      </c>
      <c r="Y26" s="359">
        <f t="shared" si="1"/>
        <v>-857500</v>
      </c>
      <c r="Z26" s="175">
        <f t="shared" si="11"/>
        <v>-6876262.863800019</v>
      </c>
      <c r="AB26" s="175">
        <f t="shared" si="2"/>
        <v>111000000</v>
      </c>
      <c r="AC26" s="175">
        <f>AE25+(-G26+(VLOOKUP($A26,'Financ 1'!$A$15:$Q$75,17,0)+VLOOKUP($A26,'Financ 2'!$A$15:$Q$75,17,0))+I26+P26-W26+Y26)-AB26</f>
        <v>-8686009.6622002721</v>
      </c>
      <c r="AD26" s="175">
        <f>VLOOKUP($B26,'Inv Temp'!$B$7:$I$67,AD$2,0)</f>
        <v>0</v>
      </c>
      <c r="AE26" s="175">
        <f>IF($A26=0,'Inv Inicial'!$D$15,AE25+Z26-AC26*0+AD26)</f>
        <v>107267711.33779973</v>
      </c>
      <c r="AF26" s="175">
        <f t="shared" si="3"/>
        <v>0</v>
      </c>
      <c r="AG26" s="175">
        <f t="shared" si="4"/>
        <v>3732288.6622002721</v>
      </c>
      <c r="AI26" s="175">
        <f>VLOOKUP($A26,'Amort Inv Inic'!$A$7:$U$67,21,0)</f>
        <v>1603471</v>
      </c>
      <c r="AJ26" s="175">
        <f>VLOOKUP($A26,'Amort Inv Adic'!$A$7:$BI$67,54,0)</f>
        <v>1275000</v>
      </c>
      <c r="AK26" s="175">
        <f t="shared" si="12"/>
        <v>2878471</v>
      </c>
      <c r="AM26" s="175">
        <f>IFERROR(HLOOKUP(YEAR($B26),'Ing Proyect'!$B$6:$G$12,6,0),0)</f>
        <v>119393000</v>
      </c>
      <c r="AN26" s="175">
        <f>VLOOKUP($B26,'Gtos Consultores'!$B$9:$AI$69,AN$3,0)</f>
        <v>1088696</v>
      </c>
      <c r="AO26" s="175">
        <f>(P26-M26+AM26)-(W26-S26)-K26-AK26-AN26+T26-IFERROR(HLOOKUP(YEAR($B26),'Gastos Proyect'!$B$4:$F$17,14,0),0)</f>
        <v>3639035.136199981</v>
      </c>
      <c r="AP26" s="175">
        <f>SUMIF($C$8:$C26,$C26,$AO$8:$AO26)</f>
        <v>20921124.817199886</v>
      </c>
      <c r="AR26" s="320">
        <f>IFERROR(VLOOKUP(ROUNDUP($A26/12,0),Variables!$B$32:$E$36,4,0),0)</f>
        <v>0</v>
      </c>
      <c r="AS26" s="175">
        <f t="shared" si="13"/>
        <v>0</v>
      </c>
      <c r="AT26" s="320">
        <f>IFERROR(VLOOKUP(ROUNDUP($A26/12,0),Variables!$B$41:$E$45,4,0),0)</f>
        <v>0.09</v>
      </c>
      <c r="AU26" s="175">
        <f t="shared" si="14"/>
        <v>1883000</v>
      </c>
      <c r="AV26" s="359">
        <f t="shared" si="16"/>
        <v>1883000</v>
      </c>
      <c r="AW26" s="175">
        <f t="shared" si="5"/>
        <v>19038124.817199886</v>
      </c>
      <c r="AX26" s="175">
        <f t="shared" si="6"/>
        <v>1883000</v>
      </c>
      <c r="BH26" s="15">
        <f>VLOOKUP($A26,'Financ 1'!$A$15:$Q$75,17,0)+VLOOKUP($A26,'Financ 2'!$A$15:$Q$75,17,0)</f>
        <v>-10430576</v>
      </c>
      <c r="BI26" s="15"/>
    </row>
    <row r="27" spans="1:61" x14ac:dyDescent="0.35">
      <c r="A27" s="18">
        <v>19</v>
      </c>
      <c r="B27" s="184">
        <v>42582</v>
      </c>
      <c r="C27" s="331">
        <f t="shared" si="7"/>
        <v>2016</v>
      </c>
      <c r="D27" s="175">
        <v>0</v>
      </c>
      <c r="E27" s="175">
        <f>IFERROR(HLOOKUP($B27,'Inv Adic'!$D$6:$M$29,13,0),0)</f>
        <v>0</v>
      </c>
      <c r="F27" s="175">
        <f>IFERROR(VLOOKUP($B27,'Inv Temp'!$B$7:$I$67,F$1,0),0)</f>
        <v>0</v>
      </c>
      <c r="G27" s="175">
        <f t="shared" si="8"/>
        <v>0</v>
      </c>
      <c r="H27" s="175">
        <f>VLOOKUP($B27,'Financ Total'!$B$10:$F$70,H$1,0)</f>
        <v>5000000</v>
      </c>
      <c r="I27" s="309">
        <v>0</v>
      </c>
      <c r="J27" s="175">
        <f>VLOOKUP($B27,'Financ Total'!$B$10:$F$70,J$1,0)</f>
        <v>17943750</v>
      </c>
      <c r="K27" s="175">
        <f>VLOOKUP($B27,'Financ Total'!$B$10:$F$70,K$1,0)</f>
        <v>1478346</v>
      </c>
      <c r="L27" s="175">
        <f t="shared" si="9"/>
        <v>-14422096</v>
      </c>
      <c r="M27" s="175">
        <f>IF($M$1=0,IFERROR(HLOOKUP(YEAR($B27),'Ing Proyect'!$B$6:$G$12,6,0),0),IF($M$1=1,IFERROR(HLOOKUP(YEAR($B26),'Ing Proyect'!$B$6:$G$12,6,0),0),IFERROR(HLOOKUP(YEAR($B25),'Ing Proyect'!$B$6:$G$12,6,0),0)))</f>
        <v>119393000</v>
      </c>
      <c r="N27" s="175">
        <f>VLOOKUP($B27,'Inv Temp'!$B$7:$I$67,N$2,0)</f>
        <v>0</v>
      </c>
      <c r="O27" s="175">
        <v>0</v>
      </c>
      <c r="P27" s="175">
        <f t="shared" si="15"/>
        <v>119393000</v>
      </c>
      <c r="Q27" s="175">
        <f>VLOOKUP($B27,'Gtos Consultores'!$B$9:$AH$69,Q$3,0)</f>
        <v>84494659.800000012</v>
      </c>
      <c r="R27" s="175">
        <f>VLOOKUP($B27,'Gtos Consultores'!$B$9:$AH$69,R$3,0)</f>
        <v>7952383.0637999997</v>
      </c>
      <c r="S27" s="175">
        <f>IFERROR(VLOOKUP($B27,'Gtos Consultores'!$B$9:$AH$69,S$3,0),0)</f>
        <v>0</v>
      </c>
      <c r="T27" s="175">
        <f>IF($T$1=0,IFERROR(HLOOKUP(YEAR($B27),'Gastos Proyect'!$B$4:$F$17,14,0),0),IF($T$1=1,IFERROR(HLOOKUP(YEAR($B26),'Gastos Proyect'!$B$4:$F$17,14,0),0),IFERROR(HLOOKUP(YEAR($B25),'Gastos Proyect'!$B$4:$F$17,14,0),0)))</f>
        <v>11837000</v>
      </c>
      <c r="U27" s="359">
        <f>IFERROR(HLOOKUP(YEAR($B27),'Ing Proyect'!$B$6:$G$12,6,0),0)*$U$2</f>
        <v>5969650</v>
      </c>
      <c r="V27" s="175">
        <v>0</v>
      </c>
      <c r="W27" s="175">
        <f t="shared" si="0"/>
        <v>110253692.86380002</v>
      </c>
      <c r="X27" s="175">
        <f t="shared" si="10"/>
        <v>9139307.136199981</v>
      </c>
      <c r="Y27" s="359">
        <f t="shared" si="1"/>
        <v>0</v>
      </c>
      <c r="Z27" s="175">
        <f t="shared" si="11"/>
        <v>-5282788.863800019</v>
      </c>
      <c r="AB27" s="175">
        <f t="shared" si="2"/>
        <v>111000000</v>
      </c>
      <c r="AC27" s="175">
        <f>AE26+(-G27+(VLOOKUP($A27,'Financ 1'!$A$15:$Q$75,17,0)+VLOOKUP($A27,'Financ 2'!$A$15:$Q$75,17,0))+I27+P27-W27+Y27)-AB27</f>
        <v>-4912788.5260002911</v>
      </c>
      <c r="AD27" s="175">
        <f>VLOOKUP($B27,'Inv Temp'!$B$7:$I$67,AD$2,0)</f>
        <v>0</v>
      </c>
      <c r="AE27" s="175">
        <f>IF($A27=0,'Inv Inicial'!$D$15,AE26+Z27-AC27*0+AD27)</f>
        <v>101984922.47399971</v>
      </c>
      <c r="AF27" s="175">
        <f t="shared" si="3"/>
        <v>0</v>
      </c>
      <c r="AG27" s="175">
        <f t="shared" si="4"/>
        <v>9015077.5260002911</v>
      </c>
      <c r="AI27" s="175">
        <f>VLOOKUP($A27,'Amort Inv Inic'!$A$7:$U$67,21,0)</f>
        <v>1603472</v>
      </c>
      <c r="AJ27" s="175">
        <f>VLOOKUP($A27,'Amort Inv Adic'!$A$7:$BI$67,54,0)</f>
        <v>825000</v>
      </c>
      <c r="AK27" s="175">
        <f t="shared" si="12"/>
        <v>2428472</v>
      </c>
      <c r="AM27" s="175">
        <f>IFERROR(HLOOKUP(YEAR($B27),'Ing Proyect'!$B$6:$G$12,6,0),0)</f>
        <v>119393000</v>
      </c>
      <c r="AN27" s="175">
        <f>VLOOKUP($B27,'Gtos Consultores'!$B$9:$AI$69,AN$3,0)</f>
        <v>1088696</v>
      </c>
      <c r="AO27" s="175">
        <f>(P27-M27+AM27)-(W27-S27)-K27-AK27-AN27+T27-IFERROR(HLOOKUP(YEAR($B27),'Gastos Proyect'!$B$4:$F$17,14,0),0)</f>
        <v>4143793.136199981</v>
      </c>
      <c r="AP27" s="175">
        <f>SUMIF($C$8:$C27,$C27,$AO$8:$AO27)</f>
        <v>25064917.953399867</v>
      </c>
      <c r="AR27" s="320">
        <f>IFERROR(VLOOKUP(ROUNDUP($A27/12,0),Variables!$B$32:$E$36,4,0),0)</f>
        <v>0</v>
      </c>
      <c r="AS27" s="175">
        <f t="shared" si="13"/>
        <v>0</v>
      </c>
      <c r="AT27" s="320">
        <f>IFERROR(VLOOKUP(ROUNDUP($A27/12,0),Variables!$B$41:$E$45,4,0),0)</f>
        <v>0.09</v>
      </c>
      <c r="AU27" s="175">
        <f t="shared" si="14"/>
        <v>2256000</v>
      </c>
      <c r="AV27" s="359">
        <f t="shared" si="16"/>
        <v>2256000</v>
      </c>
      <c r="AW27" s="175">
        <f t="shared" si="5"/>
        <v>22808917.953399867</v>
      </c>
      <c r="AX27" s="175">
        <f t="shared" si="6"/>
        <v>2256000</v>
      </c>
      <c r="BH27" s="15">
        <f>VLOOKUP($A27,'Financ 1'!$A$15:$Q$75,17,0)+VLOOKUP($A27,'Financ 2'!$A$15:$Q$75,17,0)</f>
        <v>-10319807</v>
      </c>
      <c r="BI27" s="15"/>
    </row>
    <row r="28" spans="1:61" x14ac:dyDescent="0.35">
      <c r="A28" s="18">
        <v>20</v>
      </c>
      <c r="B28" s="184">
        <v>42613</v>
      </c>
      <c r="C28" s="331">
        <f t="shared" si="7"/>
        <v>2016</v>
      </c>
      <c r="D28" s="175">
        <v>0</v>
      </c>
      <c r="E28" s="175">
        <f>IFERROR(HLOOKUP($B28,'Inv Adic'!$D$6:$M$29,13,0),0)</f>
        <v>0</v>
      </c>
      <c r="F28" s="175">
        <f>IFERROR(VLOOKUP($B28,'Inv Temp'!$B$7:$I$67,F$1,0),0)</f>
        <v>0</v>
      </c>
      <c r="G28" s="175">
        <f t="shared" si="8"/>
        <v>0</v>
      </c>
      <c r="H28" s="175">
        <f>VLOOKUP($B28,'Financ Total'!$B$10:$F$70,H$1,0)</f>
        <v>11000000</v>
      </c>
      <c r="I28" s="309">
        <v>0</v>
      </c>
      <c r="J28" s="175">
        <f>VLOOKUP($B28,'Financ Total'!$B$10:$F$70,J$1,0)</f>
        <v>13943750</v>
      </c>
      <c r="K28" s="175">
        <f>VLOOKUP($B28,'Financ Total'!$B$10:$F$70,K$1,0)</f>
        <v>1356436</v>
      </c>
      <c r="L28" s="175">
        <f t="shared" si="9"/>
        <v>-4300186</v>
      </c>
      <c r="M28" s="175">
        <f>IF($M$1=0,IFERROR(HLOOKUP(YEAR($B28),'Ing Proyect'!$B$6:$G$12,6,0),0),IF($M$1=1,IFERROR(HLOOKUP(YEAR($B27),'Ing Proyect'!$B$6:$G$12,6,0),0),IFERROR(HLOOKUP(YEAR($B26),'Ing Proyect'!$B$6:$G$12,6,0),0)))</f>
        <v>119393000</v>
      </c>
      <c r="N28" s="175">
        <f>VLOOKUP($B28,'Inv Temp'!$B$7:$I$67,N$2,0)</f>
        <v>0</v>
      </c>
      <c r="O28" s="175">
        <v>0</v>
      </c>
      <c r="P28" s="175">
        <f t="shared" si="15"/>
        <v>119393000</v>
      </c>
      <c r="Q28" s="175">
        <f>VLOOKUP($B28,'Gtos Consultores'!$B$9:$AH$69,Q$3,0)</f>
        <v>84494659.800000012</v>
      </c>
      <c r="R28" s="175">
        <f>VLOOKUP($B28,'Gtos Consultores'!$B$9:$AH$69,R$3,0)</f>
        <v>7952383.0637999997</v>
      </c>
      <c r="S28" s="175">
        <f>IFERROR(VLOOKUP($B28,'Gtos Consultores'!$B$9:$AH$69,S$3,0),0)</f>
        <v>0</v>
      </c>
      <c r="T28" s="175">
        <f>IF($T$1=0,IFERROR(HLOOKUP(YEAR($B28),'Gastos Proyect'!$B$4:$F$17,14,0),0),IF($T$1=1,IFERROR(HLOOKUP(YEAR($B27),'Gastos Proyect'!$B$4:$F$17,14,0),0),IFERROR(HLOOKUP(YEAR($B26),'Gastos Proyect'!$B$4:$F$17,14,0),0)))</f>
        <v>11837000</v>
      </c>
      <c r="U28" s="359">
        <f>IFERROR(HLOOKUP(YEAR($B28),'Ing Proyect'!$B$6:$G$12,6,0),0)*$U$2</f>
        <v>5969650</v>
      </c>
      <c r="V28" s="175">
        <v>0</v>
      </c>
      <c r="W28" s="175">
        <f t="shared" si="0"/>
        <v>110253692.86380002</v>
      </c>
      <c r="X28" s="175">
        <f t="shared" si="10"/>
        <v>9139307.136199981</v>
      </c>
      <c r="Y28" s="359">
        <f t="shared" si="1"/>
        <v>0</v>
      </c>
      <c r="Z28" s="175">
        <f t="shared" si="11"/>
        <v>4839121.136199981</v>
      </c>
      <c r="AB28" s="175">
        <f t="shared" si="2"/>
        <v>111000000</v>
      </c>
      <c r="AC28" s="175">
        <f>AE27+(-G28+(VLOOKUP($A28,'Financ 1'!$A$15:$Q$75,17,0)+VLOOKUP($A28,'Financ 2'!$A$15:$Q$75,17,0))+I28+P28-W28+Y28)-AB28</f>
        <v>-10119129.38980031</v>
      </c>
      <c r="AD28" s="175">
        <f>VLOOKUP($B28,'Inv Temp'!$B$7:$I$67,AD$2,0)</f>
        <v>0</v>
      </c>
      <c r="AE28" s="175">
        <f>IF($A28=0,'Inv Inicial'!$D$15,AE27+Z28-AC28*0+AD28)</f>
        <v>106824043.61019969</v>
      </c>
      <c r="AF28" s="175">
        <f t="shared" si="3"/>
        <v>0</v>
      </c>
      <c r="AG28" s="175">
        <f t="shared" si="4"/>
        <v>4175956.3898003101</v>
      </c>
      <c r="AI28" s="175">
        <f>VLOOKUP($A28,'Amort Inv Inic'!$A$7:$U$67,21,0)</f>
        <v>1603471</v>
      </c>
      <c r="AJ28" s="175">
        <f>VLOOKUP($A28,'Amort Inv Adic'!$A$7:$BI$67,54,0)</f>
        <v>825000</v>
      </c>
      <c r="AK28" s="175">
        <f t="shared" si="12"/>
        <v>2428471</v>
      </c>
      <c r="AM28" s="175">
        <f>IFERROR(HLOOKUP(YEAR($B28),'Ing Proyect'!$B$6:$G$12,6,0),0)</f>
        <v>119393000</v>
      </c>
      <c r="AN28" s="175">
        <f>VLOOKUP($B28,'Gtos Consultores'!$B$9:$AI$69,AN$3,0)</f>
        <v>1088696</v>
      </c>
      <c r="AO28" s="175">
        <f>(P28-M28+AM28)-(W28-S28)-K28-AK28-AN28+T28-IFERROR(HLOOKUP(YEAR($B28),'Gastos Proyect'!$B$4:$F$17,14,0),0)</f>
        <v>4265704.136199981</v>
      </c>
      <c r="AP28" s="175">
        <f>SUMIF($C$8:$C28,$C28,$AO$8:$AO28)</f>
        <v>29330622.089599848</v>
      </c>
      <c r="AR28" s="320">
        <f>IFERROR(VLOOKUP(ROUNDUP($A28/12,0),Variables!$B$32:$E$36,4,0),0)</f>
        <v>0</v>
      </c>
      <c r="AS28" s="175">
        <f t="shared" si="13"/>
        <v>0</v>
      </c>
      <c r="AT28" s="320">
        <f>IFERROR(VLOOKUP(ROUNDUP($A28/12,0),Variables!$B$41:$E$45,4,0),0)</f>
        <v>0.09</v>
      </c>
      <c r="AU28" s="175">
        <f t="shared" si="14"/>
        <v>2640000</v>
      </c>
      <c r="AV28" s="359">
        <f t="shared" si="16"/>
        <v>2640000</v>
      </c>
      <c r="AW28" s="175">
        <f t="shared" si="5"/>
        <v>26690622.089599848</v>
      </c>
      <c r="AX28" s="175">
        <f t="shared" si="6"/>
        <v>2640000</v>
      </c>
      <c r="BH28" s="15">
        <f>VLOOKUP($A28,'Financ 1'!$A$15:$Q$75,17,0)+VLOOKUP($A28,'Financ 2'!$A$15:$Q$75,17,0)</f>
        <v>-10243359</v>
      </c>
      <c r="BI28" s="15"/>
    </row>
    <row r="29" spans="1:61" x14ac:dyDescent="0.35">
      <c r="A29" s="18">
        <v>21</v>
      </c>
      <c r="B29" s="184">
        <v>42643</v>
      </c>
      <c r="C29" s="331">
        <f t="shared" si="7"/>
        <v>2016</v>
      </c>
      <c r="D29" s="175">
        <v>0</v>
      </c>
      <c r="E29" s="175">
        <f>IFERROR(HLOOKUP($B29,'Inv Adic'!$D$6:$M$29,13,0),0)</f>
        <v>0</v>
      </c>
      <c r="F29" s="175">
        <f>IFERROR(VLOOKUP($B29,'Inv Temp'!$B$7:$I$67,F$1,0),0)</f>
        <v>0</v>
      </c>
      <c r="G29" s="175">
        <f t="shared" si="8"/>
        <v>0</v>
      </c>
      <c r="H29" s="175">
        <f>VLOOKUP($B29,'Financ Total'!$B$10:$F$70,H$1,0)</f>
        <v>6000000</v>
      </c>
      <c r="I29" s="309">
        <v>0</v>
      </c>
      <c r="J29" s="175">
        <f>VLOOKUP($B29,'Financ Total'!$B$10:$F$70,J$1,0)</f>
        <v>19943750</v>
      </c>
      <c r="K29" s="175">
        <f>VLOOKUP($B29,'Financ Total'!$B$10:$F$70,K$1,0)</f>
        <v>1348181</v>
      </c>
      <c r="L29" s="175">
        <f t="shared" si="9"/>
        <v>-15291931</v>
      </c>
      <c r="M29" s="175">
        <f>IF($M$1=0,IFERROR(HLOOKUP(YEAR($B29),'Ing Proyect'!$B$6:$G$12,6,0),0),IF($M$1=1,IFERROR(HLOOKUP(YEAR($B28),'Ing Proyect'!$B$6:$G$12,6,0),0),IFERROR(HLOOKUP(YEAR($B27),'Ing Proyect'!$B$6:$G$12,6,0),0)))</f>
        <v>119393000</v>
      </c>
      <c r="N29" s="175">
        <f>VLOOKUP($B29,'Inv Temp'!$B$7:$I$67,N$2,0)</f>
        <v>0</v>
      </c>
      <c r="O29" s="175">
        <v>0</v>
      </c>
      <c r="P29" s="175">
        <f t="shared" si="15"/>
        <v>119393000</v>
      </c>
      <c r="Q29" s="175">
        <f>VLOOKUP($B29,'Gtos Consultores'!$B$9:$AH$69,Q$3,0)</f>
        <v>84494659.800000012</v>
      </c>
      <c r="R29" s="175">
        <f>VLOOKUP($B29,'Gtos Consultores'!$B$9:$AH$69,R$3,0)</f>
        <v>7952383.0637999997</v>
      </c>
      <c r="S29" s="175">
        <f>IFERROR(VLOOKUP($B29,'Gtos Consultores'!$B$9:$AH$69,S$3,0),0)</f>
        <v>0</v>
      </c>
      <c r="T29" s="175">
        <f>IF($T$1=0,IFERROR(HLOOKUP(YEAR($B29),'Gastos Proyect'!$B$4:$F$17,14,0),0),IF($T$1=1,IFERROR(HLOOKUP(YEAR($B28),'Gastos Proyect'!$B$4:$F$17,14,0),0),IFERROR(HLOOKUP(YEAR($B27),'Gastos Proyect'!$B$4:$F$17,14,0),0)))</f>
        <v>11837000</v>
      </c>
      <c r="U29" s="359">
        <f>IFERROR(HLOOKUP(YEAR($B29),'Ing Proyect'!$B$6:$G$12,6,0),0)*$U$2</f>
        <v>5969650</v>
      </c>
      <c r="V29" s="175">
        <v>0</v>
      </c>
      <c r="W29" s="175">
        <f t="shared" si="0"/>
        <v>110253692.86380002</v>
      </c>
      <c r="X29" s="175">
        <f t="shared" si="10"/>
        <v>9139307.136199981</v>
      </c>
      <c r="Y29" s="359">
        <f t="shared" si="1"/>
        <v>0</v>
      </c>
      <c r="Z29" s="175">
        <f t="shared" si="11"/>
        <v>-6152623.863800019</v>
      </c>
      <c r="AB29" s="175">
        <f t="shared" si="2"/>
        <v>111000000</v>
      </c>
      <c r="AC29" s="175">
        <f>AE28+(-G29+(VLOOKUP($A29,'Financ 1'!$A$15:$Q$75,17,0)+VLOOKUP($A29,'Financ 2'!$A$15:$Q$75,17,0))+I29+P29-W29+Y29)-AB29</f>
        <v>-5203561.2536003292</v>
      </c>
      <c r="AD29" s="175">
        <f>VLOOKUP($B29,'Inv Temp'!$B$7:$I$67,AD$2,0)</f>
        <v>0</v>
      </c>
      <c r="AE29" s="175">
        <f>IF($A29=0,'Inv Inicial'!$D$15,AE28+Z29-AC29*0+AD29)</f>
        <v>100671419.74639967</v>
      </c>
      <c r="AF29" s="175">
        <f t="shared" si="3"/>
        <v>0</v>
      </c>
      <c r="AG29" s="175">
        <f t="shared" si="4"/>
        <v>10328580.253600329</v>
      </c>
      <c r="AI29" s="175">
        <f>VLOOKUP($A29,'Amort Inv Inic'!$A$7:$U$67,21,0)</f>
        <v>1603475</v>
      </c>
      <c r="AJ29" s="175">
        <f>VLOOKUP($A29,'Amort Inv Adic'!$A$7:$BI$67,54,0)</f>
        <v>825000</v>
      </c>
      <c r="AK29" s="175">
        <f t="shared" si="12"/>
        <v>2428475</v>
      </c>
      <c r="AM29" s="175">
        <f>IFERROR(HLOOKUP(YEAR($B29),'Ing Proyect'!$B$6:$G$12,6,0),0)</f>
        <v>119393000</v>
      </c>
      <c r="AN29" s="175">
        <f>VLOOKUP($B29,'Gtos Consultores'!$B$9:$AI$69,AN$3,0)</f>
        <v>1088696</v>
      </c>
      <c r="AO29" s="175">
        <f>(P29-M29+AM29)-(W29-S29)-K29-AK29-AN29+T29-IFERROR(HLOOKUP(YEAR($B29),'Gastos Proyect'!$B$4:$F$17,14,0),0)</f>
        <v>4273955.136199981</v>
      </c>
      <c r="AP29" s="175">
        <f>SUMIF($C$8:$C29,$C29,$AO$8:$AO29)</f>
        <v>33604577.225799829</v>
      </c>
      <c r="AR29" s="320">
        <f>IFERROR(VLOOKUP(ROUNDUP($A29/12,0),Variables!$B$32:$E$36,4,0),0)</f>
        <v>0</v>
      </c>
      <c r="AS29" s="175">
        <f t="shared" si="13"/>
        <v>0</v>
      </c>
      <c r="AT29" s="320">
        <f>IFERROR(VLOOKUP(ROUNDUP($A29/12,0),Variables!$B$41:$E$45,4,0),0)</f>
        <v>0.09</v>
      </c>
      <c r="AU29" s="175">
        <f t="shared" si="14"/>
        <v>3025000</v>
      </c>
      <c r="AV29" s="359">
        <f t="shared" si="16"/>
        <v>3025000</v>
      </c>
      <c r="AW29" s="175">
        <f t="shared" si="5"/>
        <v>30579577.225799829</v>
      </c>
      <c r="AX29" s="175">
        <f t="shared" si="6"/>
        <v>3025000</v>
      </c>
      <c r="BH29" s="15">
        <f>VLOOKUP($A29,'Financ 1'!$A$15:$Q$75,17,0)+VLOOKUP($A29,'Financ 2'!$A$15:$Q$75,17,0)</f>
        <v>-10166912</v>
      </c>
      <c r="BI29" s="15"/>
    </row>
    <row r="30" spans="1:61" x14ac:dyDescent="0.35">
      <c r="A30" s="18">
        <v>22</v>
      </c>
      <c r="B30" s="184">
        <v>42674</v>
      </c>
      <c r="C30" s="331">
        <f t="shared" si="7"/>
        <v>2016</v>
      </c>
      <c r="D30" s="175">
        <v>0</v>
      </c>
      <c r="E30" s="175">
        <f>IFERROR(HLOOKUP($B30,'Inv Adic'!$D$6:$M$29,13,0),0)</f>
        <v>0</v>
      </c>
      <c r="F30" s="175">
        <f>IFERROR(VLOOKUP($B30,'Inv Temp'!$B$7:$I$67,F$1,0),0)</f>
        <v>0</v>
      </c>
      <c r="G30" s="175">
        <f t="shared" si="8"/>
        <v>0</v>
      </c>
      <c r="H30" s="175">
        <f>VLOOKUP($B30,'Financ Total'!$B$10:$F$70,H$1,0)</f>
        <v>12000000</v>
      </c>
      <c r="I30" s="309">
        <v>0</v>
      </c>
      <c r="J30" s="175">
        <f>VLOOKUP($B30,'Financ Total'!$B$10:$F$70,J$1,0)</f>
        <v>14943750</v>
      </c>
      <c r="K30" s="175">
        <f>VLOOKUP($B30,'Financ Total'!$B$10:$F$70,K$1,0)</f>
        <v>1186523</v>
      </c>
      <c r="L30" s="175">
        <f t="shared" si="9"/>
        <v>-4130273</v>
      </c>
      <c r="M30" s="175">
        <f>IF($M$1=0,IFERROR(HLOOKUP(YEAR($B30),'Ing Proyect'!$B$6:$G$12,6,0),0),IF($M$1=1,IFERROR(HLOOKUP(YEAR($B29),'Ing Proyect'!$B$6:$G$12,6,0),0),IFERROR(HLOOKUP(YEAR($B28),'Ing Proyect'!$B$6:$G$12,6,0),0)))</f>
        <v>119393000</v>
      </c>
      <c r="N30" s="175">
        <f>VLOOKUP($B30,'Inv Temp'!$B$7:$I$67,N$2,0)</f>
        <v>0</v>
      </c>
      <c r="O30" s="175">
        <v>0</v>
      </c>
      <c r="P30" s="175">
        <f t="shared" si="15"/>
        <v>119393000</v>
      </c>
      <c r="Q30" s="175">
        <f>VLOOKUP($B30,'Gtos Consultores'!$B$9:$AH$69,Q$3,0)</f>
        <v>84494659.800000012</v>
      </c>
      <c r="R30" s="175">
        <f>VLOOKUP($B30,'Gtos Consultores'!$B$9:$AH$69,R$3,0)</f>
        <v>7952383.0637999997</v>
      </c>
      <c r="S30" s="175">
        <f>IFERROR(VLOOKUP($B30,'Gtos Consultores'!$B$9:$AH$69,S$3,0),0)</f>
        <v>0</v>
      </c>
      <c r="T30" s="175">
        <f>IF($T$1=0,IFERROR(HLOOKUP(YEAR($B30),'Gastos Proyect'!$B$4:$F$17,14,0),0),IF($T$1=1,IFERROR(HLOOKUP(YEAR($B29),'Gastos Proyect'!$B$4:$F$17,14,0),0),IFERROR(HLOOKUP(YEAR($B28),'Gastos Proyect'!$B$4:$F$17,14,0),0)))</f>
        <v>11837000</v>
      </c>
      <c r="U30" s="359">
        <f>IFERROR(HLOOKUP(YEAR($B30),'Ing Proyect'!$B$6:$G$12,6,0),0)*$U$2</f>
        <v>5969650</v>
      </c>
      <c r="V30" s="175">
        <v>0</v>
      </c>
      <c r="W30" s="175">
        <f t="shared" si="0"/>
        <v>110253692.86380002</v>
      </c>
      <c r="X30" s="175">
        <f t="shared" si="10"/>
        <v>9139307.136199981</v>
      </c>
      <c r="Y30" s="359">
        <f t="shared" si="1"/>
        <v>0</v>
      </c>
      <c r="Z30" s="175">
        <f t="shared" si="11"/>
        <v>5009034.136199981</v>
      </c>
      <c r="AB30" s="175">
        <f t="shared" si="2"/>
        <v>111000000</v>
      </c>
      <c r="AC30" s="175">
        <f>AE29+(-G30+(VLOOKUP($A30,'Financ 1'!$A$15:$Q$75,17,0)+VLOOKUP($A30,'Financ 2'!$A$15:$Q$75,17,0))+I30+P30-W30+Y30)-AB30</f>
        <v>-11252582.117400348</v>
      </c>
      <c r="AD30" s="175">
        <f>VLOOKUP($B30,'Inv Temp'!$B$7:$I$67,AD$2,0)</f>
        <v>0</v>
      </c>
      <c r="AE30" s="175">
        <f>IF($A30=0,'Inv Inicial'!$D$15,AE29+Z30-AC30*0+AD30)</f>
        <v>105680453.88259965</v>
      </c>
      <c r="AF30" s="175">
        <f t="shared" si="3"/>
        <v>0</v>
      </c>
      <c r="AG30" s="175">
        <f t="shared" si="4"/>
        <v>5319546.1174003482</v>
      </c>
      <c r="AI30" s="175">
        <f>VLOOKUP($A30,'Amort Inv Inic'!$A$7:$U$67,21,0)</f>
        <v>1603471</v>
      </c>
      <c r="AJ30" s="175">
        <f>VLOOKUP($A30,'Amort Inv Adic'!$A$7:$BI$67,54,0)</f>
        <v>825000</v>
      </c>
      <c r="AK30" s="175">
        <f t="shared" si="12"/>
        <v>2428471</v>
      </c>
      <c r="AM30" s="175">
        <f>IFERROR(HLOOKUP(YEAR($B30),'Ing Proyect'!$B$6:$G$12,6,0),0)</f>
        <v>119393000</v>
      </c>
      <c r="AN30" s="175">
        <f>VLOOKUP($B30,'Gtos Consultores'!$B$9:$AI$69,AN$3,0)</f>
        <v>1088696</v>
      </c>
      <c r="AO30" s="175">
        <f>(P30-M30+AM30)-(W30-S30)-K30-AK30-AN30+T30-IFERROR(HLOOKUP(YEAR($B30),'Gastos Proyect'!$B$4:$F$17,14,0),0)</f>
        <v>4435617.136199981</v>
      </c>
      <c r="AP30" s="175">
        <f>SUMIF($C$8:$C30,$C30,$AO$8:$AO30)</f>
        <v>38040194.36199981</v>
      </c>
      <c r="AR30" s="320">
        <f>IFERROR(VLOOKUP(ROUNDUP($A30/12,0),Variables!$B$32:$E$36,4,0),0)</f>
        <v>0</v>
      </c>
      <c r="AS30" s="175">
        <f t="shared" si="13"/>
        <v>0</v>
      </c>
      <c r="AT30" s="320">
        <f>IFERROR(VLOOKUP(ROUNDUP($A30/12,0),Variables!$B$41:$E$45,4,0),0)</f>
        <v>0.09</v>
      </c>
      <c r="AU30" s="175">
        <f t="shared" si="14"/>
        <v>3424000</v>
      </c>
      <c r="AV30" s="359">
        <f t="shared" si="16"/>
        <v>3424000</v>
      </c>
      <c r="AW30" s="175">
        <f t="shared" si="5"/>
        <v>34616194.36199981</v>
      </c>
      <c r="AX30" s="175">
        <f t="shared" si="6"/>
        <v>3424000</v>
      </c>
      <c r="BH30" s="15">
        <f>VLOOKUP($A30,'Financ 1'!$A$15:$Q$75,17,0)+VLOOKUP($A30,'Financ 2'!$A$15:$Q$75,17,0)</f>
        <v>-10063309</v>
      </c>
      <c r="BI30" s="15"/>
    </row>
    <row r="31" spans="1:61" x14ac:dyDescent="0.35">
      <c r="A31" s="18">
        <v>23</v>
      </c>
      <c r="B31" s="184">
        <v>42704</v>
      </c>
      <c r="C31" s="331">
        <f t="shared" si="7"/>
        <v>2016</v>
      </c>
      <c r="D31" s="175">
        <v>0</v>
      </c>
      <c r="E31" s="175">
        <f>IFERROR(HLOOKUP($B31,'Inv Adic'!$D$6:$M$29,13,0),0)</f>
        <v>0</v>
      </c>
      <c r="F31" s="175">
        <f>IFERROR(VLOOKUP($B31,'Inv Temp'!$B$7:$I$67,F$1,0),0)</f>
        <v>0</v>
      </c>
      <c r="G31" s="175">
        <f t="shared" si="8"/>
        <v>0</v>
      </c>
      <c r="H31" s="175">
        <f>VLOOKUP($B31,'Financ Total'!$B$10:$F$70,H$1,0)</f>
        <v>10000000</v>
      </c>
      <c r="I31" s="309">
        <v>0</v>
      </c>
      <c r="J31" s="175">
        <f>VLOOKUP($B31,'Financ Total'!$B$10:$F$70,J$1,0)</f>
        <v>20943750</v>
      </c>
      <c r="K31" s="175">
        <f>VLOOKUP($B31,'Financ Total'!$B$10:$F$70,K$1,0)</f>
        <v>1178851</v>
      </c>
      <c r="L31" s="175">
        <f t="shared" si="9"/>
        <v>-12122601</v>
      </c>
      <c r="M31" s="175">
        <f>IF($M$1=0,IFERROR(HLOOKUP(YEAR($B31),'Ing Proyect'!$B$6:$G$12,6,0),0),IF($M$1=1,IFERROR(HLOOKUP(YEAR($B30),'Ing Proyect'!$B$6:$G$12,6,0),0),IFERROR(HLOOKUP(YEAR($B29),'Ing Proyect'!$B$6:$G$12,6,0),0)))</f>
        <v>119393000</v>
      </c>
      <c r="N31" s="175">
        <f>VLOOKUP($B31,'Inv Temp'!$B$7:$I$67,N$2,0)</f>
        <v>0</v>
      </c>
      <c r="O31" s="175">
        <v>0</v>
      </c>
      <c r="P31" s="175">
        <f t="shared" si="15"/>
        <v>119393000</v>
      </c>
      <c r="Q31" s="175">
        <f>VLOOKUP($B31,'Gtos Consultores'!$B$9:$AH$69,Q$3,0)</f>
        <v>84494659.800000012</v>
      </c>
      <c r="R31" s="175">
        <f>VLOOKUP($B31,'Gtos Consultores'!$B$9:$AH$69,R$3,0)</f>
        <v>7952383.0637999997</v>
      </c>
      <c r="S31" s="175">
        <f>IFERROR(VLOOKUP($B31,'Gtos Consultores'!$B$9:$AH$69,S$3,0),0)</f>
        <v>0</v>
      </c>
      <c r="T31" s="175">
        <f>IF($T$1=0,IFERROR(HLOOKUP(YEAR($B31),'Gastos Proyect'!$B$4:$F$17,14,0),0),IF($T$1=1,IFERROR(HLOOKUP(YEAR($B30),'Gastos Proyect'!$B$4:$F$17,14,0),0),IFERROR(HLOOKUP(YEAR($B29),'Gastos Proyect'!$B$4:$F$17,14,0),0)))</f>
        <v>11837000</v>
      </c>
      <c r="U31" s="359">
        <f>IFERROR(HLOOKUP(YEAR($B31),'Ing Proyect'!$B$6:$G$12,6,0),0)*$U$2</f>
        <v>5969650</v>
      </c>
      <c r="V31" s="175">
        <v>0</v>
      </c>
      <c r="W31" s="175">
        <f t="shared" si="0"/>
        <v>110253692.86380002</v>
      </c>
      <c r="X31" s="175">
        <f t="shared" si="10"/>
        <v>9139307.136199981</v>
      </c>
      <c r="Y31" s="359">
        <f t="shared" si="1"/>
        <v>0</v>
      </c>
      <c r="Z31" s="175">
        <f t="shared" si="11"/>
        <v>-2983293.863800019</v>
      </c>
      <c r="AB31" s="175">
        <f t="shared" si="2"/>
        <v>114000000</v>
      </c>
      <c r="AC31" s="175">
        <f>AE30+(-G31+(VLOOKUP($A31,'Financ 1'!$A$15:$Q$75,17,0)+VLOOKUP($A31,'Financ 2'!$A$15:$Q$75,17,0))+I31+P31-W31+Y31)-AB31</f>
        <v>-9168910.9812003672</v>
      </c>
      <c r="AD31" s="175">
        <f>VLOOKUP($B31,'Inv Temp'!$B$7:$I$67,AD$2,0)</f>
        <v>0</v>
      </c>
      <c r="AE31" s="175">
        <f>IF($A31=0,'Inv Inicial'!$D$15,AE30+Z31-AC31*0+AD31)</f>
        <v>102697160.01879963</v>
      </c>
      <c r="AF31" s="175">
        <f t="shared" si="3"/>
        <v>0</v>
      </c>
      <c r="AG31" s="175">
        <f t="shared" si="4"/>
        <v>11302839.981200367</v>
      </c>
      <c r="AI31" s="175">
        <f>VLOOKUP($A31,'Amort Inv Inic'!$A$7:$U$67,21,0)</f>
        <v>1603475</v>
      </c>
      <c r="AJ31" s="175">
        <f>VLOOKUP($A31,'Amort Inv Adic'!$A$7:$BI$67,54,0)</f>
        <v>825000</v>
      </c>
      <c r="AK31" s="175">
        <f t="shared" si="12"/>
        <v>2428475</v>
      </c>
      <c r="AM31" s="175">
        <f>IFERROR(HLOOKUP(YEAR($B31),'Ing Proyect'!$B$6:$G$12,6,0),0)</f>
        <v>119393000</v>
      </c>
      <c r="AN31" s="175">
        <f>VLOOKUP($B31,'Gtos Consultores'!$B$9:$AI$69,AN$3,0)</f>
        <v>1088696</v>
      </c>
      <c r="AO31" s="175">
        <f>(P31-M31+AM31)-(W31-S31)-K31-AK31-AN31+T31-IFERROR(HLOOKUP(YEAR($B31),'Gastos Proyect'!$B$4:$F$17,14,0),0)</f>
        <v>4443285.136199981</v>
      </c>
      <c r="AP31" s="175">
        <f>SUMIF($C$8:$C31,$C31,$AO$8:$AO31)</f>
        <v>42483479.498199791</v>
      </c>
      <c r="AR31" s="320">
        <f>IFERROR(VLOOKUP(ROUNDUP($A31/12,0),Variables!$B$32:$E$36,4,0),0)</f>
        <v>0</v>
      </c>
      <c r="AS31" s="175">
        <f t="shared" si="13"/>
        <v>0</v>
      </c>
      <c r="AT31" s="320">
        <f>IFERROR(VLOOKUP(ROUNDUP($A31/12,0),Variables!$B$41:$E$45,4,0),0)</f>
        <v>0.09</v>
      </c>
      <c r="AU31" s="175">
        <f t="shared" si="14"/>
        <v>3824000</v>
      </c>
      <c r="AV31" s="359">
        <f t="shared" si="16"/>
        <v>3824000</v>
      </c>
      <c r="AW31" s="175">
        <f t="shared" si="5"/>
        <v>38659479.498199791</v>
      </c>
      <c r="AX31" s="175">
        <f t="shared" si="6"/>
        <v>3824000</v>
      </c>
      <c r="BH31" s="15">
        <f>VLOOKUP($A31,'Financ 1'!$A$15:$Q$75,17,0)+VLOOKUP($A31,'Financ 2'!$A$15:$Q$75,17,0)</f>
        <v>-9988672</v>
      </c>
      <c r="BI31" s="15"/>
    </row>
    <row r="32" spans="1:61" x14ac:dyDescent="0.35">
      <c r="A32" s="18">
        <v>24</v>
      </c>
      <c r="B32" s="184">
        <v>42735</v>
      </c>
      <c r="C32" s="331">
        <f t="shared" si="7"/>
        <v>2016</v>
      </c>
      <c r="D32" s="175">
        <v>0</v>
      </c>
      <c r="E32" s="175">
        <f>IFERROR(HLOOKUP($B32,'Inv Adic'!$D$6:$M$29,13,0),0)</f>
        <v>40808000</v>
      </c>
      <c r="F32" s="175">
        <f>IFERROR(VLOOKUP($B32,'Inv Temp'!$B$7:$I$67,F$1,0),0)</f>
        <v>0</v>
      </c>
      <c r="G32" s="175">
        <f t="shared" si="8"/>
        <v>40808000</v>
      </c>
      <c r="H32" s="175">
        <f>VLOOKUP($B32,'Financ Total'!$B$10:$F$70,H$1,0)</f>
        <v>76000000</v>
      </c>
      <c r="I32" s="309">
        <v>0</v>
      </c>
      <c r="J32" s="175">
        <f>VLOOKUP($B32,'Financ Total'!$B$10:$F$70,J$1,0)</f>
        <v>18943750</v>
      </c>
      <c r="K32" s="175">
        <f>VLOOKUP($B32,'Financ Total'!$B$10:$F$70,K$1,0)</f>
        <v>1081892</v>
      </c>
      <c r="L32" s="175">
        <f t="shared" si="9"/>
        <v>55974358</v>
      </c>
      <c r="M32" s="175">
        <f>IF($M$1=0,IFERROR(HLOOKUP(YEAR($B32),'Ing Proyect'!$B$6:$G$12,6,0),0),IF($M$1=1,IFERROR(HLOOKUP(YEAR($B31),'Ing Proyect'!$B$6:$G$12,6,0),0),IFERROR(HLOOKUP(YEAR($B30),'Ing Proyect'!$B$6:$G$12,6,0),0)))</f>
        <v>119393000</v>
      </c>
      <c r="N32" s="175">
        <f>VLOOKUP($B32,'Inv Temp'!$B$7:$I$67,N$2,0)</f>
        <v>0</v>
      </c>
      <c r="O32" s="175">
        <v>0</v>
      </c>
      <c r="P32" s="175">
        <f t="shared" si="15"/>
        <v>119393000</v>
      </c>
      <c r="Q32" s="175">
        <f>VLOOKUP($B32,'Gtos Consultores'!$B$9:$AH$69,Q$3,0)</f>
        <v>84494659.800000012</v>
      </c>
      <c r="R32" s="175">
        <f>VLOOKUP($B32,'Gtos Consultores'!$B$9:$AH$69,R$3,0)</f>
        <v>7952383.0637999997</v>
      </c>
      <c r="S32" s="175">
        <f>IFERROR(VLOOKUP($B32,'Gtos Consultores'!$B$9:$AH$69,S$3,0),0)</f>
        <v>3081215</v>
      </c>
      <c r="T32" s="175">
        <f>IF($T$1=0,IFERROR(HLOOKUP(YEAR($B32),'Gastos Proyect'!$B$4:$F$17,14,0),0),IF($T$1=1,IFERROR(HLOOKUP(YEAR($B31),'Gastos Proyect'!$B$4:$F$17,14,0),0),IFERROR(HLOOKUP(YEAR($B30),'Gastos Proyect'!$B$4:$F$17,14,0),0)))</f>
        <v>11837000</v>
      </c>
      <c r="U32" s="359">
        <f>IFERROR(HLOOKUP(YEAR($B32),'Ing Proyect'!$B$6:$G$12,6,0),0)*$U$2</f>
        <v>5969650</v>
      </c>
      <c r="V32" s="175">
        <v>0</v>
      </c>
      <c r="W32" s="175">
        <f t="shared" si="0"/>
        <v>113334907.86380002</v>
      </c>
      <c r="X32" s="175">
        <f t="shared" si="10"/>
        <v>6058092.136199981</v>
      </c>
      <c r="Y32" s="359">
        <f t="shared" si="1"/>
        <v>0</v>
      </c>
      <c r="Z32" s="175">
        <f t="shared" si="11"/>
        <v>21224450.136199981</v>
      </c>
      <c r="AB32" s="175">
        <f t="shared" si="2"/>
        <v>134000000</v>
      </c>
      <c r="AC32" s="175">
        <f>AE31+(-G32+(VLOOKUP($A32,'Financ 1'!$A$15:$Q$75,17,0)+VLOOKUP($A32,'Financ 2'!$A$15:$Q$75,17,0))+I32+P32-W32+Y32)-AB32</f>
        <v>-75966782.845000386</v>
      </c>
      <c r="AD32" s="175">
        <f>VLOOKUP($B32,'Inv Temp'!$B$7:$I$67,AD$2,0)</f>
        <v>0</v>
      </c>
      <c r="AE32" s="175">
        <f>IF($A32=0,'Inv Inicial'!$D$15,AE31+Z32-AC32*0+AD32)</f>
        <v>123921610.15499961</v>
      </c>
      <c r="AF32" s="175">
        <f t="shared" si="3"/>
        <v>0</v>
      </c>
      <c r="AG32" s="175">
        <f t="shared" si="4"/>
        <v>10078389.845000386</v>
      </c>
      <c r="AI32" s="175">
        <f>VLOOKUP($A32,'Amort Inv Inic'!$A$7:$U$67,21,0)</f>
        <v>1603471</v>
      </c>
      <c r="AJ32" s="175">
        <f>VLOOKUP($A32,'Amort Inv Adic'!$A$7:$BI$67,54,0)</f>
        <v>825000</v>
      </c>
      <c r="AK32" s="175">
        <f t="shared" si="12"/>
        <v>2428471</v>
      </c>
      <c r="AM32" s="175">
        <f>IFERROR(HLOOKUP(YEAR($B32),'Ing Proyect'!$B$6:$G$12,6,0),0)</f>
        <v>119393000</v>
      </c>
      <c r="AN32" s="175">
        <f>VLOOKUP($B32,'Gtos Consultores'!$B$9:$AI$69,AN$3,0)</f>
        <v>1088696</v>
      </c>
      <c r="AO32" s="175">
        <f>(P32-M32+AM32)-(W32-S32)-K32-AK32-AN32+T32-IFERROR(HLOOKUP(YEAR($B32),'Gastos Proyect'!$B$4:$F$17,14,0),0)</f>
        <v>4540248.136199981</v>
      </c>
      <c r="AP32" s="175">
        <f>SUMIF($C$8:$C32,$C32,$AO$8:$AO32)</f>
        <v>47023727.634399772</v>
      </c>
      <c r="AR32" s="320">
        <f>IFERROR(VLOOKUP(ROUNDUP($A32/12,0),Variables!$B$32:$E$36,4,0),0)</f>
        <v>0</v>
      </c>
      <c r="AS32" s="175">
        <f t="shared" si="13"/>
        <v>0</v>
      </c>
      <c r="AT32" s="320">
        <f>IFERROR(VLOOKUP(ROUNDUP($A32/12,0),Variables!$B$41:$E$45,4,0),0)</f>
        <v>0.09</v>
      </c>
      <c r="AU32" s="175">
        <f t="shared" si="14"/>
        <v>4233000</v>
      </c>
      <c r="AV32" s="359">
        <f t="shared" si="16"/>
        <v>4233000</v>
      </c>
      <c r="AW32" s="175">
        <f t="shared" si="5"/>
        <v>42790727.634399772</v>
      </c>
      <c r="AX32" s="175">
        <f t="shared" si="6"/>
        <v>4233000</v>
      </c>
      <c r="BH32" s="15">
        <f>VLOOKUP($A32,'Financ 1'!$A$15:$Q$75,17,0)+VLOOKUP($A32,'Financ 2'!$A$15:$Q$75,17,0)</f>
        <v>-9914035</v>
      </c>
      <c r="BI32" s="15"/>
    </row>
    <row r="33" spans="1:61" x14ac:dyDescent="0.35">
      <c r="A33" s="18">
        <v>25</v>
      </c>
      <c r="B33" s="184">
        <v>42766</v>
      </c>
      <c r="C33" s="331">
        <f t="shared" si="7"/>
        <v>2017</v>
      </c>
      <c r="D33" s="175">
        <v>0</v>
      </c>
      <c r="E33" s="175">
        <f>IFERROR(HLOOKUP($B33,'Inv Adic'!$D$6:$M$29,13,0),0)</f>
        <v>0</v>
      </c>
      <c r="F33" s="175">
        <f>IFERROR(VLOOKUP($B33,'Inv Temp'!$B$7:$I$67,F$1,0),0)</f>
        <v>0</v>
      </c>
      <c r="G33" s="175">
        <f t="shared" si="8"/>
        <v>0</v>
      </c>
      <c r="H33" s="175">
        <f>VLOOKUP($B33,'Financ Total'!$B$10:$F$70,H$1,0)</f>
        <v>28000000</v>
      </c>
      <c r="I33" s="309">
        <v>0</v>
      </c>
      <c r="J33" s="175">
        <f>VLOOKUP($B33,'Financ Total'!$B$10:$F$70,J$1,0)</f>
        <v>84943750</v>
      </c>
      <c r="K33" s="175">
        <f>VLOOKUP($B33,'Financ Total'!$B$10:$F$70,K$1,0)</f>
        <v>1781141</v>
      </c>
      <c r="L33" s="175">
        <f t="shared" si="9"/>
        <v>-58724891</v>
      </c>
      <c r="M33" s="175">
        <f>IF($M$1=0,IFERROR(HLOOKUP(YEAR($B33),'Ing Proyect'!$B$6:$G$12,6,0),0),IF($M$1=1,IFERROR(HLOOKUP(YEAR($B32),'Ing Proyect'!$B$6:$G$12,6,0),0),IFERROR(HLOOKUP(YEAR($B31),'Ing Proyect'!$B$6:$G$12,6,0),0)))</f>
        <v>119393000</v>
      </c>
      <c r="N33" s="175">
        <f>VLOOKUP($B33,'Inv Temp'!$B$7:$I$67,N$2,0)</f>
        <v>0</v>
      </c>
      <c r="O33" s="175">
        <v>0</v>
      </c>
      <c r="P33" s="175">
        <f t="shared" si="15"/>
        <v>119393000</v>
      </c>
      <c r="Q33" s="175">
        <f>VLOOKUP($B33,'Gtos Consultores'!$B$9:$AH$69,Q$3,0)</f>
        <v>98123198.200000003</v>
      </c>
      <c r="R33" s="175">
        <f>VLOOKUP($B33,'Gtos Consultores'!$B$9:$AH$69,R$3,0)</f>
        <v>9464665.9038749989</v>
      </c>
      <c r="S33" s="175">
        <f>IFERROR(VLOOKUP($B33,'Gtos Consultores'!$B$9:$AH$69,S$3,0),0)</f>
        <v>6901921</v>
      </c>
      <c r="T33" s="175">
        <f>IF($T$1=0,IFERROR(HLOOKUP(YEAR($B33),'Gastos Proyect'!$B$4:$F$17,14,0),0),IF($T$1=1,IFERROR(HLOOKUP(YEAR($B32),'Gastos Proyect'!$B$4:$F$17,14,0),0),IFERROR(HLOOKUP(YEAR($B31),'Gastos Proyect'!$B$4:$F$17,14,0),0)))</f>
        <v>12193000</v>
      </c>
      <c r="U33" s="359">
        <f>IFERROR(HLOOKUP(YEAR($B33),'Ing Proyect'!$B$6:$G$12,6,0),0)*$U$2</f>
        <v>6835900</v>
      </c>
      <c r="V33" s="175">
        <v>0</v>
      </c>
      <c r="W33" s="175">
        <f t="shared" si="0"/>
        <v>133518685.103875</v>
      </c>
      <c r="X33" s="175">
        <f t="shared" si="10"/>
        <v>-14125685.103874996</v>
      </c>
      <c r="Y33" s="359">
        <f t="shared" si="1"/>
        <v>0</v>
      </c>
      <c r="Z33" s="175">
        <f t="shared" si="11"/>
        <v>-72850576.103874996</v>
      </c>
      <c r="AB33" s="175">
        <f t="shared" si="2"/>
        <v>127000000</v>
      </c>
      <c r="AC33" s="175">
        <f>AE32+(-G33+(VLOOKUP($A33,'Financ 1'!$A$15:$Q$75,17,0)+VLOOKUP($A33,'Financ 2'!$A$15:$Q$75,17,0))+I33+P33-W33+Y33)-AB33</f>
        <v>-27065195.948875383</v>
      </c>
      <c r="AD33" s="175">
        <f>VLOOKUP($B33,'Inv Temp'!$B$7:$I$67,AD$2,0)</f>
        <v>0</v>
      </c>
      <c r="AE33" s="175">
        <f>IF($A33=0,'Inv Inicial'!$D$15,AE32+Z33-AC33*0+AD33)</f>
        <v>51071034.051124617</v>
      </c>
      <c r="AF33" s="175">
        <f t="shared" si="3"/>
        <v>0</v>
      </c>
      <c r="AG33" s="175">
        <f t="shared" si="4"/>
        <v>75928965.948875383</v>
      </c>
      <c r="AI33" s="175">
        <f>VLOOKUP($A33,'Amort Inv Inic'!$A$7:$U$67,21,0)</f>
        <v>722225</v>
      </c>
      <c r="AJ33" s="175">
        <f>VLOOKUP($A33,'Amort Inv Adic'!$A$7:$BI$67,54,0)</f>
        <v>2208347</v>
      </c>
      <c r="AK33" s="175">
        <f t="shared" si="12"/>
        <v>2930572</v>
      </c>
      <c r="AM33" s="175">
        <f>IFERROR(HLOOKUP(YEAR($B33),'Ing Proyect'!$B$6:$G$12,6,0),0)</f>
        <v>136718000</v>
      </c>
      <c r="AN33" s="175">
        <f>VLOOKUP($B33,'Gtos Consultores'!$B$9:$AI$69,AN$3,0)</f>
        <v>1191194</v>
      </c>
      <c r="AO33" s="175">
        <f>(P33-M33+AM33)-(W33-S33)-K33-AK33-AN33+T33-IFERROR(HLOOKUP(YEAR($B33),'Gastos Proyect'!$B$4:$F$17,14,0),0)</f>
        <v>4198328.8961250037</v>
      </c>
      <c r="AP33" s="175">
        <f>SUMIF($C$8:$C33,$C33,$AO$8:$AO33)</f>
        <v>4198328.8961250037</v>
      </c>
      <c r="AR33" s="320">
        <f>IFERROR(VLOOKUP(ROUNDUP($A33/12,0),Variables!$B$32:$E$36,4,0),0)</f>
        <v>6.25E-2</v>
      </c>
      <c r="AS33" s="175">
        <f t="shared" si="13"/>
        <v>263000</v>
      </c>
      <c r="AT33" s="320">
        <f>IFERROR(VLOOKUP(ROUNDUP($A33/12,0),Variables!$B$41:$E$45,4,0),0)</f>
        <v>0.09</v>
      </c>
      <c r="AU33" s="175">
        <f t="shared" si="14"/>
        <v>378000</v>
      </c>
      <c r="AV33" s="359">
        <f t="shared" si="16"/>
        <v>641000</v>
      </c>
      <c r="AW33" s="175">
        <f t="shared" si="5"/>
        <v>3557328.8961250037</v>
      </c>
      <c r="AX33" s="175">
        <f t="shared" si="6"/>
        <v>4874000</v>
      </c>
      <c r="BH33" s="15">
        <f>VLOOKUP($A33,'Financ 1'!$A$15:$Q$75,17,0)+VLOOKUP($A33,'Financ 2'!$A$15:$Q$75,17,0)</f>
        <v>-9861121</v>
      </c>
      <c r="BI33" s="15"/>
    </row>
    <row r="34" spans="1:61" x14ac:dyDescent="0.35">
      <c r="A34" s="18">
        <v>26</v>
      </c>
      <c r="B34" s="184">
        <v>42794</v>
      </c>
      <c r="C34" s="331">
        <f t="shared" si="7"/>
        <v>2017</v>
      </c>
      <c r="D34" s="175">
        <v>0</v>
      </c>
      <c r="E34" s="175">
        <f>IFERROR(HLOOKUP($B34,'Inv Adic'!$D$6:$M$29,13,0),0)</f>
        <v>0</v>
      </c>
      <c r="F34" s="175">
        <f>IFERROR(VLOOKUP($B34,'Inv Temp'!$B$7:$I$67,F$1,0),0)</f>
        <v>0</v>
      </c>
      <c r="G34" s="175">
        <f t="shared" si="8"/>
        <v>0</v>
      </c>
      <c r="H34" s="175">
        <f>VLOOKUP($B34,'Financ Total'!$B$10:$F$70,H$1,0)</f>
        <v>76000000</v>
      </c>
      <c r="I34" s="309">
        <v>0</v>
      </c>
      <c r="J34" s="175">
        <f>VLOOKUP($B34,'Financ Total'!$B$10:$F$70,J$1,0)</f>
        <v>36943750</v>
      </c>
      <c r="K34" s="175">
        <f>VLOOKUP($B34,'Financ Total'!$B$10:$F$70,K$1,0)</f>
        <v>1159155</v>
      </c>
      <c r="L34" s="175">
        <f t="shared" si="9"/>
        <v>37897095</v>
      </c>
      <c r="M34" s="175">
        <f>IF($M$1=0,IFERROR(HLOOKUP(YEAR($B34),'Ing Proyect'!$B$6:$G$12,6,0),0),IF($M$1=1,IFERROR(HLOOKUP(YEAR($B33),'Ing Proyect'!$B$6:$G$12,6,0),0),IFERROR(HLOOKUP(YEAR($B32),'Ing Proyect'!$B$6:$G$12,6,0),0)))</f>
        <v>136718000</v>
      </c>
      <c r="N34" s="175">
        <f>VLOOKUP($B34,'Inv Temp'!$B$7:$I$67,N$2,0)</f>
        <v>0</v>
      </c>
      <c r="O34" s="175">
        <v>0</v>
      </c>
      <c r="P34" s="175">
        <f t="shared" si="15"/>
        <v>136718000</v>
      </c>
      <c r="Q34" s="175">
        <f>VLOOKUP($B34,'Gtos Consultores'!$B$9:$AH$69,Q$3,0)</f>
        <v>98123198.200000003</v>
      </c>
      <c r="R34" s="175">
        <f>VLOOKUP($B34,'Gtos Consultores'!$B$9:$AH$69,R$3,0)</f>
        <v>9464665.9038749989</v>
      </c>
      <c r="S34" s="175">
        <f>IFERROR(VLOOKUP($B34,'Gtos Consultores'!$B$9:$AH$69,S$3,0),0)</f>
        <v>0</v>
      </c>
      <c r="T34" s="175">
        <f>IF($T$1=0,IFERROR(HLOOKUP(YEAR($B34),'Gastos Proyect'!$B$4:$F$17,14,0),0),IF($T$1=1,IFERROR(HLOOKUP(YEAR($B33),'Gastos Proyect'!$B$4:$F$17,14,0),0),IFERROR(HLOOKUP(YEAR($B32),'Gastos Proyect'!$B$4:$F$17,14,0),0)))</f>
        <v>12193000</v>
      </c>
      <c r="U34" s="359">
        <f>IFERROR(HLOOKUP(YEAR($B34),'Ing Proyect'!$B$6:$G$12,6,0),0)*$U$2</f>
        <v>6835900</v>
      </c>
      <c r="V34" s="175">
        <v>0</v>
      </c>
      <c r="W34" s="175">
        <f t="shared" si="0"/>
        <v>126616764.103875</v>
      </c>
      <c r="X34" s="175">
        <f t="shared" si="10"/>
        <v>10101235.896125004</v>
      </c>
      <c r="Y34" s="359">
        <f t="shared" si="1"/>
        <v>0</v>
      </c>
      <c r="Z34" s="175">
        <f t="shared" si="11"/>
        <v>47998330.896125004</v>
      </c>
      <c r="AB34" s="175">
        <f t="shared" si="2"/>
        <v>127000000</v>
      </c>
      <c r="AC34" s="175">
        <f>AE33+(-G34+(VLOOKUP($A34,'Financ 1'!$A$15:$Q$75,17,0)+VLOOKUP($A34,'Financ 2'!$A$15:$Q$75,17,0))+I34+P34-W34+Y34)-AB34</f>
        <v>-75612404.052750379</v>
      </c>
      <c r="AD34" s="175">
        <f>VLOOKUP($B34,'Inv Temp'!$B$7:$I$67,AD$2,0)</f>
        <v>0</v>
      </c>
      <c r="AE34" s="175">
        <f>IF($A34=0,'Inv Inicial'!$D$15,AE33+Z34-AC34*0+AD34)</f>
        <v>99069364.947249621</v>
      </c>
      <c r="AF34" s="175">
        <f t="shared" si="3"/>
        <v>0</v>
      </c>
      <c r="AG34" s="175">
        <f t="shared" si="4"/>
        <v>27930635.052750379</v>
      </c>
      <c r="AI34" s="175">
        <f>VLOOKUP($A34,'Amort Inv Inic'!$A$7:$U$67,21,0)</f>
        <v>722221</v>
      </c>
      <c r="AJ34" s="175">
        <f>VLOOKUP($A34,'Amort Inv Adic'!$A$7:$BI$67,54,0)</f>
        <v>2208347</v>
      </c>
      <c r="AK34" s="175">
        <f t="shared" si="12"/>
        <v>2930568</v>
      </c>
      <c r="AM34" s="175">
        <f>IFERROR(HLOOKUP(YEAR($B34),'Ing Proyect'!$B$6:$G$12,6,0),0)</f>
        <v>136718000</v>
      </c>
      <c r="AN34" s="175">
        <f>VLOOKUP($B34,'Gtos Consultores'!$B$9:$AI$69,AN$3,0)</f>
        <v>1191194</v>
      </c>
      <c r="AO34" s="175">
        <f>(P34-M34+AM34)-(W34-S34)-K34-AK34-AN34+T34-IFERROR(HLOOKUP(YEAR($B34),'Gastos Proyect'!$B$4:$F$17,14,0),0)</f>
        <v>4820318.8961250037</v>
      </c>
      <c r="AP34" s="175">
        <f>SUMIF($C$8:$C34,$C34,$AO$8:$AO34)</f>
        <v>9018647.7922500074</v>
      </c>
      <c r="AR34" s="320">
        <f>IFERROR(VLOOKUP(ROUNDUP($A34/12,0),Variables!$B$32:$E$36,4,0),0)</f>
        <v>6.25E-2</v>
      </c>
      <c r="AS34" s="175">
        <f t="shared" si="13"/>
        <v>564000</v>
      </c>
      <c r="AT34" s="320">
        <f>IFERROR(VLOOKUP(ROUNDUP($A34/12,0),Variables!$B$41:$E$45,4,0),0)</f>
        <v>0.09</v>
      </c>
      <c r="AU34" s="175">
        <f t="shared" si="14"/>
        <v>812000</v>
      </c>
      <c r="AV34" s="359">
        <f t="shared" si="16"/>
        <v>1376000</v>
      </c>
      <c r="AW34" s="175">
        <f t="shared" si="5"/>
        <v>7642647.7922500074</v>
      </c>
      <c r="AX34" s="175">
        <f t="shared" si="6"/>
        <v>5609000</v>
      </c>
      <c r="BH34" s="15">
        <f>VLOOKUP($A34,'Financ 1'!$A$15:$Q$75,17,0)+VLOOKUP($A34,'Financ 2'!$A$15:$Q$75,17,0)</f>
        <v>-9784674</v>
      </c>
      <c r="BI34" s="15"/>
    </row>
    <row r="35" spans="1:61" x14ac:dyDescent="0.35">
      <c r="A35" s="18">
        <v>27</v>
      </c>
      <c r="B35" s="184">
        <v>42825</v>
      </c>
      <c r="C35" s="331">
        <f t="shared" si="7"/>
        <v>2017</v>
      </c>
      <c r="D35" s="175">
        <v>0</v>
      </c>
      <c r="E35" s="175">
        <f>IFERROR(HLOOKUP($B35,'Inv Adic'!$D$6:$M$29,13,0),0)</f>
        <v>0</v>
      </c>
      <c r="F35" s="175">
        <f>IFERROR(VLOOKUP($B35,'Inv Temp'!$B$7:$I$67,F$1,0),0)</f>
        <v>0</v>
      </c>
      <c r="G35" s="175">
        <f t="shared" si="8"/>
        <v>0</v>
      </c>
      <c r="H35" s="175">
        <f>VLOOKUP($B35,'Financ Total'!$B$10:$F$70,H$1,0)</f>
        <v>28000000</v>
      </c>
      <c r="I35" s="309">
        <v>0</v>
      </c>
      <c r="J35" s="175">
        <f>VLOOKUP($B35,'Financ Total'!$B$10:$F$70,J$1,0)</f>
        <v>84943750</v>
      </c>
      <c r="K35" s="175">
        <f>VLOOKUP($B35,'Financ Total'!$B$10:$F$70,K$1,0)</f>
        <v>1628246</v>
      </c>
      <c r="L35" s="175">
        <f t="shared" si="9"/>
        <v>-58571996</v>
      </c>
      <c r="M35" s="175">
        <f>IF($M$1=0,IFERROR(HLOOKUP(YEAR($B35),'Ing Proyect'!$B$6:$G$12,6,0),0),IF($M$1=1,IFERROR(HLOOKUP(YEAR($B34),'Ing Proyect'!$B$6:$G$12,6,0),0),IFERROR(HLOOKUP(YEAR($B33),'Ing Proyect'!$B$6:$G$12,6,0),0)))</f>
        <v>136718000</v>
      </c>
      <c r="N35" s="175">
        <f>VLOOKUP($B35,'Inv Temp'!$B$7:$I$67,N$2,0)</f>
        <v>0</v>
      </c>
      <c r="O35" s="175">
        <v>0</v>
      </c>
      <c r="P35" s="175">
        <f t="shared" si="15"/>
        <v>136718000</v>
      </c>
      <c r="Q35" s="175">
        <f>VLOOKUP($B35,'Gtos Consultores'!$B$9:$AH$69,Q$3,0)</f>
        <v>98123198.200000003</v>
      </c>
      <c r="R35" s="175">
        <f>VLOOKUP($B35,'Gtos Consultores'!$B$9:$AH$69,R$3,0)</f>
        <v>9464665.9038749989</v>
      </c>
      <c r="S35" s="175">
        <f>IFERROR(VLOOKUP($B35,'Gtos Consultores'!$B$9:$AH$69,S$3,0),0)</f>
        <v>0</v>
      </c>
      <c r="T35" s="175">
        <f>IF($T$1=0,IFERROR(HLOOKUP(YEAR($B35),'Gastos Proyect'!$B$4:$F$17,14,0),0),IF($T$1=1,IFERROR(HLOOKUP(YEAR($B34),'Gastos Proyect'!$B$4:$F$17,14,0),0),IFERROR(HLOOKUP(YEAR($B33),'Gastos Proyect'!$B$4:$F$17,14,0),0)))</f>
        <v>12193000</v>
      </c>
      <c r="U35" s="359">
        <f>IFERROR(HLOOKUP(YEAR($B35),'Ing Proyect'!$B$6:$G$12,6,0),0)*$U$2</f>
        <v>6835900</v>
      </c>
      <c r="V35" s="175">
        <v>0</v>
      </c>
      <c r="W35" s="175">
        <f t="shared" si="0"/>
        <v>126616764.103875</v>
      </c>
      <c r="X35" s="175">
        <f t="shared" si="10"/>
        <v>10101235.896125004</v>
      </c>
      <c r="Y35" s="359">
        <f t="shared" si="1"/>
        <v>0</v>
      </c>
      <c r="Z35" s="175">
        <f t="shared" si="11"/>
        <v>-48470760.103874996</v>
      </c>
      <c r="AB35" s="175">
        <f t="shared" si="2"/>
        <v>127000000</v>
      </c>
      <c r="AC35" s="175">
        <f>AE34+(-G35+(VLOOKUP($A35,'Financ 1'!$A$15:$Q$75,17,0)+VLOOKUP($A35,'Financ 2'!$A$15:$Q$75,17,0))+I35+P35-W35+Y35)-AB35</f>
        <v>-27537625.156625375</v>
      </c>
      <c r="AD35" s="175">
        <f>VLOOKUP($B35,'Inv Temp'!$B$7:$I$67,AD$2,0)</f>
        <v>0</v>
      </c>
      <c r="AE35" s="175">
        <f>IF($A35=0,'Inv Inicial'!$D$15,AE34+Z35-AC35*0+AD35)</f>
        <v>50598604.843374625</v>
      </c>
      <c r="AF35" s="175">
        <f t="shared" si="3"/>
        <v>0</v>
      </c>
      <c r="AG35" s="175">
        <f t="shared" si="4"/>
        <v>76401395.156625375</v>
      </c>
      <c r="AI35" s="175">
        <f>VLOOKUP($A35,'Amort Inv Inic'!$A$7:$U$67,21,0)</f>
        <v>722225</v>
      </c>
      <c r="AJ35" s="175">
        <f>VLOOKUP($A35,'Amort Inv Adic'!$A$7:$BI$67,54,0)</f>
        <v>2208347</v>
      </c>
      <c r="AK35" s="175">
        <f t="shared" si="12"/>
        <v>2930572</v>
      </c>
      <c r="AM35" s="175">
        <f>IFERROR(HLOOKUP(YEAR($B35),'Ing Proyect'!$B$6:$G$12,6,0),0)</f>
        <v>136718000</v>
      </c>
      <c r="AN35" s="175">
        <f>VLOOKUP($B35,'Gtos Consultores'!$B$9:$AI$69,AN$3,0)</f>
        <v>1191194</v>
      </c>
      <c r="AO35" s="175">
        <f>(P35-M35+AM35)-(W35-S35)-K35-AK35-AN35+T35-IFERROR(HLOOKUP(YEAR($B35),'Gastos Proyect'!$B$4:$F$17,14,0),0)</f>
        <v>4351223.8961250037</v>
      </c>
      <c r="AP35" s="175">
        <f>SUMIF($C$8:$C35,$C35,$AO$8:$AO35)</f>
        <v>13369871.688375011</v>
      </c>
      <c r="AR35" s="320">
        <f>IFERROR(VLOOKUP(ROUNDUP($A35/12,0),Variables!$B$32:$E$36,4,0),0)</f>
        <v>6.25E-2</v>
      </c>
      <c r="AS35" s="175">
        <f t="shared" si="13"/>
        <v>836000</v>
      </c>
      <c r="AT35" s="320">
        <f>IFERROR(VLOOKUP(ROUNDUP($A35/12,0),Variables!$B$41:$E$45,4,0),0)</f>
        <v>0.09</v>
      </c>
      <c r="AU35" s="175">
        <f t="shared" si="14"/>
        <v>1204000</v>
      </c>
      <c r="AV35" s="359">
        <f t="shared" si="16"/>
        <v>2040000</v>
      </c>
      <c r="AW35" s="175">
        <f t="shared" si="5"/>
        <v>11329871.688375011</v>
      </c>
      <c r="AX35" s="175">
        <f t="shared" si="6"/>
        <v>6273000</v>
      </c>
      <c r="BH35" s="15">
        <f>VLOOKUP($A35,'Financ 1'!$A$15:$Q$75,17,0)+VLOOKUP($A35,'Financ 2'!$A$15:$Q$75,17,0)</f>
        <v>-9708226</v>
      </c>
      <c r="BI35" s="15"/>
    </row>
    <row r="36" spans="1:61" x14ac:dyDescent="0.35">
      <c r="A36" s="18">
        <v>28</v>
      </c>
      <c r="B36" s="184">
        <v>42855</v>
      </c>
      <c r="C36" s="331">
        <f t="shared" si="7"/>
        <v>2017</v>
      </c>
      <c r="D36" s="175">
        <v>0</v>
      </c>
      <c r="E36" s="175">
        <f>IFERROR(HLOOKUP($B36,'Inv Adic'!$D$6:$M$29,13,0),0)</f>
        <v>0</v>
      </c>
      <c r="F36" s="175">
        <f>IFERROR(VLOOKUP($B36,'Inv Temp'!$B$7:$I$67,F$1,0),0)</f>
        <v>0</v>
      </c>
      <c r="G36" s="175">
        <f t="shared" si="8"/>
        <v>0</v>
      </c>
      <c r="H36" s="175">
        <f>VLOOKUP($B36,'Financ Total'!$B$10:$F$70,H$1,0)</f>
        <v>79000000</v>
      </c>
      <c r="I36" s="309">
        <v>0</v>
      </c>
      <c r="J36" s="175">
        <f>VLOOKUP($B36,'Financ Total'!$B$10:$F$70,J$1,0)</f>
        <v>36943750</v>
      </c>
      <c r="K36" s="175">
        <f>VLOOKUP($B36,'Financ Total'!$B$10:$F$70,K$1,0)</f>
        <v>984236</v>
      </c>
      <c r="L36" s="175">
        <f t="shared" si="9"/>
        <v>41072014</v>
      </c>
      <c r="M36" s="175">
        <f>IF($M$1=0,IFERROR(HLOOKUP(YEAR($B36),'Ing Proyect'!$B$6:$G$12,6,0),0),IF($M$1=1,IFERROR(HLOOKUP(YEAR($B35),'Ing Proyect'!$B$6:$G$12,6,0),0),IFERROR(HLOOKUP(YEAR($B34),'Ing Proyect'!$B$6:$G$12,6,0),0)))</f>
        <v>136718000</v>
      </c>
      <c r="N36" s="175">
        <f>VLOOKUP($B36,'Inv Temp'!$B$7:$I$67,N$2,0)</f>
        <v>0</v>
      </c>
      <c r="O36" s="175">
        <v>0</v>
      </c>
      <c r="P36" s="175">
        <f t="shared" si="15"/>
        <v>136718000</v>
      </c>
      <c r="Q36" s="175">
        <f>VLOOKUP($B36,'Gtos Consultores'!$B$9:$AH$69,Q$3,0)</f>
        <v>98123198.200000003</v>
      </c>
      <c r="R36" s="175">
        <f>VLOOKUP($B36,'Gtos Consultores'!$B$9:$AH$69,R$3,0)</f>
        <v>9464665.9038749989</v>
      </c>
      <c r="S36" s="175">
        <f>IFERROR(VLOOKUP($B36,'Gtos Consultores'!$B$9:$AH$69,S$3,0),0)</f>
        <v>0</v>
      </c>
      <c r="T36" s="175">
        <f>IF($T$1=0,IFERROR(HLOOKUP(YEAR($B36),'Gastos Proyect'!$B$4:$F$17,14,0),0),IF($T$1=1,IFERROR(HLOOKUP(YEAR($B35),'Gastos Proyect'!$B$4:$F$17,14,0),0),IFERROR(HLOOKUP(YEAR($B34),'Gastos Proyect'!$B$4:$F$17,14,0),0)))</f>
        <v>12193000</v>
      </c>
      <c r="U36" s="359">
        <f>IFERROR(HLOOKUP(YEAR($B36),'Ing Proyect'!$B$6:$G$12,6,0),0)*$U$2</f>
        <v>6835900</v>
      </c>
      <c r="V36" s="175">
        <v>0</v>
      </c>
      <c r="W36" s="175">
        <f t="shared" si="0"/>
        <v>126616764.103875</v>
      </c>
      <c r="X36" s="175">
        <f t="shared" si="10"/>
        <v>10101235.896125004</v>
      </c>
      <c r="Y36" s="359">
        <f t="shared" si="1"/>
        <v>-2116500</v>
      </c>
      <c r="Z36" s="175">
        <f t="shared" si="11"/>
        <v>49056749.896125004</v>
      </c>
      <c r="AB36" s="175">
        <f t="shared" si="2"/>
        <v>127000000</v>
      </c>
      <c r="AC36" s="175">
        <f>AE35+(-G36+(VLOOKUP($A36,'Financ 1'!$A$15:$Q$75,17,0)+VLOOKUP($A36,'Financ 2'!$A$15:$Q$75,17,0))+I36+P36-W36+Y36)-AB36</f>
        <v>-78032145.260500371</v>
      </c>
      <c r="AD36" s="175">
        <f>VLOOKUP($B36,'Inv Temp'!$B$7:$I$67,AD$2,0)</f>
        <v>0</v>
      </c>
      <c r="AE36" s="175">
        <f>IF($A36=0,'Inv Inicial'!$D$15,AE35+Z36-AC36*0+AD36)</f>
        <v>99655354.739499629</v>
      </c>
      <c r="AF36" s="175">
        <f t="shared" si="3"/>
        <v>0</v>
      </c>
      <c r="AG36" s="175">
        <f t="shared" si="4"/>
        <v>27344645.260500371</v>
      </c>
      <c r="AI36" s="175">
        <f>VLOOKUP($A36,'Amort Inv Inic'!$A$7:$U$67,21,0)</f>
        <v>722221</v>
      </c>
      <c r="AJ36" s="175">
        <f>VLOOKUP($A36,'Amort Inv Adic'!$A$7:$BI$67,54,0)</f>
        <v>2208347</v>
      </c>
      <c r="AK36" s="175">
        <f t="shared" si="12"/>
        <v>2930568</v>
      </c>
      <c r="AM36" s="175">
        <f>IFERROR(HLOOKUP(YEAR($B36),'Ing Proyect'!$B$6:$G$12,6,0),0)</f>
        <v>136718000</v>
      </c>
      <c r="AN36" s="175">
        <f>VLOOKUP($B36,'Gtos Consultores'!$B$9:$AI$69,AN$3,0)</f>
        <v>1191194</v>
      </c>
      <c r="AO36" s="175">
        <f>(P36-M36+AM36)-(W36-S36)-K36-AK36-AN36+T36-IFERROR(HLOOKUP(YEAR($B36),'Gastos Proyect'!$B$4:$F$17,14,0),0)</f>
        <v>4995237.8961250037</v>
      </c>
      <c r="AP36" s="175">
        <f>SUMIF($C$8:$C36,$C36,$AO$8:$AO36)</f>
        <v>18365109.584500015</v>
      </c>
      <c r="AR36" s="320">
        <f>IFERROR(VLOOKUP(ROUNDUP($A36/12,0),Variables!$B$32:$E$36,4,0),0)</f>
        <v>6.25E-2</v>
      </c>
      <c r="AS36" s="175">
        <f t="shared" si="13"/>
        <v>1148000</v>
      </c>
      <c r="AT36" s="320">
        <f>IFERROR(VLOOKUP(ROUNDUP($A36/12,0),Variables!$B$41:$E$45,4,0),0)</f>
        <v>0.09</v>
      </c>
      <c r="AU36" s="175">
        <f t="shared" si="14"/>
        <v>1653000</v>
      </c>
      <c r="AV36" s="359">
        <f t="shared" si="16"/>
        <v>2801000</v>
      </c>
      <c r="AW36" s="175">
        <f t="shared" si="5"/>
        <v>15564109.584500015</v>
      </c>
      <c r="AX36" s="175">
        <f t="shared" si="6"/>
        <v>4917500</v>
      </c>
      <c r="BH36" s="15">
        <f>VLOOKUP($A36,'Financ 1'!$A$15:$Q$75,17,0)+VLOOKUP($A36,'Financ 2'!$A$15:$Q$75,17,0)</f>
        <v>-9615486</v>
      </c>
      <c r="BI36" s="15"/>
    </row>
    <row r="37" spans="1:61" x14ac:dyDescent="0.35">
      <c r="A37" s="18">
        <v>29</v>
      </c>
      <c r="B37" s="184">
        <v>42886</v>
      </c>
      <c r="C37" s="331">
        <f t="shared" si="7"/>
        <v>2017</v>
      </c>
      <c r="D37" s="175">
        <v>0</v>
      </c>
      <c r="E37" s="175">
        <f>IFERROR(HLOOKUP($B37,'Inv Adic'!$D$6:$M$29,13,0),0)</f>
        <v>0</v>
      </c>
      <c r="F37" s="175">
        <f>IFERROR(VLOOKUP($B37,'Inv Temp'!$B$7:$I$67,F$1,0),0)</f>
        <v>0</v>
      </c>
      <c r="G37" s="175">
        <f t="shared" si="8"/>
        <v>0</v>
      </c>
      <c r="H37" s="175">
        <f>VLOOKUP($B37,'Financ Total'!$B$10:$F$70,H$1,0)</f>
        <v>30000000</v>
      </c>
      <c r="I37" s="309">
        <v>0</v>
      </c>
      <c r="J37" s="175">
        <f>VLOOKUP($B37,'Financ Total'!$B$10:$F$70,J$1,0)</f>
        <v>87943750</v>
      </c>
      <c r="K37" s="175">
        <f>VLOOKUP($B37,'Financ Total'!$B$10:$F$70,K$1,0)</f>
        <v>1478795</v>
      </c>
      <c r="L37" s="175">
        <f t="shared" si="9"/>
        <v>-59422545</v>
      </c>
      <c r="M37" s="175">
        <f>IF($M$1=0,IFERROR(HLOOKUP(YEAR($B37),'Ing Proyect'!$B$6:$G$12,6,0),0),IF($M$1=1,IFERROR(HLOOKUP(YEAR($B36),'Ing Proyect'!$B$6:$G$12,6,0),0),IFERROR(HLOOKUP(YEAR($B35),'Ing Proyect'!$B$6:$G$12,6,0),0)))</f>
        <v>136718000</v>
      </c>
      <c r="N37" s="175">
        <f>VLOOKUP($B37,'Inv Temp'!$B$7:$I$67,N$2,0)</f>
        <v>0</v>
      </c>
      <c r="O37" s="175">
        <v>0</v>
      </c>
      <c r="P37" s="175">
        <f t="shared" si="15"/>
        <v>136718000</v>
      </c>
      <c r="Q37" s="175">
        <f>VLOOKUP($B37,'Gtos Consultores'!$B$9:$AH$69,Q$3,0)</f>
        <v>98123198.200000003</v>
      </c>
      <c r="R37" s="175">
        <f>VLOOKUP($B37,'Gtos Consultores'!$B$9:$AH$69,R$3,0)</f>
        <v>9464665.9038749989</v>
      </c>
      <c r="S37" s="175">
        <f>IFERROR(VLOOKUP($B37,'Gtos Consultores'!$B$9:$AH$69,S$3,0),0)</f>
        <v>0</v>
      </c>
      <c r="T37" s="175">
        <f>IF($T$1=0,IFERROR(HLOOKUP(YEAR($B37),'Gastos Proyect'!$B$4:$F$17,14,0),0),IF($T$1=1,IFERROR(HLOOKUP(YEAR($B36),'Gastos Proyect'!$B$4:$F$17,14,0),0),IFERROR(HLOOKUP(YEAR($B35),'Gastos Proyect'!$B$4:$F$17,14,0),0)))</f>
        <v>12193000</v>
      </c>
      <c r="U37" s="359">
        <f>IFERROR(HLOOKUP(YEAR($B37),'Ing Proyect'!$B$6:$G$12,6,0),0)*$U$2</f>
        <v>6835900</v>
      </c>
      <c r="V37" s="175">
        <v>0</v>
      </c>
      <c r="W37" s="175">
        <f t="shared" si="0"/>
        <v>126616764.103875</v>
      </c>
      <c r="X37" s="175">
        <f t="shared" si="10"/>
        <v>10101235.896125004</v>
      </c>
      <c r="Y37" s="359">
        <f t="shared" si="1"/>
        <v>0</v>
      </c>
      <c r="Z37" s="175">
        <f t="shared" si="11"/>
        <v>-49321309.103874996</v>
      </c>
      <c r="AB37" s="175">
        <f t="shared" si="2"/>
        <v>130000000</v>
      </c>
      <c r="AC37" s="175">
        <f>AE36+(-G37+(VLOOKUP($A37,'Financ 1'!$A$15:$Q$75,17,0)+VLOOKUP($A37,'Financ 2'!$A$15:$Q$75,17,0))+I37+P37-W37+Y37)-AB37</f>
        <v>-29784257.364375368</v>
      </c>
      <c r="AD37" s="175">
        <f>VLOOKUP($B37,'Inv Temp'!$B$7:$I$67,AD$2,0)</f>
        <v>0</v>
      </c>
      <c r="AE37" s="175">
        <f>IF($A37=0,'Inv Inicial'!$D$15,AE36+Z37-AC37*0+AD37)</f>
        <v>50334045.635624632</v>
      </c>
      <c r="AF37" s="175">
        <f t="shared" si="3"/>
        <v>0</v>
      </c>
      <c r="AG37" s="175">
        <f t="shared" si="4"/>
        <v>79665954.364375368</v>
      </c>
      <c r="AI37" s="175">
        <f>VLOOKUP($A37,'Amort Inv Inic'!$A$7:$U$67,21,0)</f>
        <v>722225</v>
      </c>
      <c r="AJ37" s="175">
        <f>VLOOKUP($A37,'Amort Inv Adic'!$A$7:$BI$67,54,0)</f>
        <v>2208347</v>
      </c>
      <c r="AK37" s="175">
        <f t="shared" si="12"/>
        <v>2930572</v>
      </c>
      <c r="AM37" s="175">
        <f>IFERROR(HLOOKUP(YEAR($B37),'Ing Proyect'!$B$6:$G$12,6,0),0)</f>
        <v>136718000</v>
      </c>
      <c r="AN37" s="175">
        <f>VLOOKUP($B37,'Gtos Consultores'!$B$9:$AI$69,AN$3,0)</f>
        <v>1191194</v>
      </c>
      <c r="AO37" s="175">
        <f>(P37-M37+AM37)-(W37-S37)-K37-AK37-AN37+T37-IFERROR(HLOOKUP(YEAR($B37),'Gastos Proyect'!$B$4:$F$17,14,0),0)</f>
        <v>4500674.8961250037</v>
      </c>
      <c r="AP37" s="175">
        <f>SUMIF($C$8:$C37,$C37,$AO$8:$AO37)</f>
        <v>22865784.480625018</v>
      </c>
      <c r="AR37" s="320">
        <f>IFERROR(VLOOKUP(ROUNDUP($A37/12,0),Variables!$B$32:$E$36,4,0),0)</f>
        <v>6.25E-2</v>
      </c>
      <c r="AS37" s="175">
        <f t="shared" si="13"/>
        <v>1430000</v>
      </c>
      <c r="AT37" s="320">
        <f>IFERROR(VLOOKUP(ROUNDUP($A37/12,0),Variables!$B$41:$E$45,4,0),0)</f>
        <v>0.09</v>
      </c>
      <c r="AU37" s="175">
        <f t="shared" si="14"/>
        <v>2058000</v>
      </c>
      <c r="AV37" s="359">
        <f t="shared" si="16"/>
        <v>3488000</v>
      </c>
      <c r="AW37" s="175">
        <f t="shared" si="5"/>
        <v>19377784.480625018</v>
      </c>
      <c r="AX37" s="175">
        <f t="shared" si="6"/>
        <v>5604500</v>
      </c>
      <c r="BH37" s="15">
        <f>VLOOKUP($A37,'Financ 1'!$A$15:$Q$75,17,0)+VLOOKUP($A37,'Financ 2'!$A$15:$Q$75,17,0)</f>
        <v>-9540848</v>
      </c>
      <c r="BI37" s="15"/>
    </row>
    <row r="38" spans="1:61" x14ac:dyDescent="0.35">
      <c r="A38" s="18">
        <v>30</v>
      </c>
      <c r="B38" s="184">
        <v>42916</v>
      </c>
      <c r="C38" s="331">
        <f t="shared" si="7"/>
        <v>2017</v>
      </c>
      <c r="D38" s="175">
        <v>0</v>
      </c>
      <c r="E38" s="175">
        <f>IFERROR(HLOOKUP($B38,'Inv Adic'!$D$6:$M$29,13,0),0)</f>
        <v>7260000</v>
      </c>
      <c r="F38" s="175">
        <f>IFERROR(VLOOKUP($B38,'Inv Temp'!$B$7:$I$67,F$1,0),0)</f>
        <v>0</v>
      </c>
      <c r="G38" s="175">
        <f t="shared" si="8"/>
        <v>7260000</v>
      </c>
      <c r="H38" s="175">
        <f>VLOOKUP($B38,'Financ Total'!$B$10:$F$70,H$1,0)</f>
        <v>89000000</v>
      </c>
      <c r="I38" s="309">
        <v>0</v>
      </c>
      <c r="J38" s="175">
        <f>VLOOKUP($B38,'Financ Total'!$B$10:$F$70,J$1,0)</f>
        <v>38943750</v>
      </c>
      <c r="K38" s="175">
        <f>VLOOKUP($B38,'Financ Total'!$B$10:$F$70,K$1,0)</f>
        <v>857282</v>
      </c>
      <c r="L38" s="175">
        <f t="shared" si="9"/>
        <v>49198968</v>
      </c>
      <c r="M38" s="175">
        <f>IF($M$1=0,IFERROR(HLOOKUP(YEAR($B38),'Ing Proyect'!$B$6:$G$12,6,0),0),IF($M$1=1,IFERROR(HLOOKUP(YEAR($B37),'Ing Proyect'!$B$6:$G$12,6,0),0),IFERROR(HLOOKUP(YEAR($B36),'Ing Proyect'!$B$6:$G$12,6,0),0)))</f>
        <v>136718000</v>
      </c>
      <c r="N38" s="175">
        <f>VLOOKUP($B38,'Inv Temp'!$B$7:$I$67,N$2,0)</f>
        <v>0</v>
      </c>
      <c r="O38" s="175">
        <v>0</v>
      </c>
      <c r="P38" s="175">
        <f t="shared" si="15"/>
        <v>136718000</v>
      </c>
      <c r="Q38" s="175">
        <f>VLOOKUP($B38,'Gtos Consultores'!$B$9:$AH$69,Q$3,0)</f>
        <v>98123198.200000003</v>
      </c>
      <c r="R38" s="175">
        <f>VLOOKUP($B38,'Gtos Consultores'!$B$9:$AH$69,R$3,0)</f>
        <v>9464665.9038749989</v>
      </c>
      <c r="S38" s="175">
        <f>IFERROR(VLOOKUP($B38,'Gtos Consultores'!$B$9:$AH$69,S$3,0),0)</f>
        <v>3371305</v>
      </c>
      <c r="T38" s="175">
        <f>IF($T$1=0,IFERROR(HLOOKUP(YEAR($B38),'Gastos Proyect'!$B$4:$F$17,14,0),0),IF($T$1=1,IFERROR(HLOOKUP(YEAR($B37),'Gastos Proyect'!$B$4:$F$17,14,0),0),IFERROR(HLOOKUP(YEAR($B36),'Gastos Proyect'!$B$4:$F$17,14,0),0)))</f>
        <v>12193000</v>
      </c>
      <c r="U38" s="359">
        <f>IFERROR(HLOOKUP(YEAR($B38),'Ing Proyect'!$B$6:$G$12,6,0),0)*$U$2</f>
        <v>6835900</v>
      </c>
      <c r="V38" s="175">
        <v>0</v>
      </c>
      <c r="W38" s="175">
        <f t="shared" si="0"/>
        <v>129988069.103875</v>
      </c>
      <c r="X38" s="175">
        <f t="shared" si="10"/>
        <v>6729930.8961250037</v>
      </c>
      <c r="Y38" s="359">
        <f t="shared" si="1"/>
        <v>-2116500</v>
      </c>
      <c r="Z38" s="175">
        <f t="shared" si="11"/>
        <v>46552398.896125004</v>
      </c>
      <c r="AB38" s="175">
        <f t="shared" si="2"/>
        <v>127000000</v>
      </c>
      <c r="AC38" s="175">
        <f>AE37+(-G38+(VLOOKUP($A38,'Financ 1'!$A$15:$Q$75,17,0)+VLOOKUP($A38,'Financ 2'!$A$15:$Q$75,17,0))+I38+P38-W38+Y38)-AB38</f>
        <v>-88778734.468250364</v>
      </c>
      <c r="AD38" s="175">
        <f>VLOOKUP($B38,'Inv Temp'!$B$7:$I$67,AD$2,0)</f>
        <v>0</v>
      </c>
      <c r="AE38" s="175">
        <f>IF($A38=0,'Inv Inicial'!$D$15,AE37+Z38-AC38*0+AD38)</f>
        <v>96886444.531749636</v>
      </c>
      <c r="AF38" s="175">
        <f t="shared" si="3"/>
        <v>0</v>
      </c>
      <c r="AG38" s="175">
        <f t="shared" si="4"/>
        <v>30113555.468250364</v>
      </c>
      <c r="AI38" s="175">
        <f>VLOOKUP($A38,'Amort Inv Inic'!$A$7:$U$67,21,0)</f>
        <v>722221</v>
      </c>
      <c r="AJ38" s="175">
        <f>VLOOKUP($A38,'Amort Inv Adic'!$A$7:$BI$67,54,0)</f>
        <v>2208347</v>
      </c>
      <c r="AK38" s="175">
        <f t="shared" si="12"/>
        <v>2930568</v>
      </c>
      <c r="AM38" s="175">
        <f>IFERROR(HLOOKUP(YEAR($B38),'Ing Proyect'!$B$6:$G$12,6,0),0)</f>
        <v>136718000</v>
      </c>
      <c r="AN38" s="175">
        <f>VLOOKUP($B38,'Gtos Consultores'!$B$9:$AI$69,AN$3,0)</f>
        <v>1191194</v>
      </c>
      <c r="AO38" s="175">
        <f>(P38-M38+AM38)-(W38-S38)-K38-AK38-AN38+T38-IFERROR(HLOOKUP(YEAR($B38),'Gastos Proyect'!$B$4:$F$17,14,0),0)</f>
        <v>5122191.8961250037</v>
      </c>
      <c r="AP38" s="175">
        <f>SUMIF($C$8:$C38,$C38,$AO$8:$AO38)</f>
        <v>27987976.376750022</v>
      </c>
      <c r="AR38" s="320">
        <f>IFERROR(VLOOKUP(ROUNDUP($A38/12,0),Variables!$B$32:$E$36,4,0),0)</f>
        <v>6.25E-2</v>
      </c>
      <c r="AS38" s="175">
        <f t="shared" si="13"/>
        <v>1750000</v>
      </c>
      <c r="AT38" s="320">
        <f>IFERROR(VLOOKUP(ROUNDUP($A38/12,0),Variables!$B$41:$E$45,4,0),0)</f>
        <v>0.09</v>
      </c>
      <c r="AU38" s="175">
        <f t="shared" si="14"/>
        <v>2519000</v>
      </c>
      <c r="AV38" s="359">
        <f t="shared" si="16"/>
        <v>4269000</v>
      </c>
      <c r="AW38" s="175">
        <f t="shared" si="5"/>
        <v>23718976.376750022</v>
      </c>
      <c r="AX38" s="175">
        <f t="shared" si="6"/>
        <v>4269000</v>
      </c>
      <c r="BH38" s="15">
        <f>VLOOKUP($A38,'Financ 1'!$A$15:$Q$75,17,0)+VLOOKUP($A38,'Financ 2'!$A$15:$Q$75,17,0)</f>
        <v>-9466211</v>
      </c>
      <c r="BI38" s="15"/>
    </row>
    <row r="39" spans="1:61" x14ac:dyDescent="0.35">
      <c r="A39" s="18">
        <v>31</v>
      </c>
      <c r="B39" s="184">
        <v>42947</v>
      </c>
      <c r="C39" s="331">
        <f t="shared" si="7"/>
        <v>2017</v>
      </c>
      <c r="D39" s="175">
        <v>0</v>
      </c>
      <c r="E39" s="175">
        <f>IFERROR(HLOOKUP($B39,'Inv Adic'!$D$6:$M$29,13,0),0)</f>
        <v>0</v>
      </c>
      <c r="F39" s="175">
        <f>IFERROR(VLOOKUP($B39,'Inv Temp'!$B$7:$I$67,F$1,0),0)</f>
        <v>0</v>
      </c>
      <c r="G39" s="175">
        <f t="shared" si="8"/>
        <v>0</v>
      </c>
      <c r="H39" s="175">
        <f>VLOOKUP($B39,'Financ Total'!$B$10:$F$70,H$1,0)</f>
        <v>30000000</v>
      </c>
      <c r="I39" s="309">
        <v>0</v>
      </c>
      <c r="J39" s="175">
        <f>VLOOKUP($B39,'Financ Total'!$B$10:$F$70,J$1,0)</f>
        <v>97943750</v>
      </c>
      <c r="K39" s="175">
        <f>VLOOKUP($B39,'Financ Total'!$B$10:$F$70,K$1,0)</f>
        <v>1411985</v>
      </c>
      <c r="L39" s="175">
        <f t="shared" si="9"/>
        <v>-69355735</v>
      </c>
      <c r="M39" s="175">
        <f>IF($M$1=0,IFERROR(HLOOKUP(YEAR($B39),'Ing Proyect'!$B$6:$G$12,6,0),0),IF($M$1=1,IFERROR(HLOOKUP(YEAR($B38),'Ing Proyect'!$B$6:$G$12,6,0),0),IFERROR(HLOOKUP(YEAR($B37),'Ing Proyect'!$B$6:$G$12,6,0),0)))</f>
        <v>136718000</v>
      </c>
      <c r="N39" s="175">
        <f>VLOOKUP($B39,'Inv Temp'!$B$7:$I$67,N$2,0)</f>
        <v>0</v>
      </c>
      <c r="O39" s="175">
        <v>0</v>
      </c>
      <c r="P39" s="175">
        <f t="shared" si="15"/>
        <v>136718000</v>
      </c>
      <c r="Q39" s="175">
        <f>VLOOKUP($B39,'Gtos Consultores'!$B$9:$AH$69,Q$3,0)</f>
        <v>98123198.200000003</v>
      </c>
      <c r="R39" s="175">
        <f>VLOOKUP($B39,'Gtos Consultores'!$B$9:$AH$69,R$3,0)</f>
        <v>9464665.9038749989</v>
      </c>
      <c r="S39" s="175">
        <f>IFERROR(VLOOKUP($B39,'Gtos Consultores'!$B$9:$AH$69,S$3,0),0)</f>
        <v>0</v>
      </c>
      <c r="T39" s="175">
        <f>IF($T$1=0,IFERROR(HLOOKUP(YEAR($B39),'Gastos Proyect'!$B$4:$F$17,14,0),0),IF($T$1=1,IFERROR(HLOOKUP(YEAR($B38),'Gastos Proyect'!$B$4:$F$17,14,0),0),IFERROR(HLOOKUP(YEAR($B37),'Gastos Proyect'!$B$4:$F$17,14,0),0)))</f>
        <v>12193000</v>
      </c>
      <c r="U39" s="359">
        <f>IFERROR(HLOOKUP(YEAR($B39),'Ing Proyect'!$B$6:$G$12,6,0),0)*$U$2</f>
        <v>6835900</v>
      </c>
      <c r="V39" s="175">
        <v>0</v>
      </c>
      <c r="W39" s="175">
        <f t="shared" si="0"/>
        <v>126616764.103875</v>
      </c>
      <c r="X39" s="175">
        <f t="shared" si="10"/>
        <v>10101235.896125004</v>
      </c>
      <c r="Y39" s="359">
        <f t="shared" si="1"/>
        <v>0</v>
      </c>
      <c r="Z39" s="175">
        <f t="shared" si="11"/>
        <v>-59254499.103874996</v>
      </c>
      <c r="AB39" s="175">
        <f t="shared" si="2"/>
        <v>127000000</v>
      </c>
      <c r="AC39" s="175">
        <f>AE38+(-G39+(VLOOKUP($A39,'Financ 1'!$A$15:$Q$75,17,0)+VLOOKUP($A39,'Financ 2'!$A$15:$Q$75,17,0))+I39+P39-W39+Y39)-AB39</f>
        <v>-29393007.57212536</v>
      </c>
      <c r="AD39" s="175">
        <f>VLOOKUP($B39,'Inv Temp'!$B$7:$I$67,AD$2,0)</f>
        <v>0</v>
      </c>
      <c r="AE39" s="175">
        <f>IF($A39=0,'Inv Inicial'!$D$15,AE38+Z39-AC39*0+AD39)</f>
        <v>37631945.42787464</v>
      </c>
      <c r="AF39" s="175">
        <f t="shared" si="3"/>
        <v>0</v>
      </c>
      <c r="AG39" s="175">
        <f t="shared" si="4"/>
        <v>89368054.57212536</v>
      </c>
      <c r="AI39" s="175">
        <f>VLOOKUP($A39,'Amort Inv Inic'!$A$7:$U$67,21,0)</f>
        <v>722225</v>
      </c>
      <c r="AJ39" s="175">
        <f>VLOOKUP($A39,'Amort Inv Adic'!$A$7:$BI$67,54,0)</f>
        <v>2263347</v>
      </c>
      <c r="AK39" s="175">
        <f t="shared" si="12"/>
        <v>2985572</v>
      </c>
      <c r="AM39" s="175">
        <f>IFERROR(HLOOKUP(YEAR($B39),'Ing Proyect'!$B$6:$G$12,6,0),0)</f>
        <v>136718000</v>
      </c>
      <c r="AN39" s="175">
        <f>VLOOKUP($B39,'Gtos Consultores'!$B$9:$AI$69,AN$3,0)</f>
        <v>1191194</v>
      </c>
      <c r="AO39" s="175">
        <f>(P39-M39+AM39)-(W39-S39)-K39-AK39-AN39+T39-IFERROR(HLOOKUP(YEAR($B39),'Gastos Proyect'!$B$4:$F$17,14,0),0)</f>
        <v>4512484.8961250037</v>
      </c>
      <c r="AP39" s="175">
        <f>SUMIF($C$8:$C39,$C39,$AO$8:$AO39)</f>
        <v>32500461.272875026</v>
      </c>
      <c r="AR39" s="320">
        <f>IFERROR(VLOOKUP(ROUNDUP($A39/12,0),Variables!$B$32:$E$36,4,0),0)</f>
        <v>6.25E-2</v>
      </c>
      <c r="AS39" s="175">
        <f t="shared" si="13"/>
        <v>2032000</v>
      </c>
      <c r="AT39" s="320">
        <f>IFERROR(VLOOKUP(ROUNDUP($A39/12,0),Variables!$B$41:$E$45,4,0),0)</f>
        <v>0.09</v>
      </c>
      <c r="AU39" s="175">
        <f t="shared" si="14"/>
        <v>2926000</v>
      </c>
      <c r="AV39" s="359">
        <f t="shared" si="16"/>
        <v>4958000</v>
      </c>
      <c r="AW39" s="175">
        <f t="shared" si="5"/>
        <v>27542461.272875026</v>
      </c>
      <c r="AX39" s="175">
        <f t="shared" si="6"/>
        <v>4958000</v>
      </c>
      <c r="BH39" s="15">
        <f>VLOOKUP($A39,'Financ 1'!$A$15:$Q$75,17,0)+VLOOKUP($A39,'Financ 2'!$A$15:$Q$75,17,0)</f>
        <v>-9380688</v>
      </c>
      <c r="BI39" s="15"/>
    </row>
    <row r="40" spans="1:61" x14ac:dyDescent="0.35">
      <c r="A40" s="18">
        <v>32</v>
      </c>
      <c r="B40" s="184">
        <v>42978</v>
      </c>
      <c r="C40" s="331">
        <f t="shared" si="7"/>
        <v>2017</v>
      </c>
      <c r="D40" s="175">
        <v>0</v>
      </c>
      <c r="E40" s="175">
        <f>IFERROR(HLOOKUP($B40,'Inv Adic'!$D$6:$M$29,13,0),0)</f>
        <v>0</v>
      </c>
      <c r="F40" s="175">
        <f>IFERROR(VLOOKUP($B40,'Inv Temp'!$B$7:$I$67,F$1,0),0)</f>
        <v>0</v>
      </c>
      <c r="G40" s="175">
        <f t="shared" si="8"/>
        <v>0</v>
      </c>
      <c r="H40" s="175">
        <f>VLOOKUP($B40,'Financ Total'!$B$10:$F$70,H$1,0)</f>
        <v>89000000</v>
      </c>
      <c r="I40" s="309">
        <v>0</v>
      </c>
      <c r="J40" s="175">
        <f>VLOOKUP($B40,'Financ Total'!$B$10:$F$70,J$1,0)</f>
        <v>38943750</v>
      </c>
      <c r="K40" s="175">
        <f>VLOOKUP($B40,'Financ Total'!$B$10:$F$70,K$1,0)</f>
        <v>692783</v>
      </c>
      <c r="L40" s="175">
        <f t="shared" si="9"/>
        <v>49363467</v>
      </c>
      <c r="M40" s="175">
        <f>IF($M$1=0,IFERROR(HLOOKUP(YEAR($B40),'Ing Proyect'!$B$6:$G$12,6,0),0),IF($M$1=1,IFERROR(HLOOKUP(YEAR($B39),'Ing Proyect'!$B$6:$G$12,6,0),0),IFERROR(HLOOKUP(YEAR($B38),'Ing Proyect'!$B$6:$G$12,6,0),0)))</f>
        <v>136718000</v>
      </c>
      <c r="N40" s="175">
        <f>VLOOKUP($B40,'Inv Temp'!$B$7:$I$67,N$2,0)</f>
        <v>0</v>
      </c>
      <c r="O40" s="175">
        <v>0</v>
      </c>
      <c r="P40" s="175">
        <f t="shared" si="15"/>
        <v>136718000</v>
      </c>
      <c r="Q40" s="175">
        <f>VLOOKUP($B40,'Gtos Consultores'!$B$9:$AH$69,Q$3,0)</f>
        <v>98123198.200000003</v>
      </c>
      <c r="R40" s="175">
        <f>VLOOKUP($B40,'Gtos Consultores'!$B$9:$AH$69,R$3,0)</f>
        <v>9464665.9038749989</v>
      </c>
      <c r="S40" s="175">
        <f>IFERROR(VLOOKUP($B40,'Gtos Consultores'!$B$9:$AH$69,S$3,0),0)</f>
        <v>0</v>
      </c>
      <c r="T40" s="175">
        <f>IF($T$1=0,IFERROR(HLOOKUP(YEAR($B40),'Gastos Proyect'!$B$4:$F$17,14,0),0),IF($T$1=1,IFERROR(HLOOKUP(YEAR($B39),'Gastos Proyect'!$B$4:$F$17,14,0),0),IFERROR(HLOOKUP(YEAR($B38),'Gastos Proyect'!$B$4:$F$17,14,0),0)))</f>
        <v>12193000</v>
      </c>
      <c r="U40" s="359">
        <f>IFERROR(HLOOKUP(YEAR($B40),'Ing Proyect'!$B$6:$G$12,6,0),0)*$U$2</f>
        <v>6835900</v>
      </c>
      <c r="V40" s="175">
        <v>0</v>
      </c>
      <c r="W40" s="175">
        <f t="shared" ref="W40:W68" si="17">SUM(Q40:V40)</f>
        <v>126616764.103875</v>
      </c>
      <c r="X40" s="175">
        <f t="shared" si="10"/>
        <v>10101235.896125004</v>
      </c>
      <c r="Y40" s="359">
        <f t="shared" ref="Y40:Y68" si="18">-IF(OR(MONTH($B40)=4,MONTH($B40)=6)=TRUE,ROUND(VLOOKUP(DATE(YEAR($B40)-1,12,31),$B$8:$AW$68,47,0)/2,0),0)</f>
        <v>0</v>
      </c>
      <c r="Z40" s="175">
        <f t="shared" si="11"/>
        <v>59464702.896125004</v>
      </c>
      <c r="AB40" s="175">
        <f t="shared" si="2"/>
        <v>127000000</v>
      </c>
      <c r="AC40" s="175">
        <f>AE39+(-G40+(VLOOKUP($A40,'Financ 1'!$A$15:$Q$75,17,0)+VLOOKUP($A40,'Financ 2'!$A$15:$Q$75,17,0))+I40+P40-W40+Y40)-AB40</f>
        <v>-88574683.676000357</v>
      </c>
      <c r="AD40" s="175">
        <f>VLOOKUP($B40,'Inv Temp'!$B$7:$I$67,AD$2,0)</f>
        <v>0</v>
      </c>
      <c r="AE40" s="175">
        <f>IF($A40=0,'Inv Inicial'!$D$15,AE39+Z40-AC40*0+AD40)</f>
        <v>97096648.323999643</v>
      </c>
      <c r="AF40" s="175">
        <f t="shared" ref="AF40:AF68" si="19">IF(AE40&gt;AB40,AE40-AB40,0)</f>
        <v>0</v>
      </c>
      <c r="AG40" s="175">
        <f t="shared" ref="AG40:AG68" si="20">IF(AE40&lt;AB40,AB40-AE40,0)</f>
        <v>29903351.676000357</v>
      </c>
      <c r="AI40" s="175">
        <f>VLOOKUP($A40,'Amort Inv Inic'!$A$7:$U$67,21,0)</f>
        <v>722221</v>
      </c>
      <c r="AJ40" s="175">
        <f>VLOOKUP($A40,'Amort Inv Adic'!$A$7:$BI$67,54,0)</f>
        <v>2263347</v>
      </c>
      <c r="AK40" s="175">
        <f t="shared" si="12"/>
        <v>2985568</v>
      </c>
      <c r="AM40" s="175">
        <f>IFERROR(HLOOKUP(YEAR($B40),'Ing Proyect'!$B$6:$G$12,6,0),0)</f>
        <v>136718000</v>
      </c>
      <c r="AN40" s="175">
        <f>VLOOKUP($B40,'Gtos Consultores'!$B$9:$AI$69,AN$3,0)</f>
        <v>1191194</v>
      </c>
      <c r="AO40" s="175">
        <f>(P40-M40+AM40)-(W40-S40)-K40-AK40-AN40+T40-IFERROR(HLOOKUP(YEAR($B40),'Gastos Proyect'!$B$4:$F$17,14,0),0)</f>
        <v>5231690.8961250037</v>
      </c>
      <c r="AP40" s="175">
        <f>SUMIF($C$8:$C40,$C40,$AO$8:$AO40)</f>
        <v>37732152.16900003</v>
      </c>
      <c r="AR40" s="320">
        <f>IFERROR(VLOOKUP(ROUNDUP($A40/12,0),Variables!$B$32:$E$36,4,0),0)</f>
        <v>6.25E-2</v>
      </c>
      <c r="AS40" s="175">
        <f t="shared" si="13"/>
        <v>2359000</v>
      </c>
      <c r="AT40" s="320">
        <f>IFERROR(VLOOKUP(ROUNDUP($A40/12,0),Variables!$B$41:$E$45,4,0),0)</f>
        <v>0.09</v>
      </c>
      <c r="AU40" s="175">
        <f t="shared" si="14"/>
        <v>3396000</v>
      </c>
      <c r="AV40" s="359">
        <f t="shared" si="16"/>
        <v>5755000</v>
      </c>
      <c r="AW40" s="175">
        <f t="shared" si="5"/>
        <v>31977152.16900003</v>
      </c>
      <c r="AX40" s="175">
        <f t="shared" ref="AX40:AX68" si="21">IF(C40=C39,AX39+(AV40-AV39),AX39+AV40)+Y40</f>
        <v>5755000</v>
      </c>
      <c r="BH40" s="15">
        <f>VLOOKUP($A40,'Financ 1'!$A$15:$Q$75,17,0)+VLOOKUP($A40,'Financ 2'!$A$15:$Q$75,17,0)</f>
        <v>-9307865</v>
      </c>
      <c r="BI40" s="15"/>
    </row>
    <row r="41" spans="1:61" x14ac:dyDescent="0.35">
      <c r="A41" s="18">
        <v>33</v>
      </c>
      <c r="B41" s="184">
        <v>43008</v>
      </c>
      <c r="C41" s="331">
        <f t="shared" si="7"/>
        <v>2017</v>
      </c>
      <c r="D41" s="175">
        <v>0</v>
      </c>
      <c r="E41" s="175">
        <f>IFERROR(HLOOKUP($B41,'Inv Adic'!$D$6:$M$29,13,0),0)</f>
        <v>0</v>
      </c>
      <c r="F41" s="175">
        <f>IFERROR(VLOOKUP($B41,'Inv Temp'!$B$7:$I$67,F$1,0),0)</f>
        <v>0</v>
      </c>
      <c r="G41" s="175">
        <f t="shared" si="8"/>
        <v>0</v>
      </c>
      <c r="H41" s="175">
        <f>VLOOKUP($B41,'Financ Total'!$B$10:$F$70,H$1,0)</f>
        <v>30000000</v>
      </c>
      <c r="I41" s="309">
        <v>0</v>
      </c>
      <c r="J41" s="175">
        <f>VLOOKUP($B41,'Financ Total'!$B$10:$F$70,J$1,0)</f>
        <v>97943750</v>
      </c>
      <c r="K41" s="175">
        <f>VLOOKUP($B41,'Financ Total'!$B$10:$F$70,K$1,0)</f>
        <v>1266339</v>
      </c>
      <c r="L41" s="175">
        <f t="shared" si="9"/>
        <v>-69210089</v>
      </c>
      <c r="M41" s="175">
        <f>IF($M$1=0,IFERROR(HLOOKUP(YEAR($B41),'Ing Proyect'!$B$6:$G$12,6,0),0),IF($M$1=1,IFERROR(HLOOKUP(YEAR($B40),'Ing Proyect'!$B$6:$G$12,6,0),0),IFERROR(HLOOKUP(YEAR($B39),'Ing Proyect'!$B$6:$G$12,6,0),0)))</f>
        <v>136718000</v>
      </c>
      <c r="N41" s="175">
        <f>VLOOKUP($B41,'Inv Temp'!$B$7:$I$67,N$2,0)</f>
        <v>0</v>
      </c>
      <c r="O41" s="175">
        <v>0</v>
      </c>
      <c r="P41" s="175">
        <f t="shared" si="15"/>
        <v>136718000</v>
      </c>
      <c r="Q41" s="175">
        <f>VLOOKUP($B41,'Gtos Consultores'!$B$9:$AH$69,Q$3,0)</f>
        <v>98123198.200000003</v>
      </c>
      <c r="R41" s="175">
        <f>VLOOKUP($B41,'Gtos Consultores'!$B$9:$AH$69,R$3,0)</f>
        <v>9464665.9038749989</v>
      </c>
      <c r="S41" s="175">
        <f>IFERROR(VLOOKUP($B41,'Gtos Consultores'!$B$9:$AH$69,S$3,0),0)</f>
        <v>0</v>
      </c>
      <c r="T41" s="175">
        <f>IF($T$1=0,IFERROR(HLOOKUP(YEAR($B41),'Gastos Proyect'!$B$4:$F$17,14,0),0),IF($T$1=1,IFERROR(HLOOKUP(YEAR($B40),'Gastos Proyect'!$B$4:$F$17,14,0),0),IFERROR(HLOOKUP(YEAR($B39),'Gastos Proyect'!$B$4:$F$17,14,0),0)))</f>
        <v>12193000</v>
      </c>
      <c r="U41" s="359">
        <f>IFERROR(HLOOKUP(YEAR($B41),'Ing Proyect'!$B$6:$G$12,6,0),0)*$U$2</f>
        <v>6835900</v>
      </c>
      <c r="V41" s="175">
        <v>0</v>
      </c>
      <c r="W41" s="175">
        <f t="shared" si="17"/>
        <v>126616764.103875</v>
      </c>
      <c r="X41" s="175">
        <f t="shared" si="10"/>
        <v>10101235.896125004</v>
      </c>
      <c r="Y41" s="359">
        <f t="shared" si="18"/>
        <v>0</v>
      </c>
      <c r="Z41" s="175">
        <f t="shared" si="11"/>
        <v>-59108853.103874996</v>
      </c>
      <c r="AB41" s="175">
        <f t="shared" si="2"/>
        <v>127000000</v>
      </c>
      <c r="AC41" s="175">
        <f>AE40+(-G41+(VLOOKUP($A41,'Financ 1'!$A$15:$Q$75,17,0)+VLOOKUP($A41,'Financ 2'!$A$15:$Q$75,17,0))+I41+P41-W41+Y41)-AB41</f>
        <v>-29037157.779875353</v>
      </c>
      <c r="AD41" s="175">
        <f>VLOOKUP($B41,'Inv Temp'!$B$7:$I$67,AD$2,0)</f>
        <v>0</v>
      </c>
      <c r="AE41" s="175">
        <f>IF($A41=0,'Inv Inicial'!$D$15,AE40+Z41-AC41*0+AD41)</f>
        <v>37987795.220124647</v>
      </c>
      <c r="AF41" s="175">
        <f t="shared" si="19"/>
        <v>0</v>
      </c>
      <c r="AG41" s="175">
        <f t="shared" si="20"/>
        <v>89012204.779875353</v>
      </c>
      <c r="AI41" s="175">
        <f>VLOOKUP($A41,'Amort Inv Inic'!$A$7:$U$67,21,0)</f>
        <v>722225</v>
      </c>
      <c r="AJ41" s="175">
        <f>VLOOKUP($A41,'Amort Inv Adic'!$A$7:$BI$67,54,0)</f>
        <v>2263347</v>
      </c>
      <c r="AK41" s="175">
        <f t="shared" si="12"/>
        <v>2985572</v>
      </c>
      <c r="AM41" s="175">
        <f>IFERROR(HLOOKUP(YEAR($B41),'Ing Proyect'!$B$6:$G$12,6,0),0)</f>
        <v>136718000</v>
      </c>
      <c r="AN41" s="175">
        <f>VLOOKUP($B41,'Gtos Consultores'!$B$9:$AI$69,AN$3,0)</f>
        <v>1191194</v>
      </c>
      <c r="AO41" s="175">
        <f>(P41-M41+AM41)-(W41-S41)-K41-AK41-AN41+T41-IFERROR(HLOOKUP(YEAR($B41),'Gastos Proyect'!$B$4:$F$17,14,0),0)</f>
        <v>4658130.8961250037</v>
      </c>
      <c r="AP41" s="175">
        <f>SUMIF($C$8:$C41,$C41,$AO$8:$AO41)</f>
        <v>42390283.065125033</v>
      </c>
      <c r="AR41" s="320">
        <f>IFERROR(VLOOKUP(ROUNDUP($A41/12,0),Variables!$B$32:$E$36,4,0),0)</f>
        <v>6.25E-2</v>
      </c>
      <c r="AS41" s="175">
        <f t="shared" si="13"/>
        <v>2650000</v>
      </c>
      <c r="AT41" s="320">
        <f>IFERROR(VLOOKUP(ROUNDUP($A41/12,0),Variables!$B$41:$E$45,4,0),0)</f>
        <v>0.09</v>
      </c>
      <c r="AU41" s="175">
        <f t="shared" si="14"/>
        <v>3816000</v>
      </c>
      <c r="AV41" s="359">
        <f t="shared" si="16"/>
        <v>6466000</v>
      </c>
      <c r="AW41" s="175">
        <f t="shared" si="5"/>
        <v>35924283.065125033</v>
      </c>
      <c r="AX41" s="175">
        <f t="shared" si="21"/>
        <v>6466000</v>
      </c>
      <c r="BH41" s="15">
        <f>VLOOKUP($A41,'Financ 1'!$A$15:$Q$75,17,0)+VLOOKUP($A41,'Financ 2'!$A$15:$Q$75,17,0)</f>
        <v>-9235042</v>
      </c>
      <c r="BI41" s="15"/>
    </row>
    <row r="42" spans="1:61" x14ac:dyDescent="0.35">
      <c r="A42" s="18">
        <v>34</v>
      </c>
      <c r="B42" s="184">
        <v>43039</v>
      </c>
      <c r="C42" s="331">
        <f t="shared" si="7"/>
        <v>2017</v>
      </c>
      <c r="D42" s="175">
        <v>0</v>
      </c>
      <c r="E42" s="175">
        <f>IFERROR(HLOOKUP($B42,'Inv Adic'!$D$6:$M$29,13,0),0)</f>
        <v>0</v>
      </c>
      <c r="F42" s="175">
        <f>IFERROR(VLOOKUP($B42,'Inv Temp'!$B$7:$I$67,F$1,0),0)</f>
        <v>0</v>
      </c>
      <c r="G42" s="175">
        <f t="shared" si="8"/>
        <v>0</v>
      </c>
      <c r="H42" s="175">
        <f>VLOOKUP($B42,'Financ Total'!$B$10:$F$70,H$1,0)</f>
        <v>89000000</v>
      </c>
      <c r="I42" s="309">
        <v>0</v>
      </c>
      <c r="J42" s="175">
        <f>VLOOKUP($B42,'Financ Total'!$B$10:$F$70,J$1,0)</f>
        <v>38943750</v>
      </c>
      <c r="K42" s="175">
        <f>VLOOKUP($B42,'Financ Total'!$B$10:$F$70,K$1,0)</f>
        <v>535514</v>
      </c>
      <c r="L42" s="175">
        <f t="shared" si="9"/>
        <v>49520736</v>
      </c>
      <c r="M42" s="175">
        <f>IF($M$1=0,IFERROR(HLOOKUP(YEAR($B42),'Ing Proyect'!$B$6:$G$12,6,0),0),IF($M$1=1,IFERROR(HLOOKUP(YEAR($B41),'Ing Proyect'!$B$6:$G$12,6,0),0),IFERROR(HLOOKUP(YEAR($B40),'Ing Proyect'!$B$6:$G$12,6,0),0)))</f>
        <v>136718000</v>
      </c>
      <c r="N42" s="175">
        <f>VLOOKUP($B42,'Inv Temp'!$B$7:$I$67,N$2,0)</f>
        <v>0</v>
      </c>
      <c r="O42" s="175">
        <v>0</v>
      </c>
      <c r="P42" s="175">
        <f t="shared" si="15"/>
        <v>136718000</v>
      </c>
      <c r="Q42" s="175">
        <f>VLOOKUP($B42,'Gtos Consultores'!$B$9:$AH$69,Q$3,0)</f>
        <v>98123198.200000003</v>
      </c>
      <c r="R42" s="175">
        <f>VLOOKUP($B42,'Gtos Consultores'!$B$9:$AH$69,R$3,0)</f>
        <v>9464665.9038749989</v>
      </c>
      <c r="S42" s="175">
        <f>IFERROR(VLOOKUP($B42,'Gtos Consultores'!$B$9:$AH$69,S$3,0),0)</f>
        <v>0</v>
      </c>
      <c r="T42" s="175">
        <f>IF($T$1=0,IFERROR(HLOOKUP(YEAR($B42),'Gastos Proyect'!$B$4:$F$17,14,0),0),IF($T$1=1,IFERROR(HLOOKUP(YEAR($B41),'Gastos Proyect'!$B$4:$F$17,14,0),0),IFERROR(HLOOKUP(YEAR($B40),'Gastos Proyect'!$B$4:$F$17,14,0),0)))</f>
        <v>12193000</v>
      </c>
      <c r="U42" s="359">
        <f>IFERROR(HLOOKUP(YEAR($B42),'Ing Proyect'!$B$6:$G$12,6,0),0)*$U$2</f>
        <v>6835900</v>
      </c>
      <c r="V42" s="175">
        <v>0</v>
      </c>
      <c r="W42" s="175">
        <f t="shared" si="17"/>
        <v>126616764.103875</v>
      </c>
      <c r="X42" s="175">
        <f t="shared" si="10"/>
        <v>10101235.896125004</v>
      </c>
      <c r="Y42" s="359">
        <f t="shared" si="18"/>
        <v>0</v>
      </c>
      <c r="Z42" s="175">
        <f t="shared" si="11"/>
        <v>59621971.896125004</v>
      </c>
      <c r="AB42" s="175">
        <f t="shared" si="2"/>
        <v>127000000</v>
      </c>
      <c r="AC42" s="175">
        <f>AE41+(-G42+(VLOOKUP($A42,'Financ 1'!$A$15:$Q$75,17,0)+VLOOKUP($A42,'Financ 2'!$A$15:$Q$75,17,0))+I42+P42-W42+Y42)-AB42</f>
        <v>-88067732.883750349</v>
      </c>
      <c r="AD42" s="175">
        <f>VLOOKUP($B42,'Inv Temp'!$B$7:$I$67,AD$2,0)</f>
        <v>0</v>
      </c>
      <c r="AE42" s="175">
        <f>IF($A42=0,'Inv Inicial'!$D$15,AE41+Z42-AC42*0+AD42)</f>
        <v>97609767.116249651</v>
      </c>
      <c r="AF42" s="175">
        <f t="shared" si="19"/>
        <v>0</v>
      </c>
      <c r="AG42" s="175">
        <f t="shared" si="20"/>
        <v>29390232.883750349</v>
      </c>
      <c r="AI42" s="175">
        <f>VLOOKUP($A42,'Amort Inv Inic'!$A$7:$U$67,21,0)</f>
        <v>722221</v>
      </c>
      <c r="AJ42" s="175">
        <f>VLOOKUP($A42,'Amort Inv Adic'!$A$7:$BI$67,54,0)</f>
        <v>2263347</v>
      </c>
      <c r="AK42" s="175">
        <f t="shared" si="12"/>
        <v>2985568</v>
      </c>
      <c r="AM42" s="175">
        <f>IFERROR(HLOOKUP(YEAR($B42),'Ing Proyect'!$B$6:$G$12,6,0),0)</f>
        <v>136718000</v>
      </c>
      <c r="AN42" s="175">
        <f>VLOOKUP($B42,'Gtos Consultores'!$B$9:$AI$69,AN$3,0)</f>
        <v>1191194</v>
      </c>
      <c r="AO42" s="175">
        <f>(P42-M42+AM42)-(W42-S42)-K42-AK42-AN42+T42-IFERROR(HLOOKUP(YEAR($B42),'Gastos Proyect'!$B$4:$F$17,14,0),0)</f>
        <v>5388959.8961250037</v>
      </c>
      <c r="AP42" s="175">
        <f>SUMIF($C$8:$C42,$C42,$AO$8:$AO42)</f>
        <v>47779242.961250037</v>
      </c>
      <c r="AR42" s="320">
        <f>IFERROR(VLOOKUP(ROUNDUP($A42/12,0),Variables!$B$32:$E$36,4,0),0)</f>
        <v>6.25E-2</v>
      </c>
      <c r="AS42" s="175">
        <f t="shared" si="13"/>
        <v>2987000</v>
      </c>
      <c r="AT42" s="320">
        <f>IFERROR(VLOOKUP(ROUNDUP($A42/12,0),Variables!$B$41:$E$45,4,0),0)</f>
        <v>0.09</v>
      </c>
      <c r="AU42" s="175">
        <f t="shared" si="14"/>
        <v>4301000</v>
      </c>
      <c r="AV42" s="359">
        <f t="shared" si="16"/>
        <v>7288000</v>
      </c>
      <c r="AW42" s="175">
        <f t="shared" si="5"/>
        <v>40491242.961250037</v>
      </c>
      <c r="AX42" s="175">
        <f t="shared" si="21"/>
        <v>7288000</v>
      </c>
      <c r="BH42" s="15">
        <f>VLOOKUP($A42,'Financ 1'!$A$15:$Q$75,17,0)+VLOOKUP($A42,'Financ 2'!$A$15:$Q$75,17,0)</f>
        <v>-9156764</v>
      </c>
      <c r="BI42" s="15"/>
    </row>
    <row r="43" spans="1:61" x14ac:dyDescent="0.35">
      <c r="A43" s="18">
        <v>35</v>
      </c>
      <c r="B43" s="184">
        <v>43069</v>
      </c>
      <c r="C43" s="331">
        <f t="shared" si="7"/>
        <v>2017</v>
      </c>
      <c r="D43" s="175">
        <v>0</v>
      </c>
      <c r="E43" s="175">
        <f>IFERROR(HLOOKUP($B43,'Inv Adic'!$D$6:$M$29,13,0),0)</f>
        <v>0</v>
      </c>
      <c r="F43" s="175">
        <f>IFERROR(VLOOKUP($B43,'Inv Temp'!$B$7:$I$67,F$1,0),0)</f>
        <v>0</v>
      </c>
      <c r="G43" s="175">
        <f t="shared" si="8"/>
        <v>0</v>
      </c>
      <c r="H43" s="175">
        <f>VLOOKUP($B43,'Financ Total'!$B$10:$F$70,H$1,0)</f>
        <v>32000000</v>
      </c>
      <c r="I43" s="309">
        <v>0</v>
      </c>
      <c r="J43" s="175">
        <f>VLOOKUP($B43,'Financ Total'!$B$10:$F$70,J$1,0)</f>
        <v>97943750</v>
      </c>
      <c r="K43" s="175">
        <f>VLOOKUP($B43,'Financ Total'!$B$10:$F$70,K$1,0)</f>
        <v>1098761</v>
      </c>
      <c r="L43" s="175">
        <f t="shared" si="9"/>
        <v>-67042511</v>
      </c>
      <c r="M43" s="175">
        <f>IF($M$1=0,IFERROR(HLOOKUP(YEAR($B43),'Ing Proyect'!$B$6:$G$12,6,0),0),IF($M$1=1,IFERROR(HLOOKUP(YEAR($B42),'Ing Proyect'!$B$6:$G$12,6,0),0),IFERROR(HLOOKUP(YEAR($B41),'Ing Proyect'!$B$6:$G$12,6,0),0)))</f>
        <v>136718000</v>
      </c>
      <c r="N43" s="175">
        <f>VLOOKUP($B43,'Inv Temp'!$B$7:$I$67,N$2,0)</f>
        <v>0</v>
      </c>
      <c r="O43" s="175">
        <v>0</v>
      </c>
      <c r="P43" s="175">
        <f t="shared" si="15"/>
        <v>136718000</v>
      </c>
      <c r="Q43" s="175">
        <f>VLOOKUP($B43,'Gtos Consultores'!$B$9:$AH$69,Q$3,0)</f>
        <v>98123198.200000003</v>
      </c>
      <c r="R43" s="175">
        <f>VLOOKUP($B43,'Gtos Consultores'!$B$9:$AH$69,R$3,0)</f>
        <v>9464665.9038749989</v>
      </c>
      <c r="S43" s="175">
        <f>IFERROR(VLOOKUP($B43,'Gtos Consultores'!$B$9:$AH$69,S$3,0),0)</f>
        <v>0</v>
      </c>
      <c r="T43" s="175">
        <f>IF($T$1=0,IFERROR(HLOOKUP(YEAR($B43),'Gastos Proyect'!$B$4:$F$17,14,0),0),IF($T$1=1,IFERROR(HLOOKUP(YEAR($B42),'Gastos Proyect'!$B$4:$F$17,14,0),0),IFERROR(HLOOKUP(YEAR($B41),'Gastos Proyect'!$B$4:$F$17,14,0),0)))</f>
        <v>12193000</v>
      </c>
      <c r="U43" s="359">
        <f>IFERROR(HLOOKUP(YEAR($B43),'Ing Proyect'!$B$6:$G$12,6,0),0)*$U$2</f>
        <v>6835900</v>
      </c>
      <c r="V43" s="175">
        <v>0</v>
      </c>
      <c r="W43" s="175">
        <f t="shared" si="17"/>
        <v>126616764.103875</v>
      </c>
      <c r="X43" s="175">
        <f t="shared" si="10"/>
        <v>10101235.896125004</v>
      </c>
      <c r="Y43" s="359">
        <f t="shared" si="18"/>
        <v>0</v>
      </c>
      <c r="Z43" s="175">
        <f t="shared" si="11"/>
        <v>-56941275.103874996</v>
      </c>
      <c r="AB43" s="175">
        <f t="shared" si="2"/>
        <v>130000000</v>
      </c>
      <c r="AC43" s="175">
        <f>AE42+(-G43+(VLOOKUP($A43,'Financ 1'!$A$15:$Q$75,17,0)+VLOOKUP($A43,'Financ 2'!$A$15:$Q$75,17,0))+I43+P43-W43+Y43)-AB43</f>
        <v>-31374756.987625346</v>
      </c>
      <c r="AD43" s="175">
        <f>VLOOKUP($B43,'Inv Temp'!$B$7:$I$67,AD$2,0)</f>
        <v>0</v>
      </c>
      <c r="AE43" s="175">
        <f>IF($A43=0,'Inv Inicial'!$D$15,AE42+Z43-AC43*0+AD43)</f>
        <v>40668492.012374654</v>
      </c>
      <c r="AF43" s="175">
        <f t="shared" si="19"/>
        <v>0</v>
      </c>
      <c r="AG43" s="175">
        <f t="shared" si="20"/>
        <v>89331507.987625346</v>
      </c>
      <c r="AI43" s="175">
        <f>VLOOKUP($A43,'Amort Inv Inic'!$A$7:$U$67,21,0)</f>
        <v>722225</v>
      </c>
      <c r="AJ43" s="175">
        <f>VLOOKUP($A43,'Amort Inv Adic'!$A$7:$BI$67,54,0)</f>
        <v>2263347</v>
      </c>
      <c r="AK43" s="175">
        <f t="shared" si="12"/>
        <v>2985572</v>
      </c>
      <c r="AM43" s="175">
        <f>IFERROR(HLOOKUP(YEAR($B43),'Ing Proyect'!$B$6:$G$12,6,0),0)</f>
        <v>136718000</v>
      </c>
      <c r="AN43" s="175">
        <f>VLOOKUP($B43,'Gtos Consultores'!$B$9:$AI$69,AN$3,0)</f>
        <v>1191194</v>
      </c>
      <c r="AO43" s="175">
        <f>(P43-M43+AM43)-(W43-S43)-K43-AK43-AN43+T43-IFERROR(HLOOKUP(YEAR($B43),'Gastos Proyect'!$B$4:$F$17,14,0),0)</f>
        <v>4825708.8961250037</v>
      </c>
      <c r="AP43" s="175">
        <f>SUMIF($C$8:$C43,$C43,$AO$8:$AO43)</f>
        <v>52604951.857375041</v>
      </c>
      <c r="AR43" s="320">
        <f>IFERROR(VLOOKUP(ROUNDUP($A43/12,0),Variables!$B$32:$E$36,4,0),0)</f>
        <v>6.25E-2</v>
      </c>
      <c r="AS43" s="175">
        <f t="shared" si="13"/>
        <v>3288000</v>
      </c>
      <c r="AT43" s="320">
        <f>IFERROR(VLOOKUP(ROUNDUP($A43/12,0),Variables!$B$41:$E$45,4,0),0)</f>
        <v>0.09</v>
      </c>
      <c r="AU43" s="175">
        <f t="shared" si="14"/>
        <v>4735000</v>
      </c>
      <c r="AV43" s="359">
        <f t="shared" si="16"/>
        <v>8023000</v>
      </c>
      <c r="AW43" s="175">
        <f t="shared" si="5"/>
        <v>44581951.857375041</v>
      </c>
      <c r="AX43" s="175">
        <f t="shared" si="21"/>
        <v>8023000</v>
      </c>
      <c r="BH43" s="15">
        <f>VLOOKUP($A43,'Financ 1'!$A$15:$Q$75,17,0)+VLOOKUP($A43,'Financ 2'!$A$15:$Q$75,17,0)</f>
        <v>-9085760</v>
      </c>
      <c r="BI43" s="15"/>
    </row>
    <row r="44" spans="1:61" x14ac:dyDescent="0.35">
      <c r="A44" s="18">
        <v>36</v>
      </c>
      <c r="B44" s="184">
        <v>43100</v>
      </c>
      <c r="C44" s="331">
        <f t="shared" si="7"/>
        <v>2017</v>
      </c>
      <c r="D44" s="175">
        <v>0</v>
      </c>
      <c r="E44" s="175">
        <f>IFERROR(HLOOKUP($B44,'Inv Adic'!$D$6:$M$29,13,0),0)</f>
        <v>3993000</v>
      </c>
      <c r="F44" s="175">
        <f>IFERROR(VLOOKUP($B44,'Inv Temp'!$B$7:$I$67,F$1,0),0)</f>
        <v>0</v>
      </c>
      <c r="G44" s="175">
        <f t="shared" si="8"/>
        <v>3993000</v>
      </c>
      <c r="H44" s="175">
        <f>VLOOKUP($B44,'Financ Total'!$B$10:$F$70,H$1,0)</f>
        <v>119000000</v>
      </c>
      <c r="I44" s="309">
        <v>0</v>
      </c>
      <c r="J44" s="175">
        <f>VLOOKUP($B44,'Financ Total'!$B$10:$F$70,J$1,0)</f>
        <v>40943750</v>
      </c>
      <c r="K44" s="175">
        <f>VLOOKUP($B44,'Financ Total'!$B$10:$F$70,K$1,0)</f>
        <v>415006</v>
      </c>
      <c r="L44" s="175">
        <f t="shared" si="9"/>
        <v>77641244</v>
      </c>
      <c r="M44" s="175">
        <f>IF($M$1=0,IFERROR(HLOOKUP(YEAR($B44),'Ing Proyect'!$B$6:$G$12,6,0),0),IF($M$1=1,IFERROR(HLOOKUP(YEAR($B43),'Ing Proyect'!$B$6:$G$12,6,0),0),IFERROR(HLOOKUP(YEAR($B42),'Ing Proyect'!$B$6:$G$12,6,0),0)))</f>
        <v>136718000</v>
      </c>
      <c r="N44" s="175">
        <f>VLOOKUP($B44,'Inv Temp'!$B$7:$I$67,N$2,0)</f>
        <v>0</v>
      </c>
      <c r="O44" s="175">
        <v>0</v>
      </c>
      <c r="P44" s="175">
        <f t="shared" si="15"/>
        <v>136718000</v>
      </c>
      <c r="Q44" s="175">
        <f>VLOOKUP($B44,'Gtos Consultores'!$B$9:$AH$69,Q$3,0)</f>
        <v>98123198.200000003</v>
      </c>
      <c r="R44" s="175">
        <f>VLOOKUP($B44,'Gtos Consultores'!$B$9:$AH$69,R$3,0)</f>
        <v>9464665.9038749989</v>
      </c>
      <c r="S44" s="175">
        <f>IFERROR(VLOOKUP($B44,'Gtos Consultores'!$B$9:$AH$69,S$3,0),0)</f>
        <v>3371305</v>
      </c>
      <c r="T44" s="175">
        <f>IF($T$1=0,IFERROR(HLOOKUP(YEAR($B44),'Gastos Proyect'!$B$4:$F$17,14,0),0),IF($T$1=1,IFERROR(HLOOKUP(YEAR($B43),'Gastos Proyect'!$B$4:$F$17,14,0),0),IFERROR(HLOOKUP(YEAR($B42),'Gastos Proyect'!$B$4:$F$17,14,0),0)))</f>
        <v>12193000</v>
      </c>
      <c r="U44" s="359">
        <f>IFERROR(HLOOKUP(YEAR($B44),'Ing Proyect'!$B$6:$G$12,6,0),0)*$U$2</f>
        <v>6835900</v>
      </c>
      <c r="V44" s="175">
        <v>0</v>
      </c>
      <c r="W44" s="175">
        <f t="shared" si="17"/>
        <v>129988069.103875</v>
      </c>
      <c r="X44" s="175">
        <f t="shared" si="10"/>
        <v>6729930.8961250037</v>
      </c>
      <c r="Y44" s="359">
        <f t="shared" si="18"/>
        <v>0</v>
      </c>
      <c r="Z44" s="175">
        <f t="shared" si="11"/>
        <v>80378174.896125004</v>
      </c>
      <c r="AB44" s="175">
        <f t="shared" si="2"/>
        <v>153000000</v>
      </c>
      <c r="AC44" s="175">
        <f>AE43+(-G44+(VLOOKUP($A44,'Financ 1'!$A$15:$Q$75,17,0)+VLOOKUP($A44,'Financ 2'!$A$15:$Q$75,17,0))+I44+P44-W44+Y44)-AB44</f>
        <v>-118609332.09150034</v>
      </c>
      <c r="AD44" s="175">
        <f>VLOOKUP($B44,'Inv Temp'!$B$7:$I$67,AD$2,0)</f>
        <v>0</v>
      </c>
      <c r="AE44" s="175">
        <f>IF($A44=0,'Inv Inicial'!$D$15,AE43+Z44-AC44*0+AD44)</f>
        <v>121046666.90849966</v>
      </c>
      <c r="AF44" s="175">
        <f t="shared" si="19"/>
        <v>0</v>
      </c>
      <c r="AG44" s="175">
        <f t="shared" si="20"/>
        <v>31953333.091500342</v>
      </c>
      <c r="AI44" s="175">
        <f>VLOOKUP($A44,'Amort Inv Inic'!$A$7:$U$67,21,0)</f>
        <v>722221</v>
      </c>
      <c r="AJ44" s="175">
        <f>VLOOKUP($A44,'Amort Inv Adic'!$A$7:$BI$67,54,0)</f>
        <v>2263347</v>
      </c>
      <c r="AK44" s="175">
        <f t="shared" si="12"/>
        <v>2985568</v>
      </c>
      <c r="AM44" s="175">
        <f>IFERROR(HLOOKUP(YEAR($B44),'Ing Proyect'!$B$6:$G$12,6,0),0)</f>
        <v>136718000</v>
      </c>
      <c r="AN44" s="175">
        <f>VLOOKUP($B44,'Gtos Consultores'!$B$9:$AI$69,AN$3,0)</f>
        <v>1191194</v>
      </c>
      <c r="AO44" s="175">
        <f>(P44-M44+AM44)-(W44-S44)-K44-AK44-AN44+T44-IFERROR(HLOOKUP(YEAR($B44),'Gastos Proyect'!$B$4:$F$17,14,0),0)</f>
        <v>5509467.8961250037</v>
      </c>
      <c r="AP44" s="175">
        <f>SUMIF($C$8:$C44,$C44,$AO$8:$AO44)</f>
        <v>58114419.753500044</v>
      </c>
      <c r="AR44" s="320">
        <f>IFERROR(VLOOKUP(ROUNDUP($A44/12,0),Variables!$B$32:$E$36,4,0),0)</f>
        <v>6.25E-2</v>
      </c>
      <c r="AS44" s="175">
        <f t="shared" si="13"/>
        <v>3633000</v>
      </c>
      <c r="AT44" s="320">
        <f>IFERROR(VLOOKUP(ROUNDUP($A44/12,0),Variables!$B$41:$E$45,4,0),0)</f>
        <v>0.09</v>
      </c>
      <c r="AU44" s="175">
        <f t="shared" si="14"/>
        <v>5231000</v>
      </c>
      <c r="AV44" s="359">
        <f t="shared" si="16"/>
        <v>8864000</v>
      </c>
      <c r="AW44" s="175">
        <f t="shared" si="5"/>
        <v>49250419.753500044</v>
      </c>
      <c r="AX44" s="175">
        <f t="shared" si="21"/>
        <v>8864000</v>
      </c>
      <c r="BH44" s="15">
        <f>VLOOKUP($A44,'Financ 1'!$A$15:$Q$75,17,0)+VLOOKUP($A44,'Financ 2'!$A$15:$Q$75,17,0)</f>
        <v>-9014755</v>
      </c>
      <c r="BI44" s="15"/>
    </row>
    <row r="45" spans="1:61" x14ac:dyDescent="0.35">
      <c r="A45" s="18">
        <v>37</v>
      </c>
      <c r="B45" s="184">
        <v>43131</v>
      </c>
      <c r="C45" s="331">
        <f t="shared" si="7"/>
        <v>2018</v>
      </c>
      <c r="D45" s="175">
        <v>0</v>
      </c>
      <c r="E45" s="175">
        <f>IFERROR(HLOOKUP($B45,'Inv Adic'!$D$6:$M$29,13,0),0)</f>
        <v>0</v>
      </c>
      <c r="F45" s="175">
        <f>IFERROR(VLOOKUP($B45,'Inv Temp'!$B$7:$I$67,F$1,0),0)</f>
        <v>0</v>
      </c>
      <c r="G45" s="175">
        <f t="shared" si="8"/>
        <v>0</v>
      </c>
      <c r="H45" s="175">
        <f>VLOOKUP($B45,'Financ Total'!$B$10:$F$70,H$1,0)</f>
        <v>41000000</v>
      </c>
      <c r="I45" s="309">
        <v>0</v>
      </c>
      <c r="J45" s="175">
        <f>VLOOKUP($B45,'Financ Total'!$B$10:$F$70,J$1,0)</f>
        <v>119000000</v>
      </c>
      <c r="K45" s="175">
        <f>VLOOKUP($B45,'Financ Total'!$B$10:$F$70,K$1,0)</f>
        <v>1303715</v>
      </c>
      <c r="L45" s="175">
        <f t="shared" si="9"/>
        <v>-79303715</v>
      </c>
      <c r="M45" s="175">
        <f>IF($M$1=0,IFERROR(HLOOKUP(YEAR($B45),'Ing Proyect'!$B$6:$G$12,6,0),0),IF($M$1=1,IFERROR(HLOOKUP(YEAR($B44),'Ing Proyect'!$B$6:$G$12,6,0),0),IFERROR(HLOOKUP(YEAR($B43),'Ing Proyect'!$B$6:$G$12,6,0),0)))</f>
        <v>136718000</v>
      </c>
      <c r="N45" s="175">
        <f>VLOOKUP($B45,'Inv Temp'!$B$7:$I$67,N$2,0)</f>
        <v>0</v>
      </c>
      <c r="O45" s="175">
        <v>0</v>
      </c>
      <c r="P45" s="175">
        <f t="shared" si="15"/>
        <v>136718000</v>
      </c>
      <c r="Q45" s="175">
        <f>VLOOKUP($B45,'Gtos Consultores'!$B$9:$AH$69,Q$3,0)</f>
        <v>113661875.30000001</v>
      </c>
      <c r="R45" s="175">
        <f>VLOOKUP($B45,'Gtos Consultores'!$B$9:$AH$69,R$3,0)</f>
        <v>10983490.187200001</v>
      </c>
      <c r="S45" s="175">
        <f>IFERROR(VLOOKUP($B45,'Gtos Consultores'!$B$9:$AH$69,S$3,0),0)</f>
        <v>7551722</v>
      </c>
      <c r="T45" s="175">
        <f>IF($T$1=0,IFERROR(HLOOKUP(YEAR($B45),'Gastos Proyect'!$B$4:$F$17,14,0),0),IF($T$1=1,IFERROR(HLOOKUP(YEAR($B44),'Gastos Proyect'!$B$4:$F$17,14,0),0),IFERROR(HLOOKUP(YEAR($B43),'Gastos Proyect'!$B$4:$F$17,14,0),0)))</f>
        <v>12559000</v>
      </c>
      <c r="U45" s="359">
        <f>IFERROR(HLOOKUP(YEAR($B45),'Ing Proyect'!$B$6:$G$12,6,0),0)*$U$2</f>
        <v>7833700</v>
      </c>
      <c r="V45" s="175">
        <v>0</v>
      </c>
      <c r="W45" s="175">
        <f t="shared" si="17"/>
        <v>152589787.48720002</v>
      </c>
      <c r="X45" s="175">
        <f t="shared" si="10"/>
        <v>-15871787.487200022</v>
      </c>
      <c r="Y45" s="359">
        <f t="shared" si="18"/>
        <v>0</v>
      </c>
      <c r="Z45" s="175">
        <f t="shared" si="11"/>
        <v>-95175502.487200022</v>
      </c>
      <c r="AB45" s="175">
        <f t="shared" si="2"/>
        <v>146000000</v>
      </c>
      <c r="AC45" s="175">
        <f>AE44+(-G45+(VLOOKUP($A45,'Financ 1'!$A$15:$Q$75,17,0)+VLOOKUP($A45,'Financ 2'!$A$15:$Q$75,17,0))+I45+P45-W45+Y45)-AB45</f>
        <v>-40825120.578700364</v>
      </c>
      <c r="AD45" s="175">
        <f>VLOOKUP($B45,'Inv Temp'!$B$7:$I$67,AD$2,0)</f>
        <v>0</v>
      </c>
      <c r="AE45" s="175">
        <f>IF($A45=0,'Inv Inicial'!$D$15,AE44+Z45-AC45*0+AD45)</f>
        <v>25871164.421299636</v>
      </c>
      <c r="AF45" s="175">
        <f t="shared" si="19"/>
        <v>0</v>
      </c>
      <c r="AG45" s="175">
        <f t="shared" si="20"/>
        <v>120128835.57870036</v>
      </c>
      <c r="AI45" s="175">
        <f>VLOOKUP($A45,'Amort Inv Inic'!$A$7:$U$67,21,0)</f>
        <v>354168</v>
      </c>
      <c r="AJ45" s="175">
        <f>VLOOKUP($A45,'Amort Inv Adic'!$A$7:$BI$67,54,0)</f>
        <v>2293597</v>
      </c>
      <c r="AK45" s="175">
        <f t="shared" si="12"/>
        <v>2647765</v>
      </c>
      <c r="AM45" s="175">
        <f>IFERROR(HLOOKUP(YEAR($B45),'Ing Proyect'!$B$6:$G$12,6,0),0)</f>
        <v>156674000</v>
      </c>
      <c r="AN45" s="175">
        <f>VLOOKUP($B45,'Gtos Consultores'!$B$9:$AI$69,AN$3,0)</f>
        <v>1306793</v>
      </c>
      <c r="AO45" s="175">
        <f>(P45-M45+AM45)-(W45-S45)-K45-AK45-AN45+T45-IFERROR(HLOOKUP(YEAR($B45),'Gastos Proyect'!$B$4:$F$17,14,0),0)</f>
        <v>6377661.5127999783</v>
      </c>
      <c r="AP45" s="175">
        <f>SUMIF($C$8:$C45,$C45,$AO$8:$AO45)</f>
        <v>6377661.5127999783</v>
      </c>
      <c r="AR45" s="320">
        <f>IFERROR(VLOOKUP(ROUNDUP($A45/12,0),Variables!$B$32:$E$36,4,0),0)</f>
        <v>0.125</v>
      </c>
      <c r="AS45" s="175">
        <f t="shared" si="13"/>
        <v>798000</v>
      </c>
      <c r="AT45" s="320">
        <f>IFERROR(VLOOKUP(ROUNDUP($A45/12,0),Variables!$B$41:$E$45,4,0),0)</f>
        <v>0.09</v>
      </c>
      <c r="AU45" s="175">
        <f t="shared" si="14"/>
        <v>574000</v>
      </c>
      <c r="AV45" s="359">
        <f t="shared" si="16"/>
        <v>1372000</v>
      </c>
      <c r="AW45" s="175">
        <f t="shared" si="5"/>
        <v>5005661.5127999783</v>
      </c>
      <c r="AX45" s="175">
        <f t="shared" si="21"/>
        <v>10236000</v>
      </c>
      <c r="BH45" s="15">
        <f>VLOOKUP($A45,'Financ 1'!$A$15:$Q$75,17,0)+VLOOKUP($A45,'Financ 2'!$A$15:$Q$75,17,0)</f>
        <v>0</v>
      </c>
      <c r="BI45" s="15"/>
    </row>
    <row r="46" spans="1:61" x14ac:dyDescent="0.35">
      <c r="A46" s="18">
        <v>38</v>
      </c>
      <c r="B46" s="184">
        <v>43159</v>
      </c>
      <c r="C46" s="331">
        <f t="shared" si="7"/>
        <v>2018</v>
      </c>
      <c r="D46" s="175">
        <v>0</v>
      </c>
      <c r="E46" s="175">
        <f>IFERROR(HLOOKUP($B46,'Inv Adic'!$D$6:$M$29,13,0),0)</f>
        <v>0</v>
      </c>
      <c r="F46" s="175">
        <f>IFERROR(VLOOKUP($B46,'Inv Temp'!$B$7:$I$67,F$1,0),0)</f>
        <v>0</v>
      </c>
      <c r="G46" s="175">
        <f t="shared" si="8"/>
        <v>0</v>
      </c>
      <c r="H46" s="175">
        <f>VLOOKUP($B46,'Financ Total'!$B$10:$F$70,H$1,0)</f>
        <v>109000000</v>
      </c>
      <c r="I46" s="309">
        <v>0</v>
      </c>
      <c r="J46" s="175">
        <f>VLOOKUP($B46,'Financ Total'!$B$10:$F$70,J$1,0)</f>
        <v>41000000</v>
      </c>
      <c r="K46" s="175">
        <f>VLOOKUP($B46,'Financ Total'!$B$10:$F$70,K$1,0)</f>
        <v>449179</v>
      </c>
      <c r="L46" s="175">
        <f t="shared" si="9"/>
        <v>67550821</v>
      </c>
      <c r="M46" s="175">
        <f>IF($M$1=0,IFERROR(HLOOKUP(YEAR($B46),'Ing Proyect'!$B$6:$G$12,6,0),0),IF($M$1=1,IFERROR(HLOOKUP(YEAR($B45),'Ing Proyect'!$B$6:$G$12,6,0),0),IFERROR(HLOOKUP(YEAR($B44),'Ing Proyect'!$B$6:$G$12,6,0),0)))</f>
        <v>156674000</v>
      </c>
      <c r="N46" s="175">
        <f>VLOOKUP($B46,'Inv Temp'!$B$7:$I$67,N$2,0)</f>
        <v>0</v>
      </c>
      <c r="O46" s="175">
        <v>0</v>
      </c>
      <c r="P46" s="175">
        <f t="shared" si="15"/>
        <v>156674000</v>
      </c>
      <c r="Q46" s="175">
        <f>VLOOKUP($B46,'Gtos Consultores'!$B$9:$AH$69,Q$3,0)</f>
        <v>113661875.30000001</v>
      </c>
      <c r="R46" s="175">
        <f>VLOOKUP($B46,'Gtos Consultores'!$B$9:$AH$69,R$3,0)</f>
        <v>10983490.187200001</v>
      </c>
      <c r="S46" s="175">
        <f>IFERROR(VLOOKUP($B46,'Gtos Consultores'!$B$9:$AH$69,S$3,0),0)</f>
        <v>0</v>
      </c>
      <c r="T46" s="175">
        <f>IF($T$1=0,IFERROR(HLOOKUP(YEAR($B46),'Gastos Proyect'!$B$4:$F$17,14,0),0),IF($T$1=1,IFERROR(HLOOKUP(YEAR($B45),'Gastos Proyect'!$B$4:$F$17,14,0),0),IFERROR(HLOOKUP(YEAR($B44),'Gastos Proyect'!$B$4:$F$17,14,0),0)))</f>
        <v>12559000</v>
      </c>
      <c r="U46" s="359">
        <f>IFERROR(HLOOKUP(YEAR($B46),'Ing Proyect'!$B$6:$G$12,6,0),0)*$U$2</f>
        <v>7833700</v>
      </c>
      <c r="V46" s="175">
        <v>0</v>
      </c>
      <c r="W46" s="175">
        <f t="shared" si="17"/>
        <v>145038065.48720002</v>
      </c>
      <c r="X46" s="175">
        <f t="shared" si="10"/>
        <v>11635934.512799978</v>
      </c>
      <c r="Y46" s="359">
        <f t="shared" si="18"/>
        <v>0</v>
      </c>
      <c r="Z46" s="175">
        <f t="shared" si="11"/>
        <v>79186755.512799978</v>
      </c>
      <c r="AB46" s="175">
        <f t="shared" si="2"/>
        <v>146000000</v>
      </c>
      <c r="AC46" s="175">
        <f>AE45+(-G46+(VLOOKUP($A46,'Financ 1'!$A$15:$Q$75,17,0)+VLOOKUP($A46,'Financ 2'!$A$15:$Q$75,17,0))+I46+P46-W46+Y46)-AB46</f>
        <v>-108492901.06590039</v>
      </c>
      <c r="AD46" s="175">
        <f>VLOOKUP($B46,'Inv Temp'!$B$7:$I$67,AD$2,0)</f>
        <v>0</v>
      </c>
      <c r="AE46" s="175">
        <f>IF($A46=0,'Inv Inicial'!$D$15,AE45+Z46-AC46*0+AD46)</f>
        <v>105057919.93409961</v>
      </c>
      <c r="AF46" s="175">
        <f t="shared" si="19"/>
        <v>0</v>
      </c>
      <c r="AG46" s="175">
        <f t="shared" si="20"/>
        <v>40942080.065900385</v>
      </c>
      <c r="AI46" s="175">
        <f>VLOOKUP($A46,'Amort Inv Inic'!$A$7:$U$67,21,0)</f>
        <v>354166</v>
      </c>
      <c r="AJ46" s="175">
        <f>VLOOKUP($A46,'Amort Inv Adic'!$A$7:$BI$67,54,0)</f>
        <v>2293597</v>
      </c>
      <c r="AK46" s="175">
        <f t="shared" si="12"/>
        <v>2647763</v>
      </c>
      <c r="AM46" s="175">
        <f>IFERROR(HLOOKUP(YEAR($B46),'Ing Proyect'!$B$6:$G$12,6,0),0)</f>
        <v>156674000</v>
      </c>
      <c r="AN46" s="175">
        <f>VLOOKUP($B46,'Gtos Consultores'!$B$9:$AI$69,AN$3,0)</f>
        <v>1306793</v>
      </c>
      <c r="AO46" s="175">
        <f>(P46-M46+AM46)-(W46-S46)-K46-AK46-AN46+T46-IFERROR(HLOOKUP(YEAR($B46),'Gastos Proyect'!$B$4:$F$17,14,0),0)</f>
        <v>7232199.5127999783</v>
      </c>
      <c r="AP46" s="175">
        <f>SUMIF($C$8:$C46,$C46,$AO$8:$AO46)</f>
        <v>13609861.025599957</v>
      </c>
      <c r="AR46" s="320">
        <f>IFERROR(VLOOKUP(ROUNDUP($A46/12,0),Variables!$B$32:$E$36,4,0),0)</f>
        <v>0.125</v>
      </c>
      <c r="AS46" s="175">
        <f t="shared" si="13"/>
        <v>1702000</v>
      </c>
      <c r="AT46" s="320">
        <f>IFERROR(VLOOKUP(ROUNDUP($A46/12,0),Variables!$B$41:$E$45,4,0),0)</f>
        <v>0.09</v>
      </c>
      <c r="AU46" s="175">
        <f t="shared" si="14"/>
        <v>1225000</v>
      </c>
      <c r="AV46" s="359">
        <f t="shared" si="16"/>
        <v>2927000</v>
      </c>
      <c r="AW46" s="175">
        <f t="shared" si="5"/>
        <v>10682861.025599957</v>
      </c>
      <c r="AX46" s="175">
        <f t="shared" si="21"/>
        <v>11791000</v>
      </c>
      <c r="BH46" s="15">
        <f>VLOOKUP($A46,'Financ 1'!$A$15:$Q$75,17,0)+VLOOKUP($A46,'Financ 2'!$A$15:$Q$75,17,0)</f>
        <v>0</v>
      </c>
      <c r="BI46" s="15"/>
    </row>
    <row r="47" spans="1:61" x14ac:dyDescent="0.35">
      <c r="A47" s="18">
        <v>39</v>
      </c>
      <c r="B47" s="184">
        <v>43190</v>
      </c>
      <c r="C47" s="331">
        <f t="shared" si="7"/>
        <v>2018</v>
      </c>
      <c r="D47" s="175">
        <v>0</v>
      </c>
      <c r="E47" s="175">
        <f>IFERROR(HLOOKUP($B47,'Inv Adic'!$D$6:$M$29,13,0),0)</f>
        <v>0</v>
      </c>
      <c r="F47" s="175">
        <f>IFERROR(VLOOKUP($B47,'Inv Temp'!$B$7:$I$67,F$1,0),0)</f>
        <v>0</v>
      </c>
      <c r="G47" s="175">
        <f t="shared" si="8"/>
        <v>0</v>
      </c>
      <c r="H47" s="175">
        <f>VLOOKUP($B47,'Financ Total'!$B$10:$F$70,H$1,0)</f>
        <v>30000000</v>
      </c>
      <c r="I47" s="309">
        <v>0</v>
      </c>
      <c r="J47" s="175">
        <f>VLOOKUP($B47,'Financ Total'!$B$10:$F$70,J$1,0)</f>
        <v>109000000</v>
      </c>
      <c r="K47" s="175">
        <f>VLOOKUP($B47,'Financ Total'!$B$10:$F$70,K$1,0)</f>
        <v>1194159</v>
      </c>
      <c r="L47" s="175">
        <f t="shared" si="9"/>
        <v>-80194159</v>
      </c>
      <c r="M47" s="175">
        <f>IF($M$1=0,IFERROR(HLOOKUP(YEAR($B47),'Ing Proyect'!$B$6:$G$12,6,0),0),IF($M$1=1,IFERROR(HLOOKUP(YEAR($B46),'Ing Proyect'!$B$6:$G$12,6,0),0),IFERROR(HLOOKUP(YEAR($B45),'Ing Proyect'!$B$6:$G$12,6,0),0)))</f>
        <v>156674000</v>
      </c>
      <c r="N47" s="175">
        <f>VLOOKUP($B47,'Inv Temp'!$B$7:$I$67,N$2,0)</f>
        <v>0</v>
      </c>
      <c r="O47" s="175">
        <v>0</v>
      </c>
      <c r="P47" s="175">
        <f t="shared" si="15"/>
        <v>156674000</v>
      </c>
      <c r="Q47" s="175">
        <f>VLOOKUP($B47,'Gtos Consultores'!$B$9:$AH$69,Q$3,0)</f>
        <v>113661875.30000001</v>
      </c>
      <c r="R47" s="175">
        <f>VLOOKUP($B47,'Gtos Consultores'!$B$9:$AH$69,R$3,0)</f>
        <v>10983490.187200001</v>
      </c>
      <c r="S47" s="175">
        <f>IFERROR(VLOOKUP($B47,'Gtos Consultores'!$B$9:$AH$69,S$3,0),0)</f>
        <v>0</v>
      </c>
      <c r="T47" s="175">
        <f>IF($T$1=0,IFERROR(HLOOKUP(YEAR($B47),'Gastos Proyect'!$B$4:$F$17,14,0),0),IF($T$1=1,IFERROR(HLOOKUP(YEAR($B46),'Gastos Proyect'!$B$4:$F$17,14,0),0),IFERROR(HLOOKUP(YEAR($B45),'Gastos Proyect'!$B$4:$F$17,14,0),0)))</f>
        <v>12559000</v>
      </c>
      <c r="U47" s="359">
        <f>IFERROR(HLOOKUP(YEAR($B47),'Ing Proyect'!$B$6:$G$12,6,0),0)*$U$2</f>
        <v>7833700</v>
      </c>
      <c r="V47" s="175">
        <v>0</v>
      </c>
      <c r="W47" s="175">
        <f t="shared" si="17"/>
        <v>145038065.48720002</v>
      </c>
      <c r="X47" s="175">
        <f t="shared" si="10"/>
        <v>11635934.512799978</v>
      </c>
      <c r="Y47" s="359">
        <f t="shared" si="18"/>
        <v>0</v>
      </c>
      <c r="Z47" s="175">
        <f t="shared" si="11"/>
        <v>-68558224.487200022</v>
      </c>
      <c r="AB47" s="175">
        <f t="shared" si="2"/>
        <v>146000000</v>
      </c>
      <c r="AC47" s="175">
        <f>AE46+(-G47+(VLOOKUP($A47,'Financ 1'!$A$15:$Q$75,17,0)+VLOOKUP($A47,'Financ 2'!$A$15:$Q$75,17,0))+I47+P47-W47+Y47)-AB47</f>
        <v>-29306145.553100407</v>
      </c>
      <c r="AD47" s="175">
        <f>VLOOKUP($B47,'Inv Temp'!$B$7:$I$67,AD$2,0)</f>
        <v>0</v>
      </c>
      <c r="AE47" s="175">
        <f>IF($A47=0,'Inv Inicial'!$D$15,AE46+Z47-AC47*0+AD47)</f>
        <v>36499695.446899593</v>
      </c>
      <c r="AF47" s="175">
        <f t="shared" si="19"/>
        <v>0</v>
      </c>
      <c r="AG47" s="175">
        <f t="shared" si="20"/>
        <v>109500304.55310041</v>
      </c>
      <c r="AI47" s="175">
        <f>VLOOKUP($A47,'Amort Inv Inic'!$A$7:$U$67,21,0)</f>
        <v>354168</v>
      </c>
      <c r="AJ47" s="175">
        <f>VLOOKUP($A47,'Amort Inv Adic'!$A$7:$BI$67,54,0)</f>
        <v>2293597</v>
      </c>
      <c r="AK47" s="175">
        <f t="shared" si="12"/>
        <v>2647765</v>
      </c>
      <c r="AM47" s="175">
        <f>IFERROR(HLOOKUP(YEAR($B47),'Ing Proyect'!$B$6:$G$12,6,0),0)</f>
        <v>156674000</v>
      </c>
      <c r="AN47" s="175">
        <f>VLOOKUP($B47,'Gtos Consultores'!$B$9:$AI$69,AN$3,0)</f>
        <v>1306793</v>
      </c>
      <c r="AO47" s="175">
        <f>(P47-M47+AM47)-(W47-S47)-K47-AK47-AN47+T47-IFERROR(HLOOKUP(YEAR($B47),'Gastos Proyect'!$B$4:$F$17,14,0),0)</f>
        <v>6487217.5127999783</v>
      </c>
      <c r="AP47" s="175">
        <f>SUMIF($C$8:$C47,$C47,$AO$8:$AO47)</f>
        <v>20097078.538399935</v>
      </c>
      <c r="AR47" s="320">
        <f>IFERROR(VLOOKUP(ROUNDUP($A47/12,0),Variables!$B$32:$E$36,4,0),0)</f>
        <v>0.125</v>
      </c>
      <c r="AS47" s="175">
        <f t="shared" si="13"/>
        <v>2513000</v>
      </c>
      <c r="AT47" s="320">
        <f>IFERROR(VLOOKUP(ROUNDUP($A47/12,0),Variables!$B$41:$E$45,4,0),0)</f>
        <v>0.09</v>
      </c>
      <c r="AU47" s="175">
        <f t="shared" si="14"/>
        <v>1809000</v>
      </c>
      <c r="AV47" s="359">
        <f t="shared" si="16"/>
        <v>4322000</v>
      </c>
      <c r="AW47" s="175">
        <f t="shared" si="5"/>
        <v>15775078.538399935</v>
      </c>
      <c r="AX47" s="175">
        <f t="shared" si="21"/>
        <v>13186000</v>
      </c>
      <c r="BH47" s="15">
        <f>VLOOKUP($A47,'Financ 1'!$A$15:$Q$75,17,0)+VLOOKUP($A47,'Financ 2'!$A$15:$Q$75,17,0)</f>
        <v>0</v>
      </c>
      <c r="BI47" s="15"/>
    </row>
    <row r="48" spans="1:61" x14ac:dyDescent="0.35">
      <c r="A48" s="18">
        <v>40</v>
      </c>
      <c r="B48" s="184">
        <v>43220</v>
      </c>
      <c r="C48" s="331">
        <f t="shared" si="7"/>
        <v>2018</v>
      </c>
      <c r="D48" s="175">
        <v>0</v>
      </c>
      <c r="E48" s="175">
        <f>IFERROR(HLOOKUP($B48,'Inv Adic'!$D$6:$M$29,13,0),0)</f>
        <v>0</v>
      </c>
      <c r="F48" s="175">
        <f>IFERROR(VLOOKUP($B48,'Inv Temp'!$B$7:$I$67,F$1,0),0)</f>
        <v>0</v>
      </c>
      <c r="G48" s="175">
        <f t="shared" si="8"/>
        <v>0</v>
      </c>
      <c r="H48" s="175">
        <f>VLOOKUP($B48,'Financ Total'!$B$10:$F$70,H$1,0)</f>
        <v>103000000</v>
      </c>
      <c r="I48" s="309">
        <v>0</v>
      </c>
      <c r="J48" s="175">
        <f>VLOOKUP($B48,'Financ Total'!$B$10:$F$70,J$1,0)</f>
        <v>30000000</v>
      </c>
      <c r="K48" s="175">
        <f>VLOOKUP($B48,'Financ Total'!$B$10:$F$70,K$1,0)</f>
        <v>322500</v>
      </c>
      <c r="L48" s="175">
        <f t="shared" si="9"/>
        <v>72677500</v>
      </c>
      <c r="M48" s="175">
        <f>IF($M$1=0,IFERROR(HLOOKUP(YEAR($B48),'Ing Proyect'!$B$6:$G$12,6,0),0),IF($M$1=1,IFERROR(HLOOKUP(YEAR($B47),'Ing Proyect'!$B$6:$G$12,6,0),0),IFERROR(HLOOKUP(YEAR($B46),'Ing Proyect'!$B$6:$G$12,6,0),0)))</f>
        <v>156674000</v>
      </c>
      <c r="N48" s="175">
        <f>VLOOKUP($B48,'Inv Temp'!$B$7:$I$67,N$2,0)</f>
        <v>0</v>
      </c>
      <c r="O48" s="175">
        <v>0</v>
      </c>
      <c r="P48" s="175">
        <f t="shared" si="15"/>
        <v>156674000</v>
      </c>
      <c r="Q48" s="175">
        <f>VLOOKUP($B48,'Gtos Consultores'!$B$9:$AH$69,Q$3,0)</f>
        <v>113661875.30000001</v>
      </c>
      <c r="R48" s="175">
        <f>VLOOKUP($B48,'Gtos Consultores'!$B$9:$AH$69,R$3,0)</f>
        <v>10983490.187200001</v>
      </c>
      <c r="S48" s="175">
        <f>IFERROR(VLOOKUP($B48,'Gtos Consultores'!$B$9:$AH$69,S$3,0),0)</f>
        <v>0</v>
      </c>
      <c r="T48" s="175">
        <f>IF($T$1=0,IFERROR(HLOOKUP(YEAR($B48),'Gastos Proyect'!$B$4:$F$17,14,0),0),IF($T$1=1,IFERROR(HLOOKUP(YEAR($B47),'Gastos Proyect'!$B$4:$F$17,14,0),0),IFERROR(HLOOKUP(YEAR($B46),'Gastos Proyect'!$B$4:$F$17,14,0),0)))</f>
        <v>12559000</v>
      </c>
      <c r="U48" s="359">
        <f>IFERROR(HLOOKUP(YEAR($B48),'Ing Proyect'!$B$6:$G$12,6,0),0)*$U$2</f>
        <v>7833700</v>
      </c>
      <c r="V48" s="175">
        <v>0</v>
      </c>
      <c r="W48" s="175">
        <f t="shared" si="17"/>
        <v>145038065.48720002</v>
      </c>
      <c r="X48" s="175">
        <f t="shared" si="10"/>
        <v>11635934.512799978</v>
      </c>
      <c r="Y48" s="359">
        <f t="shared" si="18"/>
        <v>-4432000</v>
      </c>
      <c r="Z48" s="175">
        <f t="shared" si="11"/>
        <v>79881434.512799978</v>
      </c>
      <c r="AB48" s="175">
        <f t="shared" si="2"/>
        <v>146000000</v>
      </c>
      <c r="AC48" s="175">
        <f>AE47+(-G48+(VLOOKUP($A48,'Financ 1'!$A$15:$Q$75,17,0)+VLOOKUP($A48,'Financ 2'!$A$15:$Q$75,17,0))+I48+P48-W48+Y48)-AB48</f>
        <v>-102296370.04030043</v>
      </c>
      <c r="AD48" s="175">
        <f>VLOOKUP($B48,'Inv Temp'!$B$7:$I$67,AD$2,0)</f>
        <v>0</v>
      </c>
      <c r="AE48" s="175">
        <f>IF($A48=0,'Inv Inicial'!$D$15,AE47+Z48-AC48*0+AD48)</f>
        <v>116381129.95969957</v>
      </c>
      <c r="AF48" s="175">
        <f t="shared" si="19"/>
        <v>0</v>
      </c>
      <c r="AG48" s="175">
        <f t="shared" si="20"/>
        <v>29618870.040300429</v>
      </c>
      <c r="AI48" s="175">
        <f>VLOOKUP($A48,'Amort Inv Inic'!$A$7:$U$67,21,0)</f>
        <v>354166</v>
      </c>
      <c r="AJ48" s="175">
        <f>VLOOKUP($A48,'Amort Inv Adic'!$A$7:$BI$67,54,0)</f>
        <v>2293597</v>
      </c>
      <c r="AK48" s="175">
        <f t="shared" si="12"/>
        <v>2647763</v>
      </c>
      <c r="AM48" s="175">
        <f>IFERROR(HLOOKUP(YEAR($B48),'Ing Proyect'!$B$6:$G$12,6,0),0)</f>
        <v>156674000</v>
      </c>
      <c r="AN48" s="175">
        <f>VLOOKUP($B48,'Gtos Consultores'!$B$9:$AI$69,AN$3,0)</f>
        <v>1306793</v>
      </c>
      <c r="AO48" s="175">
        <f>(P48-M48+AM48)-(W48-S48)-K48-AK48-AN48+T48-IFERROR(HLOOKUP(YEAR($B48),'Gastos Proyect'!$B$4:$F$17,14,0),0)</f>
        <v>7358878.5127999783</v>
      </c>
      <c r="AP48" s="175">
        <f>SUMIF($C$8:$C48,$C48,$AO$8:$AO48)</f>
        <v>27455957.051199913</v>
      </c>
      <c r="AR48" s="320">
        <f>IFERROR(VLOOKUP(ROUNDUP($A48/12,0),Variables!$B$32:$E$36,4,0),0)</f>
        <v>0.125</v>
      </c>
      <c r="AS48" s="175">
        <f t="shared" si="13"/>
        <v>3432000</v>
      </c>
      <c r="AT48" s="320">
        <f>IFERROR(VLOOKUP(ROUNDUP($A48/12,0),Variables!$B$41:$E$45,4,0),0)</f>
        <v>0.09</v>
      </c>
      <c r="AU48" s="175">
        <f t="shared" si="14"/>
        <v>2472000</v>
      </c>
      <c r="AV48" s="359">
        <f t="shared" si="16"/>
        <v>5904000</v>
      </c>
      <c r="AW48" s="175">
        <f t="shared" si="5"/>
        <v>21551957.051199913</v>
      </c>
      <c r="AX48" s="175">
        <f t="shared" si="21"/>
        <v>10336000</v>
      </c>
      <c r="BH48" s="15">
        <f>VLOOKUP($A48,'Financ 1'!$A$15:$Q$75,17,0)+VLOOKUP($A48,'Financ 2'!$A$15:$Q$75,17,0)</f>
        <v>0</v>
      </c>
      <c r="BI48" s="15"/>
    </row>
    <row r="49" spans="1:61" x14ac:dyDescent="0.35">
      <c r="A49" s="18">
        <v>41</v>
      </c>
      <c r="B49" s="184">
        <v>43251</v>
      </c>
      <c r="C49" s="331">
        <f t="shared" si="7"/>
        <v>2018</v>
      </c>
      <c r="D49" s="175">
        <v>0</v>
      </c>
      <c r="E49" s="175">
        <f>IFERROR(HLOOKUP($B49,'Inv Adic'!$D$6:$M$29,13,0),0)</f>
        <v>0</v>
      </c>
      <c r="F49" s="175">
        <f>IFERROR(VLOOKUP($B49,'Inv Temp'!$B$7:$I$67,F$1,0),0)</f>
        <v>0</v>
      </c>
      <c r="G49" s="175">
        <f t="shared" si="8"/>
        <v>0</v>
      </c>
      <c r="H49" s="175">
        <f>VLOOKUP($B49,'Financ Total'!$B$10:$F$70,H$1,0)</f>
        <v>21000000</v>
      </c>
      <c r="I49" s="309">
        <v>0</v>
      </c>
      <c r="J49" s="175">
        <f>VLOOKUP($B49,'Financ Total'!$B$10:$F$70,J$1,0)</f>
        <v>103000000</v>
      </c>
      <c r="K49" s="175">
        <f>VLOOKUP($B49,'Financ Total'!$B$10:$F$70,K$1,0)</f>
        <v>1107252</v>
      </c>
      <c r="L49" s="175">
        <f t="shared" si="9"/>
        <v>-83107252</v>
      </c>
      <c r="M49" s="175">
        <f>IF($M$1=0,IFERROR(HLOOKUP(YEAR($B49),'Ing Proyect'!$B$6:$G$12,6,0),0),IF($M$1=1,IFERROR(HLOOKUP(YEAR($B48),'Ing Proyect'!$B$6:$G$12,6,0),0),IFERROR(HLOOKUP(YEAR($B47),'Ing Proyect'!$B$6:$G$12,6,0),0)))</f>
        <v>156674000</v>
      </c>
      <c r="N49" s="175">
        <f>VLOOKUP($B49,'Inv Temp'!$B$7:$I$67,N$2,0)</f>
        <v>0</v>
      </c>
      <c r="O49" s="175">
        <v>0</v>
      </c>
      <c r="P49" s="175">
        <f t="shared" si="15"/>
        <v>156674000</v>
      </c>
      <c r="Q49" s="175">
        <f>VLOOKUP($B49,'Gtos Consultores'!$B$9:$AH$69,Q$3,0)</f>
        <v>113661875.30000001</v>
      </c>
      <c r="R49" s="175">
        <f>VLOOKUP($B49,'Gtos Consultores'!$B$9:$AH$69,R$3,0)</f>
        <v>10983490.187200001</v>
      </c>
      <c r="S49" s="175">
        <f>IFERROR(VLOOKUP($B49,'Gtos Consultores'!$B$9:$AH$69,S$3,0),0)</f>
        <v>0</v>
      </c>
      <c r="T49" s="175">
        <f>IF($T$1=0,IFERROR(HLOOKUP(YEAR($B49),'Gastos Proyect'!$B$4:$F$17,14,0),0),IF($T$1=1,IFERROR(HLOOKUP(YEAR($B48),'Gastos Proyect'!$B$4:$F$17,14,0),0),IFERROR(HLOOKUP(YEAR($B47),'Gastos Proyect'!$B$4:$F$17,14,0),0)))</f>
        <v>12559000</v>
      </c>
      <c r="U49" s="359">
        <f>IFERROR(HLOOKUP(YEAR($B49),'Ing Proyect'!$B$6:$G$12,6,0),0)*$U$2</f>
        <v>7833700</v>
      </c>
      <c r="V49" s="175">
        <v>0</v>
      </c>
      <c r="W49" s="175">
        <f t="shared" si="17"/>
        <v>145038065.48720002</v>
      </c>
      <c r="X49" s="175">
        <f t="shared" si="10"/>
        <v>11635934.512799978</v>
      </c>
      <c r="Y49" s="359">
        <f t="shared" si="18"/>
        <v>0</v>
      </c>
      <c r="Z49" s="175">
        <f t="shared" si="11"/>
        <v>-71471317.487200022</v>
      </c>
      <c r="AB49" s="175">
        <f t="shared" si="2"/>
        <v>149000000</v>
      </c>
      <c r="AC49" s="175">
        <f>AE48+(-G49+(VLOOKUP($A49,'Financ 1'!$A$15:$Q$75,17,0)+VLOOKUP($A49,'Financ 2'!$A$15:$Q$75,17,0))+I49+P49-W49+Y49)-AB49</f>
        <v>-20982935.527500451</v>
      </c>
      <c r="AD49" s="175">
        <f>VLOOKUP($B49,'Inv Temp'!$B$7:$I$67,AD$2,0)</f>
        <v>0</v>
      </c>
      <c r="AE49" s="175">
        <f>IF($A49=0,'Inv Inicial'!$D$15,AE48+Z49-AC49*0+AD49)</f>
        <v>44909812.472499549</v>
      </c>
      <c r="AF49" s="175">
        <f t="shared" si="19"/>
        <v>0</v>
      </c>
      <c r="AG49" s="175">
        <f t="shared" si="20"/>
        <v>104090187.52750045</v>
      </c>
      <c r="AI49" s="175">
        <f>VLOOKUP($A49,'Amort Inv Inic'!$A$7:$U$67,21,0)</f>
        <v>354168</v>
      </c>
      <c r="AJ49" s="175">
        <f>VLOOKUP($A49,'Amort Inv Adic'!$A$7:$BI$67,54,0)</f>
        <v>2293597</v>
      </c>
      <c r="AK49" s="175">
        <f t="shared" si="12"/>
        <v>2647765</v>
      </c>
      <c r="AM49" s="175">
        <f>IFERROR(HLOOKUP(YEAR($B49),'Ing Proyect'!$B$6:$G$12,6,0),0)</f>
        <v>156674000</v>
      </c>
      <c r="AN49" s="175">
        <f>VLOOKUP($B49,'Gtos Consultores'!$B$9:$AI$69,AN$3,0)</f>
        <v>1306793</v>
      </c>
      <c r="AO49" s="175">
        <f>(P49-M49+AM49)-(W49-S49)-K49-AK49-AN49+T49-IFERROR(HLOOKUP(YEAR($B49),'Gastos Proyect'!$B$4:$F$17,14,0),0)</f>
        <v>6574124.5127999783</v>
      </c>
      <c r="AP49" s="175">
        <f>SUMIF($C$8:$C49,$C49,$AO$8:$AO49)</f>
        <v>34030081.563999891</v>
      </c>
      <c r="AR49" s="320">
        <f>IFERROR(VLOOKUP(ROUNDUP($A49/12,0),Variables!$B$32:$E$36,4,0),0)</f>
        <v>0.125</v>
      </c>
      <c r="AS49" s="175">
        <f t="shared" si="13"/>
        <v>4254000</v>
      </c>
      <c r="AT49" s="320">
        <f>IFERROR(VLOOKUP(ROUNDUP($A49/12,0),Variables!$B$41:$E$45,4,0),0)</f>
        <v>0.09</v>
      </c>
      <c r="AU49" s="175">
        <f t="shared" si="14"/>
        <v>3063000</v>
      </c>
      <c r="AV49" s="359">
        <f t="shared" si="16"/>
        <v>7317000</v>
      </c>
      <c r="AW49" s="175">
        <f t="shared" si="5"/>
        <v>26713081.563999891</v>
      </c>
      <c r="AX49" s="175">
        <f t="shared" si="21"/>
        <v>11749000</v>
      </c>
      <c r="BH49" s="15">
        <f>VLOOKUP($A49,'Financ 1'!$A$15:$Q$75,17,0)+VLOOKUP($A49,'Financ 2'!$A$15:$Q$75,17,0)</f>
        <v>0</v>
      </c>
      <c r="BI49" s="15"/>
    </row>
    <row r="50" spans="1:61" x14ac:dyDescent="0.35">
      <c r="A50" s="18">
        <v>42</v>
      </c>
      <c r="B50" s="184">
        <v>43281</v>
      </c>
      <c r="C50" s="331">
        <f t="shared" si="7"/>
        <v>2018</v>
      </c>
      <c r="D50" s="175">
        <v>0</v>
      </c>
      <c r="E50" s="175">
        <f>IFERROR(HLOOKUP($B50,'Inv Adic'!$D$6:$M$29,13,0),0)</f>
        <v>7986000</v>
      </c>
      <c r="F50" s="175">
        <f>IFERROR(VLOOKUP($B50,'Inv Temp'!$B$7:$I$67,F$1,0),0)</f>
        <v>0</v>
      </c>
      <c r="G50" s="175">
        <f t="shared" si="8"/>
        <v>7986000</v>
      </c>
      <c r="H50" s="175">
        <f>VLOOKUP($B50,'Financ Total'!$B$10:$F$70,H$1,0)</f>
        <v>106000000</v>
      </c>
      <c r="I50" s="309">
        <v>0</v>
      </c>
      <c r="J50" s="175">
        <f>VLOOKUP($B50,'Financ Total'!$B$10:$F$70,J$1,0)</f>
        <v>21000000</v>
      </c>
      <c r="K50" s="175">
        <f>VLOOKUP($B50,'Financ Total'!$B$10:$F$70,K$1,0)</f>
        <v>225750</v>
      </c>
      <c r="L50" s="175">
        <f t="shared" si="9"/>
        <v>84774250</v>
      </c>
      <c r="M50" s="175">
        <f>IF($M$1=0,IFERROR(HLOOKUP(YEAR($B50),'Ing Proyect'!$B$6:$G$12,6,0),0),IF($M$1=1,IFERROR(HLOOKUP(YEAR($B49),'Ing Proyect'!$B$6:$G$12,6,0),0),IFERROR(HLOOKUP(YEAR($B48),'Ing Proyect'!$B$6:$G$12,6,0),0)))</f>
        <v>156674000</v>
      </c>
      <c r="N50" s="175">
        <f>VLOOKUP($B50,'Inv Temp'!$B$7:$I$67,N$2,0)</f>
        <v>0</v>
      </c>
      <c r="O50" s="175">
        <v>0</v>
      </c>
      <c r="P50" s="175">
        <f t="shared" si="15"/>
        <v>156674000</v>
      </c>
      <c r="Q50" s="175">
        <f>VLOOKUP($B50,'Gtos Consultores'!$B$9:$AH$69,Q$3,0)</f>
        <v>113661875.30000001</v>
      </c>
      <c r="R50" s="175">
        <f>VLOOKUP($B50,'Gtos Consultores'!$B$9:$AH$69,R$3,0)</f>
        <v>10983490.187200001</v>
      </c>
      <c r="S50" s="175">
        <f>IFERROR(VLOOKUP($B50,'Gtos Consultores'!$B$9:$AH$69,S$3,0),0)</f>
        <v>3698472</v>
      </c>
      <c r="T50" s="175">
        <f>IF($T$1=0,IFERROR(HLOOKUP(YEAR($B50),'Gastos Proyect'!$B$4:$F$17,14,0),0),IF($T$1=1,IFERROR(HLOOKUP(YEAR($B49),'Gastos Proyect'!$B$4:$F$17,14,0),0),IFERROR(HLOOKUP(YEAR($B48),'Gastos Proyect'!$B$4:$F$17,14,0),0)))</f>
        <v>12559000</v>
      </c>
      <c r="U50" s="359">
        <f>IFERROR(HLOOKUP(YEAR($B50),'Ing Proyect'!$B$6:$G$12,6,0),0)*$U$2</f>
        <v>7833700</v>
      </c>
      <c r="V50" s="175">
        <v>0</v>
      </c>
      <c r="W50" s="175">
        <f t="shared" si="17"/>
        <v>148736537.48720002</v>
      </c>
      <c r="X50" s="175">
        <f t="shared" si="10"/>
        <v>7937462.5127999783</v>
      </c>
      <c r="Y50" s="359">
        <f t="shared" si="18"/>
        <v>-4432000</v>
      </c>
      <c r="Z50" s="175">
        <f t="shared" si="11"/>
        <v>80293712.512799978</v>
      </c>
      <c r="AB50" s="175">
        <f t="shared" si="2"/>
        <v>146000000</v>
      </c>
      <c r="AC50" s="175">
        <f>AE49+(-G50+(VLOOKUP($A50,'Financ 1'!$A$15:$Q$75,17,0)+VLOOKUP($A50,'Financ 2'!$A$15:$Q$75,17,0))+I50+P50-W50+Y50)-AB50</f>
        <v>-105570725.01470047</v>
      </c>
      <c r="AD50" s="175">
        <f>VLOOKUP($B50,'Inv Temp'!$B$7:$I$67,AD$2,0)</f>
        <v>0</v>
      </c>
      <c r="AE50" s="175">
        <f>IF($A50=0,'Inv Inicial'!$D$15,AE49+Z50-AC50*0+AD50)</f>
        <v>125203524.98529953</v>
      </c>
      <c r="AF50" s="175">
        <f t="shared" si="19"/>
        <v>0</v>
      </c>
      <c r="AG50" s="175">
        <f t="shared" si="20"/>
        <v>20796475.014700472</v>
      </c>
      <c r="AI50" s="175">
        <f>VLOOKUP($A50,'Amort Inv Inic'!$A$7:$U$67,21,0)</f>
        <v>354166</v>
      </c>
      <c r="AJ50" s="175">
        <f>VLOOKUP($A50,'Amort Inv Adic'!$A$7:$BI$67,54,0)</f>
        <v>2293597</v>
      </c>
      <c r="AK50" s="175">
        <f t="shared" si="12"/>
        <v>2647763</v>
      </c>
      <c r="AM50" s="175">
        <f>IFERROR(HLOOKUP(YEAR($B50),'Ing Proyect'!$B$6:$G$12,6,0),0)</f>
        <v>156674000</v>
      </c>
      <c r="AN50" s="175">
        <f>VLOOKUP($B50,'Gtos Consultores'!$B$9:$AI$69,AN$3,0)</f>
        <v>1306793</v>
      </c>
      <c r="AO50" s="175">
        <f>(P50-M50+AM50)-(W50-S50)-K50-AK50-AN50+T50-IFERROR(HLOOKUP(YEAR($B50),'Gastos Proyect'!$B$4:$F$17,14,0),0)</f>
        <v>7455628.5127999783</v>
      </c>
      <c r="AP50" s="175">
        <f>SUMIF($C$8:$C50,$C50,$AO$8:$AO50)</f>
        <v>41485710.07679987</v>
      </c>
      <c r="AR50" s="320">
        <f>IFERROR(VLOOKUP(ROUNDUP($A50/12,0),Variables!$B$32:$E$36,4,0),0)</f>
        <v>0.125</v>
      </c>
      <c r="AS50" s="175">
        <f t="shared" si="13"/>
        <v>5186000</v>
      </c>
      <c r="AT50" s="320">
        <f>IFERROR(VLOOKUP(ROUNDUP($A50/12,0),Variables!$B$41:$E$45,4,0),0)</f>
        <v>0.09</v>
      </c>
      <c r="AU50" s="175">
        <f t="shared" si="14"/>
        <v>3734000</v>
      </c>
      <c r="AV50" s="359">
        <f t="shared" si="16"/>
        <v>8920000</v>
      </c>
      <c r="AW50" s="175">
        <f t="shared" si="5"/>
        <v>32565710.07679987</v>
      </c>
      <c r="AX50" s="175">
        <f t="shared" si="21"/>
        <v>8920000</v>
      </c>
      <c r="BH50" s="15">
        <f>VLOOKUP($A50,'Financ 1'!$A$15:$Q$75,17,0)+VLOOKUP($A50,'Financ 2'!$A$15:$Q$75,17,0)</f>
        <v>0</v>
      </c>
      <c r="BI50" s="15"/>
    </row>
    <row r="51" spans="1:61" x14ac:dyDescent="0.35">
      <c r="A51" s="18">
        <v>43</v>
      </c>
      <c r="B51" s="184">
        <v>43312</v>
      </c>
      <c r="C51" s="331">
        <f t="shared" si="7"/>
        <v>2018</v>
      </c>
      <c r="D51" s="175">
        <v>0</v>
      </c>
      <c r="E51" s="175">
        <f>IFERROR(HLOOKUP($B51,'Inv Adic'!$D$6:$M$29,13,0),0)</f>
        <v>0</v>
      </c>
      <c r="F51" s="175">
        <f>IFERROR(VLOOKUP($B51,'Inv Temp'!$B$7:$I$67,F$1,0),0)</f>
        <v>0</v>
      </c>
      <c r="G51" s="175">
        <f t="shared" si="8"/>
        <v>0</v>
      </c>
      <c r="H51" s="175">
        <f>VLOOKUP($B51,'Financ Total'!$B$10:$F$70,H$1,0)</f>
        <v>10000000</v>
      </c>
      <c r="I51" s="309">
        <v>0</v>
      </c>
      <c r="J51" s="175">
        <f>VLOOKUP($B51,'Financ Total'!$B$10:$F$70,J$1,0)</f>
        <v>106000000</v>
      </c>
      <c r="K51" s="175">
        <f>VLOOKUP($B51,'Financ Total'!$B$10:$F$70,K$1,0)</f>
        <v>1139502</v>
      </c>
      <c r="L51" s="175">
        <f t="shared" si="9"/>
        <v>-97139502</v>
      </c>
      <c r="M51" s="175">
        <f>IF($M$1=0,IFERROR(HLOOKUP(YEAR($B51),'Ing Proyect'!$B$6:$G$12,6,0),0),IF($M$1=1,IFERROR(HLOOKUP(YEAR($B50),'Ing Proyect'!$B$6:$G$12,6,0),0),IFERROR(HLOOKUP(YEAR($B49),'Ing Proyect'!$B$6:$G$12,6,0),0)))</f>
        <v>156674000</v>
      </c>
      <c r="N51" s="175">
        <f>VLOOKUP($B51,'Inv Temp'!$B$7:$I$67,N$2,0)</f>
        <v>0</v>
      </c>
      <c r="O51" s="175">
        <v>0</v>
      </c>
      <c r="P51" s="175">
        <f t="shared" si="15"/>
        <v>156674000</v>
      </c>
      <c r="Q51" s="175">
        <f>VLOOKUP($B51,'Gtos Consultores'!$B$9:$AH$69,Q$3,0)</f>
        <v>113661875.30000001</v>
      </c>
      <c r="R51" s="175">
        <f>VLOOKUP($B51,'Gtos Consultores'!$B$9:$AH$69,R$3,0)</f>
        <v>10983490.187200001</v>
      </c>
      <c r="S51" s="175">
        <f>IFERROR(VLOOKUP($B51,'Gtos Consultores'!$B$9:$AH$69,S$3,0),0)</f>
        <v>0</v>
      </c>
      <c r="T51" s="175">
        <f>IF($T$1=0,IFERROR(HLOOKUP(YEAR($B51),'Gastos Proyect'!$B$4:$F$17,14,0),0),IF($T$1=1,IFERROR(HLOOKUP(YEAR($B50),'Gastos Proyect'!$B$4:$F$17,14,0),0),IFERROR(HLOOKUP(YEAR($B49),'Gastos Proyect'!$B$4:$F$17,14,0),0)))</f>
        <v>12559000</v>
      </c>
      <c r="U51" s="359">
        <f>IFERROR(HLOOKUP(YEAR($B51),'Ing Proyect'!$B$6:$G$12,6,0),0)*$U$2</f>
        <v>7833700</v>
      </c>
      <c r="V51" s="175">
        <v>0</v>
      </c>
      <c r="W51" s="175">
        <f t="shared" si="17"/>
        <v>145038065.48720002</v>
      </c>
      <c r="X51" s="175">
        <f t="shared" si="10"/>
        <v>11635934.512799978</v>
      </c>
      <c r="Y51" s="359">
        <f t="shared" si="18"/>
        <v>0</v>
      </c>
      <c r="Z51" s="175">
        <f t="shared" si="11"/>
        <v>-85503567.487200022</v>
      </c>
      <c r="AB51" s="175">
        <f t="shared" si="2"/>
        <v>146000000</v>
      </c>
      <c r="AC51" s="175">
        <f>AE50+(-G51+(VLOOKUP($A51,'Financ 1'!$A$15:$Q$75,17,0)+VLOOKUP($A51,'Financ 2'!$A$15:$Q$75,17,0))+I51+P51-W51+Y51)-AB51</f>
        <v>-9160540.5019004941</v>
      </c>
      <c r="AD51" s="175">
        <f>VLOOKUP($B51,'Inv Temp'!$B$7:$I$67,AD$2,0)</f>
        <v>0</v>
      </c>
      <c r="AE51" s="175">
        <f>IF($A51=0,'Inv Inicial'!$D$15,AE50+Z51-AC51*0+AD51)</f>
        <v>39699957.498099506</v>
      </c>
      <c r="AF51" s="175">
        <f t="shared" si="19"/>
        <v>0</v>
      </c>
      <c r="AG51" s="175">
        <f t="shared" si="20"/>
        <v>106300042.50190049</v>
      </c>
      <c r="AI51" s="175">
        <f>VLOOKUP($A51,'Amort Inv Inic'!$A$7:$U$67,21,0)</f>
        <v>354168</v>
      </c>
      <c r="AJ51" s="175">
        <f>VLOOKUP($A51,'Amort Inv Adic'!$A$7:$BI$67,54,0)</f>
        <v>2354097</v>
      </c>
      <c r="AK51" s="175">
        <f t="shared" si="12"/>
        <v>2708265</v>
      </c>
      <c r="AM51" s="175">
        <f>IFERROR(HLOOKUP(YEAR($B51),'Ing Proyect'!$B$6:$G$12,6,0),0)</f>
        <v>156674000</v>
      </c>
      <c r="AN51" s="175">
        <f>VLOOKUP($B51,'Gtos Consultores'!$B$9:$AI$69,AN$3,0)</f>
        <v>1306793</v>
      </c>
      <c r="AO51" s="175">
        <f>(P51-M51+AM51)-(W51-S51)-K51-AK51-AN51+T51-IFERROR(HLOOKUP(YEAR($B51),'Gastos Proyect'!$B$4:$F$17,14,0),0)</f>
        <v>6481374.5127999783</v>
      </c>
      <c r="AP51" s="175">
        <f>SUMIF($C$8:$C51,$C51,$AO$8:$AO51)</f>
        <v>47967084.589599848</v>
      </c>
      <c r="AR51" s="320">
        <f>IFERROR(VLOOKUP(ROUNDUP($A51/12,0),Variables!$B$32:$E$36,4,0),0)</f>
        <v>0.125</v>
      </c>
      <c r="AS51" s="175">
        <f t="shared" si="13"/>
        <v>5996000</v>
      </c>
      <c r="AT51" s="320">
        <f>IFERROR(VLOOKUP(ROUNDUP($A51/12,0),Variables!$B$41:$E$45,4,0),0)</f>
        <v>0.09</v>
      </c>
      <c r="AU51" s="175">
        <f t="shared" si="14"/>
        <v>4318000</v>
      </c>
      <c r="AV51" s="359">
        <f t="shared" si="16"/>
        <v>10314000</v>
      </c>
      <c r="AW51" s="175">
        <f t="shared" si="5"/>
        <v>37653084.589599848</v>
      </c>
      <c r="AX51" s="175">
        <f t="shared" si="21"/>
        <v>10314000</v>
      </c>
      <c r="BH51" s="15">
        <f>VLOOKUP($A51,'Financ 1'!$A$15:$Q$75,17,0)+VLOOKUP($A51,'Financ 2'!$A$15:$Q$75,17,0)</f>
        <v>0</v>
      </c>
      <c r="BI51" s="15"/>
    </row>
    <row r="52" spans="1:61" x14ac:dyDescent="0.35">
      <c r="A52" s="18">
        <v>44</v>
      </c>
      <c r="B52" s="184">
        <v>43343</v>
      </c>
      <c r="C52" s="331">
        <f t="shared" si="7"/>
        <v>2018</v>
      </c>
      <c r="D52" s="175">
        <v>0</v>
      </c>
      <c r="E52" s="175">
        <f>IFERROR(HLOOKUP($B52,'Inv Adic'!$D$6:$M$29,13,0),0)</f>
        <v>0</v>
      </c>
      <c r="F52" s="175">
        <f>IFERROR(VLOOKUP($B52,'Inv Temp'!$B$7:$I$67,F$1,0),0)</f>
        <v>0</v>
      </c>
      <c r="G52" s="175">
        <f t="shared" si="8"/>
        <v>0</v>
      </c>
      <c r="H52" s="175">
        <f>VLOOKUP($B52,'Financ Total'!$B$10:$F$70,H$1,0)</f>
        <v>95000000</v>
      </c>
      <c r="I52" s="309">
        <v>0</v>
      </c>
      <c r="J52" s="175">
        <f>VLOOKUP($B52,'Financ Total'!$B$10:$F$70,J$1,0)</f>
        <v>10000000</v>
      </c>
      <c r="K52" s="175">
        <f>VLOOKUP($B52,'Financ Total'!$B$10:$F$70,K$1,0)</f>
        <v>107500</v>
      </c>
      <c r="L52" s="175">
        <f t="shared" si="9"/>
        <v>84892500</v>
      </c>
      <c r="M52" s="175">
        <f>IF($M$1=0,IFERROR(HLOOKUP(YEAR($B52),'Ing Proyect'!$B$6:$G$12,6,0),0),IF($M$1=1,IFERROR(HLOOKUP(YEAR($B51),'Ing Proyect'!$B$6:$G$12,6,0),0),IFERROR(HLOOKUP(YEAR($B50),'Ing Proyect'!$B$6:$G$12,6,0),0)))</f>
        <v>156674000</v>
      </c>
      <c r="N52" s="175">
        <f>VLOOKUP($B52,'Inv Temp'!$B$7:$I$67,N$2,0)</f>
        <v>0</v>
      </c>
      <c r="O52" s="175">
        <v>0</v>
      </c>
      <c r="P52" s="175">
        <f t="shared" si="15"/>
        <v>156674000</v>
      </c>
      <c r="Q52" s="175">
        <f>VLOOKUP($B52,'Gtos Consultores'!$B$9:$AH$69,Q$3,0)</f>
        <v>113661875.30000001</v>
      </c>
      <c r="R52" s="175">
        <f>VLOOKUP($B52,'Gtos Consultores'!$B$9:$AH$69,R$3,0)</f>
        <v>10983490.187200001</v>
      </c>
      <c r="S52" s="175">
        <f>IFERROR(VLOOKUP($B52,'Gtos Consultores'!$B$9:$AH$69,S$3,0),0)</f>
        <v>0</v>
      </c>
      <c r="T52" s="175">
        <f>IF($T$1=0,IFERROR(HLOOKUP(YEAR($B52),'Gastos Proyect'!$B$4:$F$17,14,0),0),IF($T$1=1,IFERROR(HLOOKUP(YEAR($B51),'Gastos Proyect'!$B$4:$F$17,14,0),0),IFERROR(HLOOKUP(YEAR($B50),'Gastos Proyect'!$B$4:$F$17,14,0),0)))</f>
        <v>12559000</v>
      </c>
      <c r="U52" s="359">
        <f>IFERROR(HLOOKUP(YEAR($B52),'Ing Proyect'!$B$6:$G$12,6,0),0)*$U$2</f>
        <v>7833700</v>
      </c>
      <c r="V52" s="175">
        <v>0</v>
      </c>
      <c r="W52" s="175">
        <f t="shared" si="17"/>
        <v>145038065.48720002</v>
      </c>
      <c r="X52" s="175">
        <f t="shared" si="10"/>
        <v>11635934.512799978</v>
      </c>
      <c r="Y52" s="359">
        <f t="shared" si="18"/>
        <v>0</v>
      </c>
      <c r="Z52" s="175">
        <f t="shared" si="11"/>
        <v>96528434.512799978</v>
      </c>
      <c r="AB52" s="175">
        <f t="shared" si="2"/>
        <v>146000000</v>
      </c>
      <c r="AC52" s="175">
        <f>AE51+(-G52+(VLOOKUP($A52,'Financ 1'!$A$15:$Q$75,17,0)+VLOOKUP($A52,'Financ 2'!$A$15:$Q$75,17,0))+I52+P52-W52+Y52)-AB52</f>
        <v>-94664107.989100516</v>
      </c>
      <c r="AD52" s="175">
        <f>VLOOKUP($B52,'Inv Temp'!$B$7:$I$67,AD$2,0)</f>
        <v>0</v>
      </c>
      <c r="AE52" s="175">
        <f>IF($A52=0,'Inv Inicial'!$D$15,AE51+Z52-AC52*0+AD52)</f>
        <v>136228392.01089948</v>
      </c>
      <c r="AF52" s="175">
        <f t="shared" si="19"/>
        <v>0</v>
      </c>
      <c r="AG52" s="175">
        <f t="shared" si="20"/>
        <v>9771607.9891005158</v>
      </c>
      <c r="AI52" s="175">
        <f>VLOOKUP($A52,'Amort Inv Inic'!$A$7:$U$67,21,0)</f>
        <v>354166</v>
      </c>
      <c r="AJ52" s="175">
        <f>VLOOKUP($A52,'Amort Inv Adic'!$A$7:$BI$67,54,0)</f>
        <v>2354097</v>
      </c>
      <c r="AK52" s="175">
        <f t="shared" si="12"/>
        <v>2708263</v>
      </c>
      <c r="AM52" s="175">
        <f>IFERROR(HLOOKUP(YEAR($B52),'Ing Proyect'!$B$6:$G$12,6,0),0)</f>
        <v>156674000</v>
      </c>
      <c r="AN52" s="175">
        <f>VLOOKUP($B52,'Gtos Consultores'!$B$9:$AI$69,AN$3,0)</f>
        <v>1306793</v>
      </c>
      <c r="AO52" s="175">
        <f>(P52-M52+AM52)-(W52-S52)-K52-AK52-AN52+T52-IFERROR(HLOOKUP(YEAR($B52),'Gastos Proyect'!$B$4:$F$17,14,0),0)</f>
        <v>7513378.5127999783</v>
      </c>
      <c r="AP52" s="175">
        <f>SUMIF($C$8:$C52,$C52,$AO$8:$AO52)</f>
        <v>55480463.102399826</v>
      </c>
      <c r="AR52" s="320">
        <f>IFERROR(VLOOKUP(ROUNDUP($A52/12,0),Variables!$B$32:$E$36,4,0),0)</f>
        <v>0.125</v>
      </c>
      <c r="AS52" s="175">
        <f t="shared" si="13"/>
        <v>6936000</v>
      </c>
      <c r="AT52" s="320">
        <f>IFERROR(VLOOKUP(ROUNDUP($A52/12,0),Variables!$B$41:$E$45,4,0),0)</f>
        <v>0.09</v>
      </c>
      <c r="AU52" s="175">
        <f t="shared" si="14"/>
        <v>4994000</v>
      </c>
      <c r="AV52" s="359">
        <f t="shared" si="16"/>
        <v>11930000</v>
      </c>
      <c r="AW52" s="175">
        <f t="shared" si="5"/>
        <v>43550463.102399826</v>
      </c>
      <c r="AX52" s="175">
        <f t="shared" si="21"/>
        <v>11930000</v>
      </c>
      <c r="BH52" s="15">
        <f>VLOOKUP($A52,'Financ 1'!$A$15:$Q$75,17,0)+VLOOKUP($A52,'Financ 2'!$A$15:$Q$75,17,0)</f>
        <v>0</v>
      </c>
      <c r="BI52" s="15"/>
    </row>
    <row r="53" spans="1:61" x14ac:dyDescent="0.35">
      <c r="A53" s="18">
        <v>45</v>
      </c>
      <c r="B53" s="184">
        <v>43373</v>
      </c>
      <c r="C53" s="331">
        <f t="shared" si="7"/>
        <v>2018</v>
      </c>
      <c r="D53" s="175">
        <v>0</v>
      </c>
      <c r="E53" s="175">
        <f>IFERROR(HLOOKUP($B53,'Inv Adic'!$D$6:$M$29,13,0),0)</f>
        <v>0</v>
      </c>
      <c r="F53" s="175">
        <f>IFERROR(VLOOKUP($B53,'Inv Temp'!$B$7:$I$67,F$1,0),0)</f>
        <v>0</v>
      </c>
      <c r="G53" s="175">
        <f t="shared" si="8"/>
        <v>0</v>
      </c>
      <c r="H53" s="175">
        <f>VLOOKUP($B53,'Financ Total'!$B$10:$F$70,H$1,0)</f>
        <v>0</v>
      </c>
      <c r="I53" s="309">
        <v>0</v>
      </c>
      <c r="J53" s="175">
        <f>VLOOKUP($B53,'Financ Total'!$B$10:$F$70,J$1,0)</f>
        <v>95000000</v>
      </c>
      <c r="K53" s="175">
        <f>VLOOKUP($B53,'Financ Total'!$B$10:$F$70,K$1,0)</f>
        <v>1021252</v>
      </c>
      <c r="L53" s="175">
        <f t="shared" si="9"/>
        <v>-96021252</v>
      </c>
      <c r="M53" s="175">
        <f>IF($M$1=0,IFERROR(HLOOKUP(YEAR($B53),'Ing Proyect'!$B$6:$G$12,6,0),0),IF($M$1=1,IFERROR(HLOOKUP(YEAR($B52),'Ing Proyect'!$B$6:$G$12,6,0),0),IFERROR(HLOOKUP(YEAR($B51),'Ing Proyect'!$B$6:$G$12,6,0),0)))</f>
        <v>156674000</v>
      </c>
      <c r="N53" s="175">
        <f>VLOOKUP($B53,'Inv Temp'!$B$7:$I$67,N$2,0)</f>
        <v>0</v>
      </c>
      <c r="O53" s="175">
        <v>0</v>
      </c>
      <c r="P53" s="175">
        <f t="shared" si="15"/>
        <v>156674000</v>
      </c>
      <c r="Q53" s="175">
        <f>VLOOKUP($B53,'Gtos Consultores'!$B$9:$AH$69,Q$3,0)</f>
        <v>113661875.30000001</v>
      </c>
      <c r="R53" s="175">
        <f>VLOOKUP($B53,'Gtos Consultores'!$B$9:$AH$69,R$3,0)</f>
        <v>10983490.187200001</v>
      </c>
      <c r="S53" s="175">
        <f>IFERROR(VLOOKUP($B53,'Gtos Consultores'!$B$9:$AH$69,S$3,0),0)</f>
        <v>0</v>
      </c>
      <c r="T53" s="175">
        <f>IF($T$1=0,IFERROR(HLOOKUP(YEAR($B53),'Gastos Proyect'!$B$4:$F$17,14,0),0),IF($T$1=1,IFERROR(HLOOKUP(YEAR($B52),'Gastos Proyect'!$B$4:$F$17,14,0),0),IFERROR(HLOOKUP(YEAR($B51),'Gastos Proyect'!$B$4:$F$17,14,0),0)))</f>
        <v>12559000</v>
      </c>
      <c r="U53" s="359">
        <f>IFERROR(HLOOKUP(YEAR($B53),'Ing Proyect'!$B$6:$G$12,6,0),0)*$U$2</f>
        <v>7833700</v>
      </c>
      <c r="V53" s="175">
        <v>0</v>
      </c>
      <c r="W53" s="175">
        <f t="shared" si="17"/>
        <v>145038065.48720002</v>
      </c>
      <c r="X53" s="175">
        <f t="shared" si="10"/>
        <v>11635934.512799978</v>
      </c>
      <c r="Y53" s="359">
        <f t="shared" si="18"/>
        <v>0</v>
      </c>
      <c r="Z53" s="175">
        <f t="shared" si="11"/>
        <v>-84385317.487200022</v>
      </c>
      <c r="AB53" s="175">
        <f t="shared" si="2"/>
        <v>146000000</v>
      </c>
      <c r="AC53" s="175">
        <f>AE52+(-G53+(VLOOKUP($A53,'Financ 1'!$A$15:$Q$75,17,0)+VLOOKUP($A53,'Financ 2'!$A$15:$Q$75,17,0))+I53+P53-W53+Y53)-AB53</f>
        <v>1864326.5236994624</v>
      </c>
      <c r="AD53" s="175">
        <f>VLOOKUP($B53,'Inv Temp'!$B$7:$I$67,AD$2,0)</f>
        <v>0</v>
      </c>
      <c r="AE53" s="175">
        <f>IF($A53=0,'Inv Inicial'!$D$15,AE52+Z53-AC53*0+AD53)</f>
        <v>51843074.523699462</v>
      </c>
      <c r="AF53" s="175">
        <f t="shared" si="19"/>
        <v>0</v>
      </c>
      <c r="AG53" s="175">
        <f t="shared" si="20"/>
        <v>94156925.476300538</v>
      </c>
      <c r="AI53" s="175">
        <f>VLOOKUP($A53,'Amort Inv Inic'!$A$7:$U$67,21,0)</f>
        <v>354168</v>
      </c>
      <c r="AJ53" s="175">
        <f>VLOOKUP($A53,'Amort Inv Adic'!$A$7:$BI$67,54,0)</f>
        <v>2354098</v>
      </c>
      <c r="AK53" s="175">
        <f t="shared" si="12"/>
        <v>2708266</v>
      </c>
      <c r="AM53" s="175">
        <f>IFERROR(HLOOKUP(YEAR($B53),'Ing Proyect'!$B$6:$G$12,6,0),0)</f>
        <v>156674000</v>
      </c>
      <c r="AN53" s="175">
        <f>VLOOKUP($B53,'Gtos Consultores'!$B$9:$AI$69,AN$3,0)</f>
        <v>1306793</v>
      </c>
      <c r="AO53" s="175">
        <f>(P53-M53+AM53)-(W53-S53)-K53-AK53-AN53+T53-IFERROR(HLOOKUP(YEAR($B53),'Gastos Proyect'!$B$4:$F$17,14,0),0)</f>
        <v>6599623.5127999783</v>
      </c>
      <c r="AP53" s="175">
        <f>SUMIF($C$8:$C53,$C53,$AO$8:$AO53)</f>
        <v>62080086.615199804</v>
      </c>
      <c r="AR53" s="320">
        <f>IFERROR(VLOOKUP(ROUNDUP($A53/12,0),Variables!$B$32:$E$36,4,0),0)</f>
        <v>0.125</v>
      </c>
      <c r="AS53" s="175">
        <f t="shared" si="13"/>
        <v>7761000</v>
      </c>
      <c r="AT53" s="320">
        <f>IFERROR(VLOOKUP(ROUNDUP($A53/12,0),Variables!$B$41:$E$45,4,0),0)</f>
        <v>0.09</v>
      </c>
      <c r="AU53" s="175">
        <f t="shared" si="14"/>
        <v>5588000</v>
      </c>
      <c r="AV53" s="359">
        <f t="shared" si="16"/>
        <v>13349000</v>
      </c>
      <c r="AW53" s="175">
        <f t="shared" si="5"/>
        <v>48731086.615199804</v>
      </c>
      <c r="AX53" s="175">
        <f t="shared" si="21"/>
        <v>13349000</v>
      </c>
    </row>
    <row r="54" spans="1:61" x14ac:dyDescent="0.35">
      <c r="A54" s="18">
        <v>46</v>
      </c>
      <c r="B54" s="184">
        <v>43404</v>
      </c>
      <c r="C54" s="331">
        <f t="shared" si="7"/>
        <v>2018</v>
      </c>
      <c r="D54" s="175">
        <v>0</v>
      </c>
      <c r="E54" s="175">
        <f>IFERROR(HLOOKUP($B54,'Inv Adic'!$D$6:$M$29,13,0),0)</f>
        <v>0</v>
      </c>
      <c r="F54" s="175">
        <f>IFERROR(VLOOKUP($B54,'Inv Temp'!$B$7:$I$67,F$1,0),0)</f>
        <v>0</v>
      </c>
      <c r="G54" s="175">
        <f t="shared" si="8"/>
        <v>0</v>
      </c>
      <c r="H54" s="175">
        <f>VLOOKUP($B54,'Financ Total'!$B$10:$F$70,H$1,0)</f>
        <v>83000000</v>
      </c>
      <c r="I54" s="309">
        <v>0</v>
      </c>
      <c r="J54" s="175">
        <f>VLOOKUP($B54,'Financ Total'!$B$10:$F$70,J$1,0)</f>
        <v>0</v>
      </c>
      <c r="K54" s="175">
        <f>VLOOKUP($B54,'Financ Total'!$B$10:$F$70,K$1,0)</f>
        <v>0</v>
      </c>
      <c r="L54" s="175">
        <f t="shared" si="9"/>
        <v>83000000</v>
      </c>
      <c r="M54" s="175">
        <f>IF($M$1=0,IFERROR(HLOOKUP(YEAR($B54),'Ing Proyect'!$B$6:$G$12,6,0),0),IF($M$1=1,IFERROR(HLOOKUP(YEAR($B53),'Ing Proyect'!$B$6:$G$12,6,0),0),IFERROR(HLOOKUP(YEAR($B52),'Ing Proyect'!$B$6:$G$12,6,0),0)))</f>
        <v>156674000</v>
      </c>
      <c r="N54" s="175">
        <f>VLOOKUP($B54,'Inv Temp'!$B$7:$I$67,N$2,0)</f>
        <v>0</v>
      </c>
      <c r="O54" s="175">
        <v>0</v>
      </c>
      <c r="P54" s="175">
        <f t="shared" si="15"/>
        <v>156674000</v>
      </c>
      <c r="Q54" s="175">
        <f>VLOOKUP($B54,'Gtos Consultores'!$B$9:$AH$69,Q$3,0)</f>
        <v>113661875.30000001</v>
      </c>
      <c r="R54" s="175">
        <f>VLOOKUP($B54,'Gtos Consultores'!$B$9:$AH$69,R$3,0)</f>
        <v>10983490.187200001</v>
      </c>
      <c r="S54" s="175">
        <f>IFERROR(VLOOKUP($B54,'Gtos Consultores'!$B$9:$AH$69,S$3,0),0)</f>
        <v>0</v>
      </c>
      <c r="T54" s="175">
        <f>IF($T$1=0,IFERROR(HLOOKUP(YEAR($B54),'Gastos Proyect'!$B$4:$F$17,14,0),0),IF($T$1=1,IFERROR(HLOOKUP(YEAR($B53),'Gastos Proyect'!$B$4:$F$17,14,0),0),IFERROR(HLOOKUP(YEAR($B52),'Gastos Proyect'!$B$4:$F$17,14,0),0)))</f>
        <v>12559000</v>
      </c>
      <c r="U54" s="359">
        <f>IFERROR(HLOOKUP(YEAR($B54),'Ing Proyect'!$B$6:$G$12,6,0),0)*$U$2</f>
        <v>7833700</v>
      </c>
      <c r="V54" s="175">
        <v>0</v>
      </c>
      <c r="W54" s="175">
        <f t="shared" si="17"/>
        <v>145038065.48720002</v>
      </c>
      <c r="X54" s="175">
        <f t="shared" si="10"/>
        <v>11635934.512799978</v>
      </c>
      <c r="Y54" s="359">
        <f t="shared" si="18"/>
        <v>0</v>
      </c>
      <c r="Z54" s="175">
        <f t="shared" si="11"/>
        <v>94635934.512799978</v>
      </c>
      <c r="AB54" s="175">
        <f t="shared" si="2"/>
        <v>146000000</v>
      </c>
      <c r="AC54" s="175">
        <f>AE53+(-G54+(VLOOKUP($A54,'Financ 1'!$A$15:$Q$75,17,0)+VLOOKUP($A54,'Financ 2'!$A$15:$Q$75,17,0))+I54+P54-W54+Y54)-AB54</f>
        <v>-82520990.963500559</v>
      </c>
      <c r="AD54" s="175">
        <f>VLOOKUP($B54,'Inv Temp'!$B$7:$I$67,AD$2,0)</f>
        <v>0</v>
      </c>
      <c r="AE54" s="175">
        <f>IF($A54=0,'Inv Inicial'!$D$15,AE53+Z54-AC54*0+AD54)</f>
        <v>146479009.03649944</v>
      </c>
      <c r="AF54" s="175">
        <f t="shared" si="19"/>
        <v>479009.03649944067</v>
      </c>
      <c r="AG54" s="175">
        <f t="shared" si="20"/>
        <v>0</v>
      </c>
      <c r="AI54" s="175">
        <f>VLOOKUP($A54,'Amort Inv Inic'!$A$7:$U$67,21,0)</f>
        <v>354166</v>
      </c>
      <c r="AJ54" s="175">
        <f>VLOOKUP($A54,'Amort Inv Adic'!$A$7:$BI$67,54,0)</f>
        <v>2354097</v>
      </c>
      <c r="AK54" s="175">
        <f t="shared" si="12"/>
        <v>2708263</v>
      </c>
      <c r="AM54" s="175">
        <f>IFERROR(HLOOKUP(YEAR($B54),'Ing Proyect'!$B$6:$G$12,6,0),0)</f>
        <v>156674000</v>
      </c>
      <c r="AN54" s="175">
        <f>VLOOKUP($B54,'Gtos Consultores'!$B$9:$AI$69,AN$3,0)</f>
        <v>1306793</v>
      </c>
      <c r="AO54" s="175">
        <f>(P54-M54+AM54)-(W54-S54)-K54-AK54-AN54+T54-IFERROR(HLOOKUP(YEAR($B54),'Gastos Proyect'!$B$4:$F$17,14,0),0)</f>
        <v>7620878.5127999783</v>
      </c>
      <c r="AP54" s="175">
        <f>SUMIF($C$8:$C54,$C54,$AO$8:$AO54)</f>
        <v>69700965.127999783</v>
      </c>
      <c r="AR54" s="320">
        <f>IFERROR(VLOOKUP(ROUNDUP($A54/12,0),Variables!$B$32:$E$36,4,0),0)</f>
        <v>0.125</v>
      </c>
      <c r="AS54" s="175">
        <f t="shared" si="13"/>
        <v>8713000</v>
      </c>
      <c r="AT54" s="320">
        <f>IFERROR(VLOOKUP(ROUNDUP($A54/12,0),Variables!$B$41:$E$45,4,0),0)</f>
        <v>0.09</v>
      </c>
      <c r="AU54" s="175">
        <f t="shared" si="14"/>
        <v>6274000</v>
      </c>
      <c r="AV54" s="359">
        <f t="shared" si="16"/>
        <v>14987000</v>
      </c>
      <c r="AW54" s="175">
        <f t="shared" si="5"/>
        <v>54713965.127999783</v>
      </c>
      <c r="AX54" s="175">
        <f t="shared" si="21"/>
        <v>14987000</v>
      </c>
    </row>
    <row r="55" spans="1:61" x14ac:dyDescent="0.35">
      <c r="A55" s="18">
        <v>47</v>
      </c>
      <c r="B55" s="184">
        <v>43434</v>
      </c>
      <c r="C55" s="331">
        <f t="shared" si="7"/>
        <v>2018</v>
      </c>
      <c r="D55" s="175">
        <v>0</v>
      </c>
      <c r="E55" s="175">
        <f>IFERROR(HLOOKUP($B55,'Inv Adic'!$D$6:$M$29,13,0),0)</f>
        <v>0</v>
      </c>
      <c r="F55" s="175">
        <f>IFERROR(VLOOKUP($B55,'Inv Temp'!$B$7:$I$67,F$1,0),0)</f>
        <v>0</v>
      </c>
      <c r="G55" s="175">
        <f t="shared" si="8"/>
        <v>0</v>
      </c>
      <c r="H55" s="175">
        <f>VLOOKUP($B55,'Financ Total'!$B$10:$F$70,H$1,0)</f>
        <v>0</v>
      </c>
      <c r="I55" s="309">
        <v>0</v>
      </c>
      <c r="J55" s="175">
        <f>VLOOKUP($B55,'Financ Total'!$B$10:$F$70,J$1,0)</f>
        <v>83000000</v>
      </c>
      <c r="K55" s="175">
        <f>VLOOKUP($B55,'Financ Total'!$B$10:$F$70,K$1,0)</f>
        <v>892251</v>
      </c>
      <c r="L55" s="175">
        <f t="shared" si="9"/>
        <v>-83892251</v>
      </c>
      <c r="M55" s="175">
        <f>IF($M$1=0,IFERROR(HLOOKUP(YEAR($B55),'Ing Proyect'!$B$6:$G$12,6,0),0),IF($M$1=1,IFERROR(HLOOKUP(YEAR($B54),'Ing Proyect'!$B$6:$G$12,6,0),0),IFERROR(HLOOKUP(YEAR($B53),'Ing Proyect'!$B$6:$G$12,6,0),0)))</f>
        <v>156674000</v>
      </c>
      <c r="N55" s="175">
        <f>VLOOKUP($B55,'Inv Temp'!$B$7:$I$67,N$2,0)</f>
        <v>0</v>
      </c>
      <c r="O55" s="175">
        <v>0</v>
      </c>
      <c r="P55" s="175">
        <f t="shared" si="15"/>
        <v>156674000</v>
      </c>
      <c r="Q55" s="175">
        <f>VLOOKUP($B55,'Gtos Consultores'!$B$9:$AH$69,Q$3,0)</f>
        <v>113661875.30000001</v>
      </c>
      <c r="R55" s="175">
        <f>VLOOKUP($B55,'Gtos Consultores'!$B$9:$AH$69,R$3,0)</f>
        <v>10983490.187200001</v>
      </c>
      <c r="S55" s="175">
        <f>IFERROR(VLOOKUP($B55,'Gtos Consultores'!$B$9:$AH$69,S$3,0),0)</f>
        <v>0</v>
      </c>
      <c r="T55" s="175">
        <f>IF($T$1=0,IFERROR(HLOOKUP(YEAR($B55),'Gastos Proyect'!$B$4:$F$17,14,0),0),IF($T$1=1,IFERROR(HLOOKUP(YEAR($B54),'Gastos Proyect'!$B$4:$F$17,14,0),0),IFERROR(HLOOKUP(YEAR($B53),'Gastos Proyect'!$B$4:$F$17,14,0),0)))</f>
        <v>12559000</v>
      </c>
      <c r="U55" s="359">
        <f>IFERROR(HLOOKUP(YEAR($B55),'Ing Proyect'!$B$6:$G$12,6,0),0)*$U$2</f>
        <v>7833700</v>
      </c>
      <c r="V55" s="175">
        <v>0</v>
      </c>
      <c r="W55" s="175">
        <f t="shared" si="17"/>
        <v>145038065.48720002</v>
      </c>
      <c r="X55" s="175">
        <f t="shared" si="10"/>
        <v>11635934.512799978</v>
      </c>
      <c r="Y55" s="359">
        <f t="shared" si="18"/>
        <v>0</v>
      </c>
      <c r="Z55" s="175">
        <f t="shared" si="11"/>
        <v>-72256316.487200022</v>
      </c>
      <c r="AB55" s="175">
        <f t="shared" si="2"/>
        <v>149000000</v>
      </c>
      <c r="AC55" s="175">
        <f>AE54+(-G55+(VLOOKUP($A55,'Financ 1'!$A$15:$Q$75,17,0)+VLOOKUP($A55,'Financ 2'!$A$15:$Q$75,17,0))+I55+P55-W55+Y55)-AB55</f>
        <v>9114943.5492994189</v>
      </c>
      <c r="AD55" s="175">
        <f>VLOOKUP($B55,'Inv Temp'!$B$7:$I$67,AD$2,0)</f>
        <v>0</v>
      </c>
      <c r="AE55" s="175">
        <f>IF($A55=0,'Inv Inicial'!$D$15,AE54+Z55-AC55*0+AD55)</f>
        <v>74222692.549299419</v>
      </c>
      <c r="AF55" s="175">
        <f t="shared" si="19"/>
        <v>0</v>
      </c>
      <c r="AG55" s="175">
        <f t="shared" si="20"/>
        <v>74777307.450700581</v>
      </c>
      <c r="AI55" s="175">
        <f>VLOOKUP($A55,'Amort Inv Inic'!$A$7:$U$67,21,0)</f>
        <v>354168</v>
      </c>
      <c r="AJ55" s="175">
        <f>VLOOKUP($A55,'Amort Inv Adic'!$A$7:$BI$67,54,0)</f>
        <v>2354098</v>
      </c>
      <c r="AK55" s="175">
        <f t="shared" si="12"/>
        <v>2708266</v>
      </c>
      <c r="AM55" s="175">
        <f>IFERROR(HLOOKUP(YEAR($B55),'Ing Proyect'!$B$6:$G$12,6,0),0)</f>
        <v>156674000</v>
      </c>
      <c r="AN55" s="175">
        <f>VLOOKUP($B55,'Gtos Consultores'!$B$9:$AI$69,AN$3,0)</f>
        <v>1306793</v>
      </c>
      <c r="AO55" s="175">
        <f>(P55-M55+AM55)-(W55-S55)-K55-AK55-AN55+T55-IFERROR(HLOOKUP(YEAR($B55),'Gastos Proyect'!$B$4:$F$17,14,0),0)</f>
        <v>6728624.5127999783</v>
      </c>
      <c r="AP55" s="175">
        <f>SUMIF($C$8:$C55,$C55,$AO$8:$AO55)</f>
        <v>76429589.640799761</v>
      </c>
      <c r="AR55" s="320">
        <f>IFERROR(VLOOKUP(ROUNDUP($A55/12,0),Variables!$B$32:$E$36,4,0),0)</f>
        <v>0.125</v>
      </c>
      <c r="AS55" s="175">
        <f t="shared" si="13"/>
        <v>9554000</v>
      </c>
      <c r="AT55" s="320">
        <f>IFERROR(VLOOKUP(ROUNDUP($A55/12,0),Variables!$B$41:$E$45,4,0),0)</f>
        <v>0.09</v>
      </c>
      <c r="AU55" s="175">
        <f t="shared" si="14"/>
        <v>6879000</v>
      </c>
      <c r="AV55" s="359">
        <f t="shared" si="16"/>
        <v>16433000</v>
      </c>
      <c r="AW55" s="175">
        <f t="shared" si="5"/>
        <v>59996589.640799761</v>
      </c>
      <c r="AX55" s="175">
        <f t="shared" si="21"/>
        <v>16433000</v>
      </c>
    </row>
    <row r="56" spans="1:61" x14ac:dyDescent="0.35">
      <c r="A56" s="18">
        <v>48</v>
      </c>
      <c r="B56" s="184">
        <v>43465</v>
      </c>
      <c r="C56" s="331">
        <f t="shared" si="7"/>
        <v>2018</v>
      </c>
      <c r="D56" s="175">
        <v>0</v>
      </c>
      <c r="E56" s="175">
        <f>IFERROR(HLOOKUP($B56,'Inv Adic'!$D$6:$M$29,13,0),0)</f>
        <v>44593000</v>
      </c>
      <c r="F56" s="175">
        <f>IFERROR(VLOOKUP($B56,'Inv Temp'!$B$7:$I$67,F$1,0),0)</f>
        <v>0</v>
      </c>
      <c r="G56" s="175">
        <f t="shared" si="8"/>
        <v>44593000</v>
      </c>
      <c r="H56" s="175">
        <f>VLOOKUP($B56,'Financ Total'!$B$10:$F$70,H$1,0)</f>
        <v>130000000</v>
      </c>
      <c r="I56" s="309">
        <v>0</v>
      </c>
      <c r="J56" s="175">
        <f>VLOOKUP($B56,'Financ Total'!$B$10:$F$70,J$1,0)</f>
        <v>0</v>
      </c>
      <c r="K56" s="175">
        <f>VLOOKUP($B56,'Financ Total'!$B$10:$F$70,K$1,0)</f>
        <v>0</v>
      </c>
      <c r="L56" s="175">
        <f t="shared" si="9"/>
        <v>130000000</v>
      </c>
      <c r="M56" s="175">
        <f>IF($M$1=0,IFERROR(HLOOKUP(YEAR($B56),'Ing Proyect'!$B$6:$G$12,6,0),0),IF($M$1=1,IFERROR(HLOOKUP(YEAR($B55),'Ing Proyect'!$B$6:$G$12,6,0),0),IFERROR(HLOOKUP(YEAR($B54),'Ing Proyect'!$B$6:$G$12,6,0),0)))</f>
        <v>156674000</v>
      </c>
      <c r="N56" s="175">
        <f>VLOOKUP($B56,'Inv Temp'!$B$7:$I$67,N$2,0)</f>
        <v>0</v>
      </c>
      <c r="O56" s="175">
        <v>0</v>
      </c>
      <c r="P56" s="175">
        <f t="shared" si="15"/>
        <v>156674000</v>
      </c>
      <c r="Q56" s="175">
        <f>VLOOKUP($B56,'Gtos Consultores'!$B$9:$AH$69,Q$3,0)</f>
        <v>113661875.30000001</v>
      </c>
      <c r="R56" s="175">
        <f>VLOOKUP($B56,'Gtos Consultores'!$B$9:$AH$69,R$3,0)</f>
        <v>10983490.187200001</v>
      </c>
      <c r="S56" s="175">
        <f>IFERROR(VLOOKUP($B56,'Gtos Consultores'!$B$9:$AH$69,S$3,0),0)</f>
        <v>3698472</v>
      </c>
      <c r="T56" s="175">
        <f>IF($T$1=0,IFERROR(HLOOKUP(YEAR($B56),'Gastos Proyect'!$B$4:$F$17,14,0),0),IF($T$1=1,IFERROR(HLOOKUP(YEAR($B55),'Gastos Proyect'!$B$4:$F$17,14,0),0),IFERROR(HLOOKUP(YEAR($B54),'Gastos Proyect'!$B$4:$F$17,14,0),0)))</f>
        <v>12559000</v>
      </c>
      <c r="U56" s="359">
        <f>IFERROR(HLOOKUP(YEAR($B56),'Ing Proyect'!$B$6:$G$12,6,0),0)*$U$2</f>
        <v>7833700</v>
      </c>
      <c r="V56" s="175">
        <v>0</v>
      </c>
      <c r="W56" s="175">
        <f t="shared" si="17"/>
        <v>148736537.48720002</v>
      </c>
      <c r="X56" s="175">
        <f t="shared" si="10"/>
        <v>7937462.5127999783</v>
      </c>
      <c r="Y56" s="359">
        <f t="shared" si="18"/>
        <v>0</v>
      </c>
      <c r="Z56" s="175">
        <f t="shared" si="11"/>
        <v>93344462.512799978</v>
      </c>
      <c r="AB56" s="175">
        <f t="shared" si="2"/>
        <v>167000000</v>
      </c>
      <c r="AC56" s="175">
        <f>AE55+(-G56+(VLOOKUP($A56,'Financ 1'!$A$15:$Q$75,17,0)+VLOOKUP($A56,'Financ 2'!$A$15:$Q$75,17,0))+I56+P56-W56+Y56)-AB56</f>
        <v>-129432844.9379006</v>
      </c>
      <c r="AD56" s="175">
        <f>VLOOKUP($B56,'Inv Temp'!$B$7:$I$67,AD$2,0)</f>
        <v>0</v>
      </c>
      <c r="AE56" s="175">
        <f>IF($A56=0,'Inv Inicial'!$D$15,AE55+Z56-AC56*0+AD56)</f>
        <v>167567155.0620994</v>
      </c>
      <c r="AF56" s="175">
        <f t="shared" si="19"/>
        <v>567155.06209939718</v>
      </c>
      <c r="AG56" s="175">
        <f t="shared" si="20"/>
        <v>0</v>
      </c>
      <c r="AI56" s="175">
        <f>VLOOKUP($A56,'Amort Inv Inic'!$A$7:$U$67,21,0)</f>
        <v>354166</v>
      </c>
      <c r="AJ56" s="175">
        <f>VLOOKUP($A56,'Amort Inv Adic'!$A$7:$BI$67,54,0)</f>
        <v>2354097</v>
      </c>
      <c r="AK56" s="175">
        <f t="shared" si="12"/>
        <v>2708263</v>
      </c>
      <c r="AM56" s="175">
        <f>IFERROR(HLOOKUP(YEAR($B56),'Ing Proyect'!$B$6:$G$12,6,0),0)</f>
        <v>156674000</v>
      </c>
      <c r="AN56" s="175">
        <f>VLOOKUP($B56,'Gtos Consultores'!$B$9:$AI$69,AN$3,0)</f>
        <v>1306793</v>
      </c>
      <c r="AO56" s="175">
        <f>(P56-M56+AM56)-(W56-S56)-K56-AK56-AN56+T56-IFERROR(HLOOKUP(YEAR($B56),'Gastos Proyect'!$B$4:$F$17,14,0),0)</f>
        <v>7620878.5127999783</v>
      </c>
      <c r="AP56" s="175">
        <f>SUMIF($C$8:$C56,$C56,$AO$8:$AO56)</f>
        <v>84050468.153599739</v>
      </c>
      <c r="AR56" s="320">
        <f>IFERROR(VLOOKUP(ROUNDUP($A56/12,0),Variables!$B$32:$E$36,4,0),0)</f>
        <v>0.125</v>
      </c>
      <c r="AS56" s="175">
        <f t="shared" si="13"/>
        <v>10507000</v>
      </c>
      <c r="AT56" s="320">
        <f>IFERROR(VLOOKUP(ROUNDUP($A56/12,0),Variables!$B$41:$E$45,4,0),0)</f>
        <v>0.09</v>
      </c>
      <c r="AU56" s="175">
        <f t="shared" si="14"/>
        <v>7565000</v>
      </c>
      <c r="AV56" s="359">
        <f t="shared" si="16"/>
        <v>18072000</v>
      </c>
      <c r="AW56" s="175">
        <f t="shared" si="5"/>
        <v>65978468.153599739</v>
      </c>
      <c r="AX56" s="175">
        <f t="shared" si="21"/>
        <v>18072000</v>
      </c>
    </row>
    <row r="57" spans="1:61" x14ac:dyDescent="0.35">
      <c r="A57" s="18">
        <v>49</v>
      </c>
      <c r="B57" s="184">
        <v>43496</v>
      </c>
      <c r="C57" s="331">
        <f t="shared" si="7"/>
        <v>2019</v>
      </c>
      <c r="D57" s="175">
        <v>0</v>
      </c>
      <c r="E57" s="175">
        <f>IFERROR(HLOOKUP($B57,'Inv Adic'!$D$6:$M$29,13,0),0)</f>
        <v>0</v>
      </c>
      <c r="F57" s="175">
        <f>IFERROR(VLOOKUP($B57,'Inv Temp'!$B$7:$I$67,F$1,0),0)</f>
        <v>0</v>
      </c>
      <c r="G57" s="175">
        <f t="shared" si="8"/>
        <v>0</v>
      </c>
      <c r="H57" s="175">
        <f>VLOOKUP($B57,'Financ Total'!$B$10:$F$70,H$1,0)</f>
        <v>2000000</v>
      </c>
      <c r="I57" s="309">
        <v>0</v>
      </c>
      <c r="J57" s="175">
        <f>VLOOKUP($B57,'Financ Total'!$B$10:$F$70,J$1,0)</f>
        <v>130000000</v>
      </c>
      <c r="K57" s="175">
        <f>VLOOKUP($B57,'Financ Total'!$B$10:$F$70,K$1,0)</f>
        <v>1397502</v>
      </c>
      <c r="L57" s="175">
        <f t="shared" si="9"/>
        <v>-129397502</v>
      </c>
      <c r="M57" s="175">
        <f>IF($M$1=0,IFERROR(HLOOKUP(YEAR($B57),'Ing Proyect'!$B$6:$G$12,6,0),0),IF($M$1=1,IFERROR(HLOOKUP(YEAR($B56),'Ing Proyect'!$B$6:$G$12,6,0),0),IFERROR(HLOOKUP(YEAR($B55),'Ing Proyect'!$B$6:$G$12,6,0),0)))</f>
        <v>156674000</v>
      </c>
      <c r="N57" s="175">
        <f>VLOOKUP($B57,'Inv Temp'!$B$7:$I$67,N$2,0)</f>
        <v>0</v>
      </c>
      <c r="O57" s="175">
        <v>0</v>
      </c>
      <c r="P57" s="175">
        <f t="shared" si="15"/>
        <v>156674000</v>
      </c>
      <c r="Q57" s="175">
        <f>VLOOKUP($B57,'Gtos Consultores'!$B$9:$AH$69,Q$3,0)</f>
        <v>124602684.7</v>
      </c>
      <c r="R57" s="175">
        <f>VLOOKUP($B57,'Gtos Consultores'!$B$9:$AH$69,R$3,0)</f>
        <v>12549731.043349998</v>
      </c>
      <c r="S57" s="175">
        <f>IFERROR(VLOOKUP($B57,'Gtos Consultores'!$B$9:$AH$69,S$3,0),0)</f>
        <v>8284578</v>
      </c>
      <c r="T57" s="175">
        <f>IF($T$1=0,IFERROR(HLOOKUP(YEAR($B57),'Gastos Proyect'!$B$4:$F$17,14,0),0),IF($T$1=1,IFERROR(HLOOKUP(YEAR($B56),'Gastos Proyect'!$B$4:$F$17,14,0),0),IFERROR(HLOOKUP(YEAR($B55),'Gastos Proyect'!$B$4:$F$17,14,0),0)))</f>
        <v>12935000</v>
      </c>
      <c r="U57" s="359">
        <f>IFERROR(HLOOKUP(YEAR($B57),'Ing Proyect'!$B$6:$G$12,6,0),0)*$U$2</f>
        <v>8561400</v>
      </c>
      <c r="V57" s="175">
        <v>0</v>
      </c>
      <c r="W57" s="175">
        <f t="shared" si="17"/>
        <v>166933393.74335</v>
      </c>
      <c r="X57" s="175">
        <f t="shared" si="10"/>
        <v>-10259393.743349999</v>
      </c>
      <c r="Y57" s="359">
        <f t="shared" si="18"/>
        <v>0</v>
      </c>
      <c r="Z57" s="175">
        <f t="shared" si="11"/>
        <v>-139656895.74335</v>
      </c>
      <c r="AB57" s="175">
        <f t="shared" si="2"/>
        <v>159000000</v>
      </c>
      <c r="AC57" s="175">
        <f>AE56+(-G57+(VLOOKUP($A57,'Financ 1'!$A$15:$Q$75,17,0)+VLOOKUP($A57,'Financ 2'!$A$15:$Q$75,17,0))+I57+P57-W57+Y57)-AB57</f>
        <v>-1692238.681250602</v>
      </c>
      <c r="AD57" s="175">
        <f>VLOOKUP($B57,'Inv Temp'!$B$7:$I$67,AD$2,0)</f>
        <v>0</v>
      </c>
      <c r="AE57" s="175">
        <f>IF($A57=0,'Inv Inicial'!$D$15,AE56+Z57-AC57*0+AD57)</f>
        <v>27910259.318749398</v>
      </c>
      <c r="AF57" s="175">
        <f t="shared" si="19"/>
        <v>0</v>
      </c>
      <c r="AG57" s="175">
        <f t="shared" si="20"/>
        <v>131089740.6812506</v>
      </c>
      <c r="AI57" s="175">
        <f>VLOOKUP($A57,'Amort Inv Inic'!$A$7:$U$67,21,0)</f>
        <v>354168</v>
      </c>
      <c r="AJ57" s="175">
        <f>VLOOKUP($A57,'Amort Inv Adic'!$A$7:$BI$67,54,0)</f>
        <v>2890111</v>
      </c>
      <c r="AK57" s="175">
        <f t="shared" si="12"/>
        <v>3244279</v>
      </c>
      <c r="AM57" s="175">
        <f>IFERROR(HLOOKUP(YEAR($B57),'Ing Proyect'!$B$6:$G$12,6,0),0)</f>
        <v>171228000</v>
      </c>
      <c r="AN57" s="175">
        <f>VLOOKUP($B57,'Gtos Consultores'!$B$9:$AI$69,AN$3,0)</f>
        <v>1397921</v>
      </c>
      <c r="AO57" s="175">
        <f>(P57-M57+AM57)-(W57-S57)-K57-AK57-AN57+T57-IFERROR(HLOOKUP(YEAR($B57),'Gastos Proyect'!$B$4:$F$17,14,0),0)</f>
        <v>6539482.2566500008</v>
      </c>
      <c r="AP57" s="175">
        <f>SUMIF($C$8:$C57,$C57,$AO$8:$AO57)</f>
        <v>6539482.2566500008</v>
      </c>
      <c r="AR57" s="320">
        <f>IFERROR(VLOOKUP(ROUNDUP($A57/12,0),Variables!$B$32:$E$36,4,0),0)</f>
        <v>0.1875</v>
      </c>
      <c r="AS57" s="175">
        <f t="shared" si="13"/>
        <v>1227000</v>
      </c>
      <c r="AT57" s="320">
        <f>IFERROR(VLOOKUP(ROUNDUP($A57/12,0),Variables!$B$41:$E$45,4,0),0)</f>
        <v>0.09</v>
      </c>
      <c r="AU57" s="175">
        <f t="shared" si="14"/>
        <v>589000</v>
      </c>
      <c r="AV57" s="359">
        <f t="shared" si="16"/>
        <v>1816000</v>
      </c>
      <c r="AW57" s="175">
        <f t="shared" si="5"/>
        <v>4723482.2566500008</v>
      </c>
      <c r="AX57" s="175">
        <f t="shared" si="21"/>
        <v>19888000</v>
      </c>
    </row>
    <row r="58" spans="1:61" x14ac:dyDescent="0.35">
      <c r="A58" s="18">
        <v>50</v>
      </c>
      <c r="B58" s="184">
        <v>43524</v>
      </c>
      <c r="C58" s="331">
        <f t="shared" si="7"/>
        <v>2019</v>
      </c>
      <c r="D58" s="175">
        <v>0</v>
      </c>
      <c r="E58" s="175">
        <f>IFERROR(HLOOKUP($B58,'Inv Adic'!$D$6:$M$29,13,0),0)</f>
        <v>0</v>
      </c>
      <c r="F58" s="175">
        <f>IFERROR(VLOOKUP($B58,'Inv Temp'!$B$7:$I$67,F$1,0),0)</f>
        <v>0</v>
      </c>
      <c r="G58" s="175">
        <f t="shared" si="8"/>
        <v>0</v>
      </c>
      <c r="H58" s="175">
        <f>VLOOKUP($B58,'Financ Total'!$B$10:$F$70,H$1,0)</f>
        <v>119000000</v>
      </c>
      <c r="I58" s="309">
        <v>0</v>
      </c>
      <c r="J58" s="175">
        <f>VLOOKUP($B58,'Financ Total'!$B$10:$F$70,J$1,0)</f>
        <v>2000000</v>
      </c>
      <c r="K58" s="175">
        <f>VLOOKUP($B58,'Financ Total'!$B$10:$F$70,K$1,0)</f>
        <v>21500</v>
      </c>
      <c r="L58" s="175">
        <f t="shared" si="9"/>
        <v>116978500</v>
      </c>
      <c r="M58" s="175">
        <f>IF($M$1=0,IFERROR(HLOOKUP(YEAR($B58),'Ing Proyect'!$B$6:$G$12,6,0),0),IF($M$1=1,IFERROR(HLOOKUP(YEAR($B57),'Ing Proyect'!$B$6:$G$12,6,0),0),IFERROR(HLOOKUP(YEAR($B56),'Ing Proyect'!$B$6:$G$12,6,0),0)))</f>
        <v>171228000</v>
      </c>
      <c r="N58" s="175">
        <f>VLOOKUP($B58,'Inv Temp'!$B$7:$I$67,N$2,0)</f>
        <v>0</v>
      </c>
      <c r="O58" s="175">
        <v>0</v>
      </c>
      <c r="P58" s="175">
        <f t="shared" si="15"/>
        <v>171228000</v>
      </c>
      <c r="Q58" s="175">
        <f>VLOOKUP($B58,'Gtos Consultores'!$B$9:$AH$69,Q$3,0)</f>
        <v>124602684.7</v>
      </c>
      <c r="R58" s="175">
        <f>VLOOKUP($B58,'Gtos Consultores'!$B$9:$AH$69,R$3,0)</f>
        <v>12549731.043349998</v>
      </c>
      <c r="S58" s="175">
        <f>IFERROR(VLOOKUP($B58,'Gtos Consultores'!$B$9:$AH$69,S$3,0),0)</f>
        <v>0</v>
      </c>
      <c r="T58" s="175">
        <f>IF($T$1=0,IFERROR(HLOOKUP(YEAR($B58),'Gastos Proyect'!$B$4:$F$17,14,0),0),IF($T$1=1,IFERROR(HLOOKUP(YEAR($B57),'Gastos Proyect'!$B$4:$F$17,14,0),0),IFERROR(HLOOKUP(YEAR($B56),'Gastos Proyect'!$B$4:$F$17,14,0),0)))</f>
        <v>12935000</v>
      </c>
      <c r="U58" s="359">
        <f>IFERROR(HLOOKUP(YEAR($B58),'Ing Proyect'!$B$6:$G$12,6,0),0)*$U$2</f>
        <v>8561400</v>
      </c>
      <c r="V58" s="175">
        <v>0</v>
      </c>
      <c r="W58" s="175">
        <f t="shared" si="17"/>
        <v>158648815.74335</v>
      </c>
      <c r="X58" s="175">
        <f t="shared" si="10"/>
        <v>12579184.256650001</v>
      </c>
      <c r="Y58" s="359">
        <f t="shared" si="18"/>
        <v>0</v>
      </c>
      <c r="Z58" s="175">
        <f t="shared" si="11"/>
        <v>129557684.25665</v>
      </c>
      <c r="AB58" s="175">
        <f t="shared" si="2"/>
        <v>159000000</v>
      </c>
      <c r="AC58" s="175">
        <f>AE57+(-G58+(VLOOKUP($A58,'Financ 1'!$A$15:$Q$75,17,0)+VLOOKUP($A58,'Financ 2'!$A$15:$Q$75,17,0))+I58+P58-W58+Y58)-AB58</f>
        <v>-118510556.4246006</v>
      </c>
      <c r="AD58" s="175">
        <f>VLOOKUP($B58,'Inv Temp'!$B$7:$I$67,AD$2,0)</f>
        <v>0</v>
      </c>
      <c r="AE58" s="175">
        <f>IF($A58=0,'Inv Inicial'!$D$15,AE57+Z58-AC58*0+AD58)</f>
        <v>157467943.5753994</v>
      </c>
      <c r="AF58" s="175">
        <f t="shared" si="19"/>
        <v>0</v>
      </c>
      <c r="AG58" s="175">
        <f t="shared" si="20"/>
        <v>1532056.4246006012</v>
      </c>
      <c r="AI58" s="175">
        <f>VLOOKUP($A58,'Amort Inv Inic'!$A$7:$U$67,21,0)</f>
        <v>354166</v>
      </c>
      <c r="AJ58" s="175">
        <f>VLOOKUP($A58,'Amort Inv Adic'!$A$7:$BI$67,54,0)</f>
        <v>2890110</v>
      </c>
      <c r="AK58" s="175">
        <f t="shared" si="12"/>
        <v>3244276</v>
      </c>
      <c r="AM58" s="175">
        <f>IFERROR(HLOOKUP(YEAR($B58),'Ing Proyect'!$B$6:$G$12,6,0),0)</f>
        <v>171228000</v>
      </c>
      <c r="AN58" s="175">
        <f>VLOOKUP($B58,'Gtos Consultores'!$B$9:$AI$69,AN$3,0)</f>
        <v>1397921</v>
      </c>
      <c r="AO58" s="175">
        <f>(P58-M58+AM58)-(W58-S58)-K58-AK58-AN58+T58-IFERROR(HLOOKUP(YEAR($B58),'Gastos Proyect'!$B$4:$F$17,14,0),0)</f>
        <v>7915487.2566500008</v>
      </c>
      <c r="AP58" s="175">
        <f>SUMIF($C$8:$C58,$C58,$AO$8:$AO58)</f>
        <v>14454969.513300002</v>
      </c>
      <c r="AR58" s="320">
        <f>IFERROR(VLOOKUP(ROUNDUP($A58/12,0),Variables!$B$32:$E$36,4,0),0)</f>
        <v>0.1875</v>
      </c>
      <c r="AS58" s="175">
        <f t="shared" si="13"/>
        <v>2711000</v>
      </c>
      <c r="AT58" s="320">
        <f>IFERROR(VLOOKUP(ROUNDUP($A58/12,0),Variables!$B$41:$E$45,4,0),0)</f>
        <v>0.09</v>
      </c>
      <c r="AU58" s="175">
        <f t="shared" si="14"/>
        <v>1301000</v>
      </c>
      <c r="AV58" s="359">
        <f t="shared" si="16"/>
        <v>4012000</v>
      </c>
      <c r="AW58" s="175">
        <f t="shared" si="5"/>
        <v>10442969.513300002</v>
      </c>
      <c r="AX58" s="175">
        <f t="shared" si="21"/>
        <v>22084000</v>
      </c>
    </row>
    <row r="59" spans="1:61" x14ac:dyDescent="0.35">
      <c r="A59" s="18">
        <v>51</v>
      </c>
      <c r="B59" s="184">
        <v>43555</v>
      </c>
      <c r="C59" s="331">
        <f t="shared" si="7"/>
        <v>2019</v>
      </c>
      <c r="D59" s="175">
        <v>0</v>
      </c>
      <c r="E59" s="175">
        <f>IFERROR(HLOOKUP($B59,'Inv Adic'!$D$6:$M$29,13,0),0)</f>
        <v>0</v>
      </c>
      <c r="F59" s="175">
        <f>IFERROR(VLOOKUP($B59,'Inv Temp'!$B$7:$I$67,F$1,0),0)</f>
        <v>0</v>
      </c>
      <c r="G59" s="175">
        <f t="shared" si="8"/>
        <v>0</v>
      </c>
      <c r="H59" s="175">
        <f>VLOOKUP($B59,'Financ Total'!$B$10:$F$70,H$1,0)</f>
        <v>0</v>
      </c>
      <c r="I59" s="309">
        <v>0</v>
      </c>
      <c r="J59" s="175">
        <f>VLOOKUP($B59,'Financ Total'!$B$10:$F$70,J$1,0)</f>
        <v>119000000</v>
      </c>
      <c r="K59" s="175">
        <f>VLOOKUP($B59,'Financ Total'!$B$10:$F$70,K$1,0)</f>
        <v>1279252</v>
      </c>
      <c r="L59" s="175">
        <f t="shared" si="9"/>
        <v>-120279252</v>
      </c>
      <c r="M59" s="175">
        <f>IF($M$1=0,IFERROR(HLOOKUP(YEAR($B59),'Ing Proyect'!$B$6:$G$12,6,0),0),IF($M$1=1,IFERROR(HLOOKUP(YEAR($B58),'Ing Proyect'!$B$6:$G$12,6,0),0),IFERROR(HLOOKUP(YEAR($B57),'Ing Proyect'!$B$6:$G$12,6,0),0)))</f>
        <v>171228000</v>
      </c>
      <c r="N59" s="175">
        <f>VLOOKUP($B59,'Inv Temp'!$B$7:$I$67,N$2,0)</f>
        <v>0</v>
      </c>
      <c r="O59" s="175">
        <v>0</v>
      </c>
      <c r="P59" s="175">
        <f t="shared" si="15"/>
        <v>171228000</v>
      </c>
      <c r="Q59" s="175">
        <f>VLOOKUP($B59,'Gtos Consultores'!$B$9:$AH$69,Q$3,0)</f>
        <v>124602684.7</v>
      </c>
      <c r="R59" s="175">
        <f>VLOOKUP($B59,'Gtos Consultores'!$B$9:$AH$69,R$3,0)</f>
        <v>12549731.043349998</v>
      </c>
      <c r="S59" s="175">
        <f>IFERROR(VLOOKUP($B59,'Gtos Consultores'!$B$9:$AH$69,S$3,0),0)</f>
        <v>0</v>
      </c>
      <c r="T59" s="175">
        <f>IF($T$1=0,IFERROR(HLOOKUP(YEAR($B59),'Gastos Proyect'!$B$4:$F$17,14,0),0),IF($T$1=1,IFERROR(HLOOKUP(YEAR($B58),'Gastos Proyect'!$B$4:$F$17,14,0),0),IFERROR(HLOOKUP(YEAR($B57),'Gastos Proyect'!$B$4:$F$17,14,0),0)))</f>
        <v>12935000</v>
      </c>
      <c r="U59" s="359">
        <f>IFERROR(HLOOKUP(YEAR($B59),'Ing Proyect'!$B$6:$G$12,6,0),0)*$U$2</f>
        <v>8561400</v>
      </c>
      <c r="V59" s="175">
        <v>0</v>
      </c>
      <c r="W59" s="175">
        <f t="shared" si="17"/>
        <v>158648815.74335</v>
      </c>
      <c r="X59" s="175">
        <f t="shared" si="10"/>
        <v>12579184.256650001</v>
      </c>
      <c r="Y59" s="359">
        <f t="shared" si="18"/>
        <v>0</v>
      </c>
      <c r="Z59" s="175">
        <f t="shared" si="11"/>
        <v>-107700067.74335</v>
      </c>
      <c r="AB59" s="175">
        <f t="shared" si="2"/>
        <v>159000000</v>
      </c>
      <c r="AC59" s="175">
        <f>AE58+(-G59+(VLOOKUP($A59,'Financ 1'!$A$15:$Q$75,17,0)+VLOOKUP($A59,'Financ 2'!$A$15:$Q$75,17,0))+I59+P59-W59+Y59)-AB59</f>
        <v>11047127.8320494</v>
      </c>
      <c r="AD59" s="175">
        <f>VLOOKUP($B59,'Inv Temp'!$B$7:$I$67,AD$2,0)</f>
        <v>0</v>
      </c>
      <c r="AE59" s="175">
        <f>IF($A59=0,'Inv Inicial'!$D$15,AE58+Z59-AC59*0+AD59)</f>
        <v>49767875.8320494</v>
      </c>
      <c r="AF59" s="175">
        <f t="shared" si="19"/>
        <v>0</v>
      </c>
      <c r="AG59" s="175">
        <f t="shared" si="20"/>
        <v>109232124.1679506</v>
      </c>
      <c r="AI59" s="175">
        <f>VLOOKUP($A59,'Amort Inv Inic'!$A$7:$U$67,21,0)</f>
        <v>354168</v>
      </c>
      <c r="AJ59" s="175">
        <f>VLOOKUP($A59,'Amort Inv Adic'!$A$7:$BI$67,54,0)</f>
        <v>2890111</v>
      </c>
      <c r="AK59" s="175">
        <f t="shared" si="12"/>
        <v>3244279</v>
      </c>
      <c r="AM59" s="175">
        <f>IFERROR(HLOOKUP(YEAR($B59),'Ing Proyect'!$B$6:$G$12,6,0),0)</f>
        <v>171228000</v>
      </c>
      <c r="AN59" s="175">
        <f>VLOOKUP($B59,'Gtos Consultores'!$B$9:$AI$69,AN$3,0)</f>
        <v>1397921</v>
      </c>
      <c r="AO59" s="175">
        <f>(P59-M59+AM59)-(W59-S59)-K59-AK59-AN59+T59-IFERROR(HLOOKUP(YEAR($B59),'Gastos Proyect'!$B$4:$F$17,14,0),0)</f>
        <v>6657732.2566500008</v>
      </c>
      <c r="AP59" s="175">
        <f>SUMIF($C$8:$C59,$C59,$AO$8:$AO59)</f>
        <v>21112701.769950002</v>
      </c>
      <c r="AR59" s="320">
        <f>IFERROR(VLOOKUP(ROUNDUP($A59/12,0),Variables!$B$32:$E$36,4,0),0)</f>
        <v>0.1875</v>
      </c>
      <c r="AS59" s="175">
        <f t="shared" si="13"/>
        <v>3959000</v>
      </c>
      <c r="AT59" s="320">
        <f>IFERROR(VLOOKUP(ROUNDUP($A59/12,0),Variables!$B$41:$E$45,4,0),0)</f>
        <v>0.09</v>
      </c>
      <c r="AU59" s="175">
        <f t="shared" si="14"/>
        <v>1901000</v>
      </c>
      <c r="AV59" s="359">
        <f t="shared" si="16"/>
        <v>5860000</v>
      </c>
      <c r="AW59" s="175">
        <f t="shared" si="5"/>
        <v>15252701.769950002</v>
      </c>
      <c r="AX59" s="175">
        <f t="shared" si="21"/>
        <v>23932000</v>
      </c>
    </row>
    <row r="60" spans="1:61" x14ac:dyDescent="0.35">
      <c r="A60" s="18">
        <v>52</v>
      </c>
      <c r="B60" s="184">
        <v>43585</v>
      </c>
      <c r="C60" s="331">
        <f t="shared" si="7"/>
        <v>2019</v>
      </c>
      <c r="D60" s="175">
        <v>0</v>
      </c>
      <c r="E60" s="175">
        <f>IFERROR(HLOOKUP($B60,'Inv Adic'!$D$6:$M$29,13,0),0)</f>
        <v>0</v>
      </c>
      <c r="F60" s="175">
        <f>IFERROR(VLOOKUP($B60,'Inv Temp'!$B$7:$I$67,F$1,0),0)</f>
        <v>0</v>
      </c>
      <c r="G60" s="175">
        <f t="shared" si="8"/>
        <v>0</v>
      </c>
      <c r="H60" s="175">
        <f>VLOOKUP($B60,'Financ Total'!$B$10:$F$70,H$1,0)</f>
        <v>106000000</v>
      </c>
      <c r="I60" s="309">
        <v>0</v>
      </c>
      <c r="J60" s="175">
        <f>VLOOKUP($B60,'Financ Total'!$B$10:$F$70,J$1,0)</f>
        <v>0</v>
      </c>
      <c r="K60" s="175">
        <f>VLOOKUP($B60,'Financ Total'!$B$10:$F$70,K$1,0)</f>
        <v>0</v>
      </c>
      <c r="L60" s="175">
        <f t="shared" si="9"/>
        <v>106000000</v>
      </c>
      <c r="M60" s="175">
        <f>IF($M$1=0,IFERROR(HLOOKUP(YEAR($B60),'Ing Proyect'!$B$6:$G$12,6,0),0),IF($M$1=1,IFERROR(HLOOKUP(YEAR($B59),'Ing Proyect'!$B$6:$G$12,6,0),0),IFERROR(HLOOKUP(YEAR($B58),'Ing Proyect'!$B$6:$G$12,6,0),0)))</f>
        <v>171228000</v>
      </c>
      <c r="N60" s="175">
        <f>VLOOKUP($B60,'Inv Temp'!$B$7:$I$67,N$2,0)</f>
        <v>0</v>
      </c>
      <c r="O60" s="175">
        <v>0</v>
      </c>
      <c r="P60" s="175">
        <f t="shared" si="15"/>
        <v>171228000</v>
      </c>
      <c r="Q60" s="175">
        <f>VLOOKUP($B60,'Gtos Consultores'!$B$9:$AH$69,Q$3,0)</f>
        <v>124602684.7</v>
      </c>
      <c r="R60" s="175">
        <f>VLOOKUP($B60,'Gtos Consultores'!$B$9:$AH$69,R$3,0)</f>
        <v>12549731.043349998</v>
      </c>
      <c r="S60" s="175">
        <f>IFERROR(VLOOKUP($B60,'Gtos Consultores'!$B$9:$AH$69,S$3,0),0)</f>
        <v>0</v>
      </c>
      <c r="T60" s="175">
        <f>IF($T$1=0,IFERROR(HLOOKUP(YEAR($B60),'Gastos Proyect'!$B$4:$F$17,14,0),0),IF($T$1=1,IFERROR(HLOOKUP(YEAR($B59),'Gastos Proyect'!$B$4:$F$17,14,0),0),IFERROR(HLOOKUP(YEAR($B58),'Gastos Proyect'!$B$4:$F$17,14,0),0)))</f>
        <v>12935000</v>
      </c>
      <c r="U60" s="359">
        <f>IFERROR(HLOOKUP(YEAR($B60),'Ing Proyect'!$B$6:$G$12,6,0),0)*$U$2</f>
        <v>8561400</v>
      </c>
      <c r="V60" s="175">
        <v>0</v>
      </c>
      <c r="W60" s="175">
        <f t="shared" si="17"/>
        <v>158648815.74335</v>
      </c>
      <c r="X60" s="175">
        <f t="shared" si="10"/>
        <v>12579184.256650001</v>
      </c>
      <c r="Y60" s="359">
        <f t="shared" si="18"/>
        <v>-9036000</v>
      </c>
      <c r="Z60" s="175">
        <f t="shared" si="11"/>
        <v>109543184.25665</v>
      </c>
      <c r="AB60" s="175">
        <f t="shared" si="2"/>
        <v>159000000</v>
      </c>
      <c r="AC60" s="175">
        <f>AE59+(-G60+(VLOOKUP($A60,'Financ 1'!$A$15:$Q$75,17,0)+VLOOKUP($A60,'Financ 2'!$A$15:$Q$75,17,0))+I60+P60-W60+Y60)-AB60</f>
        <v>-105688939.9113006</v>
      </c>
      <c r="AD60" s="175">
        <f>VLOOKUP($B60,'Inv Temp'!$B$7:$I$67,AD$2,0)</f>
        <v>0</v>
      </c>
      <c r="AE60" s="175">
        <f>IF($A60=0,'Inv Inicial'!$D$15,AE59+Z60-AC60*0+AD60)</f>
        <v>159311060.0886994</v>
      </c>
      <c r="AF60" s="175">
        <f t="shared" si="19"/>
        <v>311060.08869940042</v>
      </c>
      <c r="AG60" s="175">
        <f t="shared" si="20"/>
        <v>0</v>
      </c>
      <c r="AI60" s="175">
        <f>VLOOKUP($A60,'Amort Inv Inic'!$A$7:$U$67,21,0)</f>
        <v>354166</v>
      </c>
      <c r="AJ60" s="175">
        <f>VLOOKUP($A60,'Amort Inv Adic'!$A$7:$BI$67,54,0)</f>
        <v>2890110</v>
      </c>
      <c r="AK60" s="175">
        <f t="shared" si="12"/>
        <v>3244276</v>
      </c>
      <c r="AM60" s="175">
        <f>IFERROR(HLOOKUP(YEAR($B60),'Ing Proyect'!$B$6:$G$12,6,0),0)</f>
        <v>171228000</v>
      </c>
      <c r="AN60" s="175">
        <f>VLOOKUP($B60,'Gtos Consultores'!$B$9:$AI$69,AN$3,0)</f>
        <v>1397921</v>
      </c>
      <c r="AO60" s="175">
        <f>(P60-M60+AM60)-(W60-S60)-K60-AK60-AN60+T60-IFERROR(HLOOKUP(YEAR($B60),'Gastos Proyect'!$B$4:$F$17,14,0),0)</f>
        <v>7936987.2566500008</v>
      </c>
      <c r="AP60" s="175">
        <f>SUMIF($C$8:$C60,$C60,$AO$8:$AO60)</f>
        <v>29049689.026600003</v>
      </c>
      <c r="AR60" s="320">
        <f>IFERROR(VLOOKUP(ROUNDUP($A60/12,0),Variables!$B$32:$E$36,4,0),0)</f>
        <v>0.1875</v>
      </c>
      <c r="AS60" s="175">
        <f t="shared" si="13"/>
        <v>5447000</v>
      </c>
      <c r="AT60" s="320">
        <f>IFERROR(VLOOKUP(ROUNDUP($A60/12,0),Variables!$B$41:$E$45,4,0),0)</f>
        <v>0.09</v>
      </c>
      <c r="AU60" s="175">
        <f t="shared" si="14"/>
        <v>2615000</v>
      </c>
      <c r="AV60" s="359">
        <f t="shared" si="16"/>
        <v>8062000</v>
      </c>
      <c r="AW60" s="175">
        <f t="shared" si="5"/>
        <v>20987689.026600003</v>
      </c>
      <c r="AX60" s="175">
        <f t="shared" si="21"/>
        <v>17098000</v>
      </c>
    </row>
    <row r="61" spans="1:61" x14ac:dyDescent="0.35">
      <c r="A61" s="18">
        <v>53</v>
      </c>
      <c r="B61" s="184">
        <v>43616</v>
      </c>
      <c r="C61" s="331">
        <f t="shared" si="7"/>
        <v>2019</v>
      </c>
      <c r="D61" s="175">
        <v>0</v>
      </c>
      <c r="E61" s="175">
        <f>IFERROR(HLOOKUP($B61,'Inv Adic'!$D$6:$M$29,13,0),0)</f>
        <v>0</v>
      </c>
      <c r="F61" s="175">
        <f>IFERROR(VLOOKUP($B61,'Inv Temp'!$B$7:$I$67,F$1,0),0)</f>
        <v>0</v>
      </c>
      <c r="G61" s="175">
        <f t="shared" si="8"/>
        <v>0</v>
      </c>
      <c r="H61" s="175">
        <f>VLOOKUP($B61,'Financ Total'!$B$10:$F$70,H$1,0)</f>
        <v>0</v>
      </c>
      <c r="I61" s="309">
        <v>0</v>
      </c>
      <c r="J61" s="175">
        <f>VLOOKUP($B61,'Financ Total'!$B$10:$F$70,J$1,0)</f>
        <v>106000000</v>
      </c>
      <c r="K61" s="175">
        <f>VLOOKUP($B61,'Financ Total'!$B$10:$F$70,K$1,0)</f>
        <v>1161292</v>
      </c>
      <c r="L61" s="175">
        <f t="shared" si="9"/>
        <v>-107161292</v>
      </c>
      <c r="M61" s="175">
        <f>IF($M$1=0,IFERROR(HLOOKUP(YEAR($B61),'Ing Proyect'!$B$6:$G$12,6,0),0),IF($M$1=1,IFERROR(HLOOKUP(YEAR($B60),'Ing Proyect'!$B$6:$G$12,6,0),0),IFERROR(HLOOKUP(YEAR($B59),'Ing Proyect'!$B$6:$G$12,6,0),0)))</f>
        <v>171228000</v>
      </c>
      <c r="N61" s="175">
        <f>VLOOKUP($B61,'Inv Temp'!$B$7:$I$67,N$2,0)</f>
        <v>0</v>
      </c>
      <c r="O61" s="175">
        <v>0</v>
      </c>
      <c r="P61" s="175">
        <f t="shared" si="15"/>
        <v>171228000</v>
      </c>
      <c r="Q61" s="175">
        <f>VLOOKUP($B61,'Gtos Consultores'!$B$9:$AH$69,Q$3,0)</f>
        <v>124602684.7</v>
      </c>
      <c r="R61" s="175">
        <f>VLOOKUP($B61,'Gtos Consultores'!$B$9:$AH$69,R$3,0)</f>
        <v>12549731.043349998</v>
      </c>
      <c r="S61" s="175">
        <f>IFERROR(VLOOKUP($B61,'Gtos Consultores'!$B$9:$AH$69,S$3,0),0)</f>
        <v>0</v>
      </c>
      <c r="T61" s="175">
        <f>IF($T$1=0,IFERROR(HLOOKUP(YEAR($B61),'Gastos Proyect'!$B$4:$F$17,14,0),0),IF($T$1=1,IFERROR(HLOOKUP(YEAR($B60),'Gastos Proyect'!$B$4:$F$17,14,0),0),IFERROR(HLOOKUP(YEAR($B59),'Gastos Proyect'!$B$4:$F$17,14,0),0)))</f>
        <v>12935000</v>
      </c>
      <c r="U61" s="359">
        <f>IFERROR(HLOOKUP(YEAR($B61),'Ing Proyect'!$B$6:$G$12,6,0),0)*$U$2</f>
        <v>8561400</v>
      </c>
      <c r="V61" s="175">
        <v>0</v>
      </c>
      <c r="W61" s="175">
        <f t="shared" si="17"/>
        <v>158648815.74335</v>
      </c>
      <c r="X61" s="175">
        <f t="shared" si="10"/>
        <v>12579184.256650001</v>
      </c>
      <c r="Y61" s="359">
        <f t="shared" si="18"/>
        <v>0</v>
      </c>
      <c r="Z61" s="175">
        <f t="shared" si="11"/>
        <v>-94582107.743349999</v>
      </c>
      <c r="AB61" s="175">
        <f t="shared" si="2"/>
        <v>163000000</v>
      </c>
      <c r="AC61" s="175">
        <f>AE60+(-G61+(VLOOKUP($A61,'Financ 1'!$A$15:$Q$75,17,0)+VLOOKUP($A61,'Financ 2'!$A$15:$Q$75,17,0))+I61+P61-W61+Y61)-AB61</f>
        <v>8890244.3453494012</v>
      </c>
      <c r="AD61" s="175">
        <f>VLOOKUP($B61,'Inv Temp'!$B$7:$I$67,AD$2,0)</f>
        <v>0</v>
      </c>
      <c r="AE61" s="175">
        <f>IF($A61=0,'Inv Inicial'!$D$15,AE60+Z61-AC61*0+AD61)</f>
        <v>64728952.345349401</v>
      </c>
      <c r="AF61" s="175">
        <f t="shared" si="19"/>
        <v>0</v>
      </c>
      <c r="AG61" s="175">
        <f t="shared" si="20"/>
        <v>98271047.654650599</v>
      </c>
      <c r="AI61" s="175">
        <f>VLOOKUP($A61,'Amort Inv Inic'!$A$7:$U$67,21,0)</f>
        <v>354168</v>
      </c>
      <c r="AJ61" s="175">
        <f>VLOOKUP($A61,'Amort Inv Adic'!$A$7:$BI$67,54,0)</f>
        <v>2890112</v>
      </c>
      <c r="AK61" s="175">
        <f t="shared" si="12"/>
        <v>3244280</v>
      </c>
      <c r="AM61" s="175">
        <f>IFERROR(HLOOKUP(YEAR($B61),'Ing Proyect'!$B$6:$G$12,6,0),0)</f>
        <v>171228000</v>
      </c>
      <c r="AN61" s="175">
        <f>VLOOKUP($B61,'Gtos Consultores'!$B$9:$AI$69,AN$3,0)</f>
        <v>1397921</v>
      </c>
      <c r="AO61" s="175">
        <f>(P61-M61+AM61)-(W61-S61)-K61-AK61-AN61+T61-IFERROR(HLOOKUP(YEAR($B61),'Gastos Proyect'!$B$4:$F$17,14,0),0)</f>
        <v>6775691.2566500008</v>
      </c>
      <c r="AP61" s="175">
        <f>SUMIF($C$8:$C61,$C61,$AO$8:$AO61)</f>
        <v>35825380.283250004</v>
      </c>
      <c r="AR61" s="320">
        <f>IFERROR(VLOOKUP(ROUNDUP($A61/12,0),Variables!$B$32:$E$36,4,0),0)</f>
        <v>0.1875</v>
      </c>
      <c r="AS61" s="175">
        <f t="shared" si="13"/>
        <v>6718000</v>
      </c>
      <c r="AT61" s="320">
        <f>IFERROR(VLOOKUP(ROUNDUP($A61/12,0),Variables!$B$41:$E$45,4,0),0)</f>
        <v>0.09</v>
      </c>
      <c r="AU61" s="175">
        <f t="shared" si="14"/>
        <v>3225000</v>
      </c>
      <c r="AV61" s="359">
        <f t="shared" si="16"/>
        <v>9943000</v>
      </c>
      <c r="AW61" s="175">
        <f t="shared" si="5"/>
        <v>25882380.283250004</v>
      </c>
      <c r="AX61" s="175">
        <f t="shared" si="21"/>
        <v>18979000</v>
      </c>
    </row>
    <row r="62" spans="1:61" x14ac:dyDescent="0.35">
      <c r="A62" s="18">
        <v>54</v>
      </c>
      <c r="B62" s="184">
        <v>43646</v>
      </c>
      <c r="C62" s="331">
        <f t="shared" si="7"/>
        <v>2019</v>
      </c>
      <c r="D62" s="175">
        <v>0</v>
      </c>
      <c r="E62" s="175">
        <f>IFERROR(HLOOKUP($B62,'Inv Adic'!$D$6:$M$29,13,0),0)</f>
        <v>8785000</v>
      </c>
      <c r="F62" s="175">
        <f>IFERROR(VLOOKUP($B62,'Inv Temp'!$B$7:$I$67,F$1,0),0)</f>
        <v>0</v>
      </c>
      <c r="G62" s="175">
        <f t="shared" si="8"/>
        <v>8785000</v>
      </c>
      <c r="H62" s="175">
        <f>VLOOKUP($B62,'Financ Total'!$B$10:$F$70,H$1,0)</f>
        <v>104000000</v>
      </c>
      <c r="I62" s="309">
        <v>0</v>
      </c>
      <c r="J62" s="175">
        <f>VLOOKUP($B62,'Financ Total'!$B$10:$F$70,J$1,0)</f>
        <v>0</v>
      </c>
      <c r="K62" s="175">
        <f>VLOOKUP($B62,'Financ Total'!$B$10:$F$70,K$1,0)</f>
        <v>0</v>
      </c>
      <c r="L62" s="175">
        <f t="shared" si="9"/>
        <v>104000000</v>
      </c>
      <c r="M62" s="175">
        <f>IF($M$1=0,IFERROR(HLOOKUP(YEAR($B62),'Ing Proyect'!$B$6:$G$12,6,0),0),IF($M$1=1,IFERROR(HLOOKUP(YEAR($B61),'Ing Proyect'!$B$6:$G$12,6,0),0),IFERROR(HLOOKUP(YEAR($B60),'Ing Proyect'!$B$6:$G$12,6,0),0)))</f>
        <v>171228000</v>
      </c>
      <c r="N62" s="175">
        <f>VLOOKUP($B62,'Inv Temp'!$B$7:$I$67,N$2,0)</f>
        <v>0</v>
      </c>
      <c r="O62" s="175">
        <v>0</v>
      </c>
      <c r="P62" s="175">
        <f t="shared" si="15"/>
        <v>171228000</v>
      </c>
      <c r="Q62" s="175">
        <f>VLOOKUP($B62,'Gtos Consultores'!$B$9:$AH$69,Q$3,0)</f>
        <v>124602684.7</v>
      </c>
      <c r="R62" s="175">
        <f>VLOOKUP($B62,'Gtos Consultores'!$B$9:$AH$69,R$3,0)</f>
        <v>12549731.043349998</v>
      </c>
      <c r="S62" s="175">
        <f>IFERROR(VLOOKUP($B62,'Gtos Consultores'!$B$9:$AH$69,S$3,0),0)</f>
        <v>3956381</v>
      </c>
      <c r="T62" s="175">
        <f>IF($T$1=0,IFERROR(HLOOKUP(YEAR($B62),'Gastos Proyect'!$B$4:$F$17,14,0),0),IF($T$1=1,IFERROR(HLOOKUP(YEAR($B61),'Gastos Proyect'!$B$4:$F$17,14,0),0),IFERROR(HLOOKUP(YEAR($B60),'Gastos Proyect'!$B$4:$F$17,14,0),0)))</f>
        <v>12935000</v>
      </c>
      <c r="U62" s="359">
        <f>IFERROR(HLOOKUP(YEAR($B62),'Ing Proyect'!$B$6:$G$12,6,0),0)*$U$2</f>
        <v>8561400</v>
      </c>
      <c r="V62" s="175">
        <v>0</v>
      </c>
      <c r="W62" s="175">
        <f t="shared" si="17"/>
        <v>162605196.74335</v>
      </c>
      <c r="X62" s="175">
        <f t="shared" si="10"/>
        <v>8622803.2566500008</v>
      </c>
      <c r="Y62" s="359">
        <f t="shared" si="18"/>
        <v>-9036000</v>
      </c>
      <c r="Z62" s="175">
        <f t="shared" si="11"/>
        <v>94801803.256650001</v>
      </c>
      <c r="AB62" s="175">
        <f t="shared" si="2"/>
        <v>159000000</v>
      </c>
      <c r="AC62" s="175">
        <f>AE61+(-G62+(VLOOKUP($A62,'Financ 1'!$A$15:$Q$75,17,0)+VLOOKUP($A62,'Financ 2'!$A$15:$Q$75,17,0))+I62+P62-W62+Y62)-AB62</f>
        <v>-103469244.3980006</v>
      </c>
      <c r="AD62" s="175">
        <f>VLOOKUP($B62,'Inv Temp'!$B$7:$I$67,AD$2,0)</f>
        <v>0</v>
      </c>
      <c r="AE62" s="175">
        <f>IF($A62=0,'Inv Inicial'!$D$15,AE61+Z62-AC62*0+AD62)</f>
        <v>159530755.6019994</v>
      </c>
      <c r="AF62" s="175">
        <f t="shared" si="19"/>
        <v>530755.60199940205</v>
      </c>
      <c r="AG62" s="175">
        <f t="shared" si="20"/>
        <v>0</v>
      </c>
      <c r="AI62" s="175">
        <f>VLOOKUP($A62,'Amort Inv Inic'!$A$7:$U$67,21,0)</f>
        <v>354166</v>
      </c>
      <c r="AJ62" s="175">
        <f>VLOOKUP($A62,'Amort Inv Adic'!$A$7:$BI$67,54,0)</f>
        <v>2890110</v>
      </c>
      <c r="AK62" s="175">
        <f t="shared" si="12"/>
        <v>3244276</v>
      </c>
      <c r="AM62" s="175">
        <f>IFERROR(HLOOKUP(YEAR($B62),'Ing Proyect'!$B$6:$G$12,6,0),0)</f>
        <v>171228000</v>
      </c>
      <c r="AN62" s="175">
        <f>VLOOKUP($B62,'Gtos Consultores'!$B$9:$AI$69,AN$3,0)</f>
        <v>1397921</v>
      </c>
      <c r="AO62" s="175">
        <f>(P62-M62+AM62)-(W62-S62)-K62-AK62-AN62+T62-IFERROR(HLOOKUP(YEAR($B62),'Gastos Proyect'!$B$4:$F$17,14,0),0)</f>
        <v>7936987.2566500008</v>
      </c>
      <c r="AP62" s="175">
        <f>SUMIF($C$8:$C62,$C62,$AO$8:$AO62)</f>
        <v>43762367.539900005</v>
      </c>
      <c r="AR62" s="320">
        <f>IFERROR(VLOOKUP(ROUNDUP($A62/12,0),Variables!$B$32:$E$36,4,0),0)</f>
        <v>0.1875</v>
      </c>
      <c r="AS62" s="175">
        <f t="shared" si="13"/>
        <v>8206000</v>
      </c>
      <c r="AT62" s="320">
        <f>IFERROR(VLOOKUP(ROUNDUP($A62/12,0),Variables!$B$41:$E$45,4,0),0)</f>
        <v>0.09</v>
      </c>
      <c r="AU62" s="175">
        <f t="shared" si="14"/>
        <v>3939000</v>
      </c>
      <c r="AV62" s="359">
        <f t="shared" si="16"/>
        <v>12145000</v>
      </c>
      <c r="AW62" s="175">
        <f t="shared" si="5"/>
        <v>31617367.539900005</v>
      </c>
      <c r="AX62" s="175">
        <f t="shared" si="21"/>
        <v>12145000</v>
      </c>
    </row>
    <row r="63" spans="1:61" x14ac:dyDescent="0.35">
      <c r="A63" s="18">
        <v>55</v>
      </c>
      <c r="B63" s="184">
        <v>43677</v>
      </c>
      <c r="C63" s="331">
        <f t="shared" si="7"/>
        <v>2019</v>
      </c>
      <c r="D63" s="175">
        <v>0</v>
      </c>
      <c r="E63" s="175">
        <f>IFERROR(HLOOKUP($B63,'Inv Adic'!$D$6:$M$29,13,0),0)</f>
        <v>0</v>
      </c>
      <c r="F63" s="175">
        <f>IFERROR(VLOOKUP($B63,'Inv Temp'!$B$7:$I$67,F$1,0),0)</f>
        <v>0</v>
      </c>
      <c r="G63" s="175">
        <f t="shared" si="8"/>
        <v>0</v>
      </c>
      <c r="H63" s="175">
        <f>VLOOKUP($B63,'Financ Total'!$B$10:$F$70,H$1,0)</f>
        <v>0</v>
      </c>
      <c r="I63" s="309">
        <v>0</v>
      </c>
      <c r="J63" s="175">
        <f>VLOOKUP($B63,'Financ Total'!$B$10:$F$70,J$1,0)</f>
        <v>104000000</v>
      </c>
      <c r="K63" s="175">
        <f>VLOOKUP($B63,'Financ Total'!$B$10:$F$70,K$1,0)</f>
        <v>1160715</v>
      </c>
      <c r="L63" s="175">
        <f t="shared" si="9"/>
        <v>-105160715</v>
      </c>
      <c r="M63" s="175">
        <f>IF($M$1=0,IFERROR(HLOOKUP(YEAR($B63),'Ing Proyect'!$B$6:$G$12,6,0),0),IF($M$1=1,IFERROR(HLOOKUP(YEAR($B62),'Ing Proyect'!$B$6:$G$12,6,0),0),IFERROR(HLOOKUP(YEAR($B61),'Ing Proyect'!$B$6:$G$12,6,0),0)))</f>
        <v>171228000</v>
      </c>
      <c r="N63" s="175">
        <f>VLOOKUP($B63,'Inv Temp'!$B$7:$I$67,N$2,0)</f>
        <v>0</v>
      </c>
      <c r="O63" s="175">
        <v>0</v>
      </c>
      <c r="P63" s="175">
        <f t="shared" si="15"/>
        <v>171228000</v>
      </c>
      <c r="Q63" s="175">
        <f>VLOOKUP($B63,'Gtos Consultores'!$B$9:$AH$69,Q$3,0)</f>
        <v>124602684.7</v>
      </c>
      <c r="R63" s="175">
        <f>VLOOKUP($B63,'Gtos Consultores'!$B$9:$AH$69,R$3,0)</f>
        <v>12549731.043349998</v>
      </c>
      <c r="S63" s="175">
        <f>IFERROR(VLOOKUP($B63,'Gtos Consultores'!$B$9:$AH$69,S$3,0),0)</f>
        <v>0</v>
      </c>
      <c r="T63" s="175">
        <f>IF($T$1=0,IFERROR(HLOOKUP(YEAR($B63),'Gastos Proyect'!$B$4:$F$17,14,0),0),IF($T$1=1,IFERROR(HLOOKUP(YEAR($B62),'Gastos Proyect'!$B$4:$F$17,14,0),0),IFERROR(HLOOKUP(YEAR($B61),'Gastos Proyect'!$B$4:$F$17,14,0),0)))</f>
        <v>12935000</v>
      </c>
      <c r="U63" s="359">
        <f>IFERROR(HLOOKUP(YEAR($B63),'Ing Proyect'!$B$6:$G$12,6,0),0)*$U$2</f>
        <v>8561400</v>
      </c>
      <c r="V63" s="175">
        <v>0</v>
      </c>
      <c r="W63" s="175">
        <f t="shared" si="17"/>
        <v>158648815.74335</v>
      </c>
      <c r="X63" s="175">
        <f t="shared" si="10"/>
        <v>12579184.256650001</v>
      </c>
      <c r="Y63" s="359">
        <f t="shared" si="18"/>
        <v>0</v>
      </c>
      <c r="Z63" s="175">
        <f t="shared" si="11"/>
        <v>-92581530.743349999</v>
      </c>
      <c r="AB63" s="175">
        <f t="shared" si="2"/>
        <v>159000000</v>
      </c>
      <c r="AC63" s="175">
        <f>AE62+(-G63+(VLOOKUP($A63,'Financ 1'!$A$15:$Q$75,17,0)+VLOOKUP($A63,'Financ 2'!$A$15:$Q$75,17,0))+I63+P63-W63+Y63)-AB63</f>
        <v>13109939.858649403</v>
      </c>
      <c r="AD63" s="175">
        <f>VLOOKUP($B63,'Inv Temp'!$B$7:$I$67,AD$2,0)</f>
        <v>0</v>
      </c>
      <c r="AE63" s="175">
        <f>IF($A63=0,'Inv Inicial'!$D$15,AE62+Z63-AC63*0+AD63)</f>
        <v>66949224.858649403</v>
      </c>
      <c r="AF63" s="175">
        <f t="shared" si="19"/>
        <v>0</v>
      </c>
      <c r="AG63" s="175">
        <f t="shared" si="20"/>
        <v>92050775.141350597</v>
      </c>
      <c r="AI63" s="175">
        <f>VLOOKUP($A63,'Amort Inv Inic'!$A$7:$U$67,21,0)</f>
        <v>354168</v>
      </c>
      <c r="AJ63" s="175">
        <f>VLOOKUP($A63,'Amort Inv Adic'!$A$7:$BI$67,54,0)</f>
        <v>2956695</v>
      </c>
      <c r="AK63" s="175">
        <f t="shared" si="12"/>
        <v>3310863</v>
      </c>
      <c r="AM63" s="175">
        <f>IFERROR(HLOOKUP(YEAR($B63),'Ing Proyect'!$B$6:$G$12,6,0),0)</f>
        <v>171228000</v>
      </c>
      <c r="AN63" s="175">
        <f>VLOOKUP($B63,'Gtos Consultores'!$B$9:$AI$69,AN$3,0)</f>
        <v>1397921</v>
      </c>
      <c r="AO63" s="175">
        <f>(P63-M63+AM63)-(W63-S63)-K63-AK63-AN63+T63-IFERROR(HLOOKUP(YEAR($B63),'Gastos Proyect'!$B$4:$F$17,14,0),0)</f>
        <v>6709685.2566500008</v>
      </c>
      <c r="AP63" s="175">
        <f>SUMIF($C$8:$C63,$C63,$AO$8:$AO63)</f>
        <v>50472052.796550006</v>
      </c>
      <c r="AR63" s="320">
        <f>IFERROR(VLOOKUP(ROUNDUP($A63/12,0),Variables!$B$32:$E$36,4,0),0)</f>
        <v>0.1875</v>
      </c>
      <c r="AS63" s="175">
        <f t="shared" si="13"/>
        <v>9464000</v>
      </c>
      <c r="AT63" s="320">
        <f>IFERROR(VLOOKUP(ROUNDUP($A63/12,0),Variables!$B$41:$E$45,4,0),0)</f>
        <v>0.09</v>
      </c>
      <c r="AU63" s="175">
        <f t="shared" si="14"/>
        <v>4543000</v>
      </c>
      <c r="AV63" s="359">
        <f t="shared" si="16"/>
        <v>14007000</v>
      </c>
      <c r="AW63" s="175">
        <f t="shared" si="5"/>
        <v>36465052.796550006</v>
      </c>
      <c r="AX63" s="175">
        <f t="shared" si="21"/>
        <v>14007000</v>
      </c>
    </row>
    <row r="64" spans="1:61" x14ac:dyDescent="0.35">
      <c r="A64" s="18">
        <v>56</v>
      </c>
      <c r="B64" s="184">
        <v>43708</v>
      </c>
      <c r="C64" s="331">
        <f t="shared" si="7"/>
        <v>2019</v>
      </c>
      <c r="D64" s="175">
        <v>0</v>
      </c>
      <c r="E64" s="175">
        <f>IFERROR(HLOOKUP($B64,'Inv Adic'!$D$6:$M$29,13,0),0)</f>
        <v>0</v>
      </c>
      <c r="F64" s="175">
        <f>IFERROR(VLOOKUP($B64,'Inv Temp'!$B$7:$I$67,F$1,0),0)</f>
        <v>0</v>
      </c>
      <c r="G64" s="175">
        <f t="shared" si="8"/>
        <v>0</v>
      </c>
      <c r="H64" s="175">
        <f>VLOOKUP($B64,'Financ Total'!$B$10:$F$70,H$1,0)</f>
        <v>80000000</v>
      </c>
      <c r="I64" s="309">
        <v>0</v>
      </c>
      <c r="J64" s="175">
        <f>VLOOKUP($B64,'Financ Total'!$B$10:$F$70,J$1,0)</f>
        <v>0</v>
      </c>
      <c r="K64" s="175">
        <f>VLOOKUP($B64,'Financ Total'!$B$10:$F$70,K$1,0)</f>
        <v>0</v>
      </c>
      <c r="L64" s="175">
        <f t="shared" si="9"/>
        <v>80000000</v>
      </c>
      <c r="M64" s="175">
        <f>IF($M$1=0,IFERROR(HLOOKUP(YEAR($B64),'Ing Proyect'!$B$6:$G$12,6,0),0),IF($M$1=1,IFERROR(HLOOKUP(YEAR($B63),'Ing Proyect'!$B$6:$G$12,6,0),0),IFERROR(HLOOKUP(YEAR($B62),'Ing Proyect'!$B$6:$G$12,6,0),0)))</f>
        <v>171228000</v>
      </c>
      <c r="N64" s="175">
        <f>VLOOKUP($B64,'Inv Temp'!$B$7:$I$67,N$2,0)</f>
        <v>0</v>
      </c>
      <c r="O64" s="175">
        <v>0</v>
      </c>
      <c r="P64" s="175">
        <f t="shared" si="15"/>
        <v>171228000</v>
      </c>
      <c r="Q64" s="175">
        <f>VLOOKUP($B64,'Gtos Consultores'!$B$9:$AH$69,Q$3,0)</f>
        <v>124602684.7</v>
      </c>
      <c r="R64" s="175">
        <f>VLOOKUP($B64,'Gtos Consultores'!$B$9:$AH$69,R$3,0)</f>
        <v>12549731.043349998</v>
      </c>
      <c r="S64" s="175">
        <f>IFERROR(VLOOKUP($B64,'Gtos Consultores'!$B$9:$AH$69,S$3,0),0)</f>
        <v>0</v>
      </c>
      <c r="T64" s="175">
        <f>IF($T$1=0,IFERROR(HLOOKUP(YEAR($B64),'Gastos Proyect'!$B$4:$F$17,14,0),0),IF($T$1=1,IFERROR(HLOOKUP(YEAR($B63),'Gastos Proyect'!$B$4:$F$17,14,0),0),IFERROR(HLOOKUP(YEAR($B62),'Gastos Proyect'!$B$4:$F$17,14,0),0)))</f>
        <v>12935000</v>
      </c>
      <c r="U64" s="359">
        <f>IFERROR(HLOOKUP(YEAR($B64),'Ing Proyect'!$B$6:$G$12,6,0),0)*$U$2</f>
        <v>8561400</v>
      </c>
      <c r="V64" s="175">
        <v>0</v>
      </c>
      <c r="W64" s="175">
        <f t="shared" si="17"/>
        <v>158648815.74335</v>
      </c>
      <c r="X64" s="175">
        <f t="shared" si="10"/>
        <v>12579184.256650001</v>
      </c>
      <c r="Y64" s="359">
        <f t="shared" si="18"/>
        <v>0</v>
      </c>
      <c r="Z64" s="175">
        <f t="shared" si="11"/>
        <v>92579184.256650001</v>
      </c>
      <c r="AB64" s="175">
        <f t="shared" si="2"/>
        <v>159000000</v>
      </c>
      <c r="AC64" s="175">
        <f>AE63+(-G64+(VLOOKUP($A64,'Financ 1'!$A$15:$Q$75,17,0)+VLOOKUP($A64,'Financ 2'!$A$15:$Q$75,17,0))+I64+P64-W64+Y64)-AB64</f>
        <v>-79471590.884700596</v>
      </c>
      <c r="AD64" s="175">
        <f>VLOOKUP($B64,'Inv Temp'!$B$7:$I$67,AD$2,0)</f>
        <v>0</v>
      </c>
      <c r="AE64" s="175">
        <f>IF($A64=0,'Inv Inicial'!$D$15,AE63+Z64-AC64*0+AD64)</f>
        <v>159528409.1152994</v>
      </c>
      <c r="AF64" s="175">
        <f t="shared" si="19"/>
        <v>528409.11529940367</v>
      </c>
      <c r="AG64" s="175">
        <f t="shared" si="20"/>
        <v>0</v>
      </c>
      <c r="AI64" s="175">
        <f>VLOOKUP($A64,'Amort Inv Inic'!$A$7:$U$67,21,0)</f>
        <v>354166</v>
      </c>
      <c r="AJ64" s="175">
        <f>VLOOKUP($A64,'Amort Inv Adic'!$A$7:$BI$67,54,0)</f>
        <v>2956693</v>
      </c>
      <c r="AK64" s="175">
        <f t="shared" si="12"/>
        <v>3310859</v>
      </c>
      <c r="AM64" s="175">
        <f>IFERROR(HLOOKUP(YEAR($B64),'Ing Proyect'!$B$6:$G$12,6,0),0)</f>
        <v>171228000</v>
      </c>
      <c r="AN64" s="175">
        <f>VLOOKUP($B64,'Gtos Consultores'!$B$9:$AI$69,AN$3,0)</f>
        <v>1397921</v>
      </c>
      <c r="AO64" s="175">
        <f>(P64-M64+AM64)-(W64-S64)-K64-AK64-AN64+T64-IFERROR(HLOOKUP(YEAR($B64),'Gastos Proyect'!$B$4:$F$17,14,0),0)</f>
        <v>7870404.2566500008</v>
      </c>
      <c r="AP64" s="175">
        <f>SUMIF($C$8:$C64,$C64,$AO$8:$AO64)</f>
        <v>58342457.053200006</v>
      </c>
      <c r="AR64" s="320">
        <f>IFERROR(VLOOKUP(ROUNDUP($A64/12,0),Variables!$B$32:$E$36,4,0),0)</f>
        <v>0.1875</v>
      </c>
      <c r="AS64" s="175">
        <f t="shared" si="13"/>
        <v>10940000</v>
      </c>
      <c r="AT64" s="320">
        <f>IFERROR(VLOOKUP(ROUNDUP($A64/12,0),Variables!$B$41:$E$45,4,0),0)</f>
        <v>0.09</v>
      </c>
      <c r="AU64" s="175">
        <f t="shared" si="14"/>
        <v>5251000</v>
      </c>
      <c r="AV64" s="359">
        <f t="shared" si="16"/>
        <v>16191000</v>
      </c>
      <c r="AW64" s="175">
        <f t="shared" si="5"/>
        <v>42151457.053200006</v>
      </c>
      <c r="AX64" s="175">
        <f t="shared" si="21"/>
        <v>16191000</v>
      </c>
    </row>
    <row r="65" spans="1:50" x14ac:dyDescent="0.35">
      <c r="A65" s="18">
        <v>57</v>
      </c>
      <c r="B65" s="184">
        <v>43738</v>
      </c>
      <c r="C65" s="331">
        <f t="shared" si="7"/>
        <v>2019</v>
      </c>
      <c r="D65" s="175">
        <v>0</v>
      </c>
      <c r="E65" s="175">
        <f>IFERROR(HLOOKUP($B65,'Inv Adic'!$D$6:$M$29,13,0),0)</f>
        <v>0</v>
      </c>
      <c r="F65" s="175">
        <f>IFERROR(VLOOKUP($B65,'Inv Temp'!$B$7:$I$67,F$1,0),0)</f>
        <v>0</v>
      </c>
      <c r="G65" s="175">
        <f t="shared" si="8"/>
        <v>0</v>
      </c>
      <c r="H65" s="175">
        <f>VLOOKUP($B65,'Financ Total'!$B$10:$F$70,H$1,0)</f>
        <v>0</v>
      </c>
      <c r="I65" s="309">
        <v>0</v>
      </c>
      <c r="J65" s="175">
        <f>VLOOKUP($B65,'Financ Total'!$B$10:$F$70,J$1,0)</f>
        <v>80000000</v>
      </c>
      <c r="K65" s="175">
        <f>VLOOKUP($B65,'Financ Total'!$B$10:$F$70,K$1,0)</f>
        <v>892857</v>
      </c>
      <c r="L65" s="175">
        <f t="shared" si="9"/>
        <v>-80892857</v>
      </c>
      <c r="M65" s="175">
        <f>IF($M$1=0,IFERROR(HLOOKUP(YEAR($B65),'Ing Proyect'!$B$6:$G$12,6,0),0),IF($M$1=1,IFERROR(HLOOKUP(YEAR($B64),'Ing Proyect'!$B$6:$G$12,6,0),0),IFERROR(HLOOKUP(YEAR($B63),'Ing Proyect'!$B$6:$G$12,6,0),0)))</f>
        <v>171228000</v>
      </c>
      <c r="N65" s="175">
        <f>VLOOKUP($B65,'Inv Temp'!$B$7:$I$67,N$2,0)</f>
        <v>0</v>
      </c>
      <c r="O65" s="175">
        <v>0</v>
      </c>
      <c r="P65" s="175">
        <f t="shared" si="15"/>
        <v>171228000</v>
      </c>
      <c r="Q65" s="175">
        <f>VLOOKUP($B65,'Gtos Consultores'!$B$9:$AH$69,Q$3,0)</f>
        <v>124602684.7</v>
      </c>
      <c r="R65" s="175">
        <f>VLOOKUP($B65,'Gtos Consultores'!$B$9:$AH$69,R$3,0)</f>
        <v>12549731.043349998</v>
      </c>
      <c r="S65" s="175">
        <f>IFERROR(VLOOKUP($B65,'Gtos Consultores'!$B$9:$AH$69,S$3,0),0)</f>
        <v>0</v>
      </c>
      <c r="T65" s="175">
        <f>IF($T$1=0,IFERROR(HLOOKUP(YEAR($B65),'Gastos Proyect'!$B$4:$F$17,14,0),0),IF($T$1=1,IFERROR(HLOOKUP(YEAR($B64),'Gastos Proyect'!$B$4:$F$17,14,0),0),IFERROR(HLOOKUP(YEAR($B63),'Gastos Proyect'!$B$4:$F$17,14,0),0)))</f>
        <v>12935000</v>
      </c>
      <c r="U65" s="359">
        <f>IFERROR(HLOOKUP(YEAR($B65),'Ing Proyect'!$B$6:$G$12,6,0),0)*$U$2</f>
        <v>8561400</v>
      </c>
      <c r="V65" s="175">
        <v>0</v>
      </c>
      <c r="W65" s="175">
        <f t="shared" si="17"/>
        <v>158648815.74335</v>
      </c>
      <c r="X65" s="175">
        <f t="shared" si="10"/>
        <v>12579184.256650001</v>
      </c>
      <c r="Y65" s="359">
        <f t="shared" si="18"/>
        <v>0</v>
      </c>
      <c r="Z65" s="175">
        <f t="shared" si="11"/>
        <v>-68313672.743349999</v>
      </c>
      <c r="AB65" s="175">
        <f t="shared" si="2"/>
        <v>159000000</v>
      </c>
      <c r="AC65" s="175">
        <f>AE64+(-G65+(VLOOKUP($A65,'Financ 1'!$A$15:$Q$75,17,0)+VLOOKUP($A65,'Financ 2'!$A$15:$Q$75,17,0))+I65+P65-W65+Y65)-AB65</f>
        <v>13107593.371949404</v>
      </c>
      <c r="AD65" s="175">
        <f>VLOOKUP($B65,'Inv Temp'!$B$7:$I$67,AD$2,0)</f>
        <v>0</v>
      </c>
      <c r="AE65" s="175">
        <f>IF($A65=0,'Inv Inicial'!$D$15,AE64+Z65-AC65*0+AD65)</f>
        <v>91214736.371949404</v>
      </c>
      <c r="AF65" s="175">
        <f t="shared" si="19"/>
        <v>0</v>
      </c>
      <c r="AG65" s="175">
        <f t="shared" si="20"/>
        <v>67785263.628050596</v>
      </c>
      <c r="AI65" s="175">
        <f>VLOOKUP($A65,'Amort Inv Inic'!$A$7:$U$67,21,0)</f>
        <v>354168</v>
      </c>
      <c r="AJ65" s="175">
        <f>VLOOKUP($A65,'Amort Inv Adic'!$A$7:$BI$67,54,0)</f>
        <v>2956696</v>
      </c>
      <c r="AK65" s="175">
        <f t="shared" si="12"/>
        <v>3310864</v>
      </c>
      <c r="AM65" s="175">
        <f>IFERROR(HLOOKUP(YEAR($B65),'Ing Proyect'!$B$6:$G$12,6,0),0)</f>
        <v>171228000</v>
      </c>
      <c r="AN65" s="175">
        <f>VLOOKUP($B65,'Gtos Consultores'!$B$9:$AI$69,AN$3,0)</f>
        <v>1397921</v>
      </c>
      <c r="AO65" s="175">
        <f>(P65-M65+AM65)-(W65-S65)-K65-AK65-AN65+T65-IFERROR(HLOOKUP(YEAR($B65),'Gastos Proyect'!$B$4:$F$17,14,0),0)</f>
        <v>6977542.2566500008</v>
      </c>
      <c r="AP65" s="175">
        <f>SUMIF($C$8:$C65,$C65,$AO$8:$AO65)</f>
        <v>65319999.309850007</v>
      </c>
      <c r="AR65" s="320">
        <f>IFERROR(VLOOKUP(ROUNDUP($A65/12,0),Variables!$B$32:$E$36,4,0),0)</f>
        <v>0.1875</v>
      </c>
      <c r="AS65" s="175">
        <f t="shared" si="13"/>
        <v>12248000</v>
      </c>
      <c r="AT65" s="320">
        <f>IFERROR(VLOOKUP(ROUNDUP($A65/12,0),Variables!$B$41:$E$45,4,0),0)</f>
        <v>0.09</v>
      </c>
      <c r="AU65" s="175">
        <f t="shared" si="14"/>
        <v>5879000</v>
      </c>
      <c r="AV65" s="359">
        <f t="shared" si="16"/>
        <v>18127000</v>
      </c>
      <c r="AW65" s="175">
        <f t="shared" si="5"/>
        <v>47192999.309850007</v>
      </c>
      <c r="AX65" s="175">
        <f t="shared" si="21"/>
        <v>18127000</v>
      </c>
    </row>
    <row r="66" spans="1:50" x14ac:dyDescent="0.35">
      <c r="A66" s="18">
        <v>58</v>
      </c>
      <c r="B66" s="184">
        <v>43769</v>
      </c>
      <c r="C66" s="331">
        <f t="shared" si="7"/>
        <v>2019</v>
      </c>
      <c r="D66" s="175">
        <v>0</v>
      </c>
      <c r="E66" s="175">
        <f>IFERROR(HLOOKUP($B66,'Inv Adic'!$D$6:$M$29,13,0),0)</f>
        <v>0</v>
      </c>
      <c r="F66" s="175">
        <f>IFERROR(VLOOKUP($B66,'Inv Temp'!$B$7:$I$67,F$1,0),0)</f>
        <v>0</v>
      </c>
      <c r="G66" s="175">
        <f t="shared" si="8"/>
        <v>0</v>
      </c>
      <c r="H66" s="175">
        <f>VLOOKUP($B66,'Financ Total'!$B$10:$F$70,H$1,0)</f>
        <v>56000000</v>
      </c>
      <c r="I66" s="309">
        <v>0</v>
      </c>
      <c r="J66" s="175">
        <f>VLOOKUP($B66,'Financ Total'!$B$10:$F$70,J$1,0)</f>
        <v>0</v>
      </c>
      <c r="K66" s="175">
        <f>VLOOKUP($B66,'Financ Total'!$B$10:$F$70,K$1,0)</f>
        <v>0</v>
      </c>
      <c r="L66" s="175">
        <f t="shared" si="9"/>
        <v>56000000</v>
      </c>
      <c r="M66" s="175">
        <f>IF($M$1=0,IFERROR(HLOOKUP(YEAR($B66),'Ing Proyect'!$B$6:$G$12,6,0),0),IF($M$1=1,IFERROR(HLOOKUP(YEAR($B65),'Ing Proyect'!$B$6:$G$12,6,0),0),IFERROR(HLOOKUP(YEAR($B64),'Ing Proyect'!$B$6:$G$12,6,0),0)))</f>
        <v>171228000</v>
      </c>
      <c r="N66" s="175">
        <f>VLOOKUP($B66,'Inv Temp'!$B$7:$I$67,N$2,0)</f>
        <v>0</v>
      </c>
      <c r="O66" s="175">
        <v>0</v>
      </c>
      <c r="P66" s="175">
        <f t="shared" si="15"/>
        <v>171228000</v>
      </c>
      <c r="Q66" s="175">
        <f>VLOOKUP($B66,'Gtos Consultores'!$B$9:$AH$69,Q$3,0)</f>
        <v>124602684.7</v>
      </c>
      <c r="R66" s="175">
        <f>VLOOKUP($B66,'Gtos Consultores'!$B$9:$AH$69,R$3,0)</f>
        <v>12549731.043349998</v>
      </c>
      <c r="S66" s="175">
        <f>IFERROR(VLOOKUP($B66,'Gtos Consultores'!$B$9:$AH$69,S$3,0),0)</f>
        <v>0</v>
      </c>
      <c r="T66" s="175">
        <f>IF($T$1=0,IFERROR(HLOOKUP(YEAR($B66),'Gastos Proyect'!$B$4:$F$17,14,0),0),IF($T$1=1,IFERROR(HLOOKUP(YEAR($B65),'Gastos Proyect'!$B$4:$F$17,14,0),0),IFERROR(HLOOKUP(YEAR($B64),'Gastos Proyect'!$B$4:$F$17,14,0),0)))</f>
        <v>12935000</v>
      </c>
      <c r="U66" s="359">
        <f>IFERROR(HLOOKUP(YEAR($B66),'Ing Proyect'!$B$6:$G$12,6,0),0)*$U$2</f>
        <v>8561400</v>
      </c>
      <c r="V66" s="175">
        <v>0</v>
      </c>
      <c r="W66" s="175">
        <f t="shared" si="17"/>
        <v>158648815.74335</v>
      </c>
      <c r="X66" s="175">
        <f t="shared" si="10"/>
        <v>12579184.256650001</v>
      </c>
      <c r="Y66" s="359">
        <f t="shared" si="18"/>
        <v>0</v>
      </c>
      <c r="Z66" s="175">
        <f t="shared" si="11"/>
        <v>68579184.256650001</v>
      </c>
      <c r="AB66" s="175">
        <f t="shared" si="2"/>
        <v>159000000</v>
      </c>
      <c r="AC66" s="175">
        <f>AE65+(-G66+(VLOOKUP($A66,'Financ 1'!$A$15:$Q$75,17,0)+VLOOKUP($A66,'Financ 2'!$A$15:$Q$75,17,0))+I66+P66-W66+Y66)-AB66</f>
        <v>-55206079.371400595</v>
      </c>
      <c r="AD66" s="175">
        <f>VLOOKUP($B66,'Inv Temp'!$B$7:$I$67,AD$2,0)</f>
        <v>0</v>
      </c>
      <c r="AE66" s="175">
        <f>IF($A66=0,'Inv Inicial'!$D$15,AE65+Z66-AC66*0+AD66)</f>
        <v>159793920.62859941</v>
      </c>
      <c r="AF66" s="175">
        <f t="shared" si="19"/>
        <v>793920.62859940529</v>
      </c>
      <c r="AG66" s="175">
        <f t="shared" si="20"/>
        <v>0</v>
      </c>
      <c r="AI66" s="175">
        <f>VLOOKUP($A66,'Amort Inv Inic'!$A$7:$U$67,21,0)</f>
        <v>354166</v>
      </c>
      <c r="AJ66" s="175">
        <f>VLOOKUP($A66,'Amort Inv Adic'!$A$7:$BI$67,54,0)</f>
        <v>2956693</v>
      </c>
      <c r="AK66" s="175">
        <f t="shared" si="12"/>
        <v>3310859</v>
      </c>
      <c r="AM66" s="175">
        <f>IFERROR(HLOOKUP(YEAR($B66),'Ing Proyect'!$B$6:$G$12,6,0),0)</f>
        <v>171228000</v>
      </c>
      <c r="AN66" s="175">
        <f>VLOOKUP($B66,'Gtos Consultores'!$B$9:$AI$69,AN$3,0)</f>
        <v>1397921</v>
      </c>
      <c r="AO66" s="175">
        <f>(P66-M66+AM66)-(W66-S66)-K66-AK66-AN66+T66-IFERROR(HLOOKUP(YEAR($B66),'Gastos Proyect'!$B$4:$F$17,14,0),0)</f>
        <v>7870404.2566500008</v>
      </c>
      <c r="AP66" s="175">
        <f>SUMIF($C$8:$C66,$C66,$AO$8:$AO66)</f>
        <v>73190403.566500008</v>
      </c>
      <c r="AR66" s="320">
        <f>IFERROR(VLOOKUP(ROUNDUP($A66/12,0),Variables!$B$32:$E$36,4,0),0)</f>
        <v>0.1875</v>
      </c>
      <c r="AS66" s="175">
        <f t="shared" si="13"/>
        <v>13724000</v>
      </c>
      <c r="AT66" s="320">
        <f>IFERROR(VLOOKUP(ROUNDUP($A66/12,0),Variables!$B$41:$E$45,4,0),0)</f>
        <v>0.09</v>
      </c>
      <c r="AU66" s="175">
        <f t="shared" si="14"/>
        <v>6588000</v>
      </c>
      <c r="AV66" s="359">
        <f t="shared" si="16"/>
        <v>20312000</v>
      </c>
      <c r="AW66" s="175">
        <f t="shared" si="5"/>
        <v>52878403.566500008</v>
      </c>
      <c r="AX66" s="175">
        <f t="shared" si="21"/>
        <v>20312000</v>
      </c>
    </row>
    <row r="67" spans="1:50" x14ac:dyDescent="0.35">
      <c r="A67" s="18">
        <v>59</v>
      </c>
      <c r="B67" s="184">
        <v>43799</v>
      </c>
      <c r="C67" s="331">
        <f t="shared" si="7"/>
        <v>2019</v>
      </c>
      <c r="D67" s="175">
        <v>0</v>
      </c>
      <c r="E67" s="175">
        <f>IFERROR(HLOOKUP($B67,'Inv Adic'!$D$6:$M$29,13,0),0)</f>
        <v>0</v>
      </c>
      <c r="F67" s="175">
        <f>IFERROR(VLOOKUP($B67,'Inv Temp'!$B$7:$I$67,F$1,0),0)</f>
        <v>0</v>
      </c>
      <c r="G67" s="175">
        <f t="shared" si="8"/>
        <v>0</v>
      </c>
      <c r="H67" s="175">
        <f>VLOOKUP($B67,'Financ Total'!$B$10:$F$70,H$1,0)</f>
        <v>0</v>
      </c>
      <c r="I67" s="309">
        <v>0</v>
      </c>
      <c r="J67" s="175">
        <f>VLOOKUP($B67,'Financ Total'!$B$10:$F$70,J$1,0)</f>
        <v>56000000</v>
      </c>
      <c r="K67" s="175">
        <f>VLOOKUP($B67,'Financ Total'!$B$10:$F$70,K$1,0)</f>
        <v>636462</v>
      </c>
      <c r="L67" s="175">
        <f t="shared" si="9"/>
        <v>-56636462</v>
      </c>
      <c r="M67" s="175">
        <f>IF($M$1=0,IFERROR(HLOOKUP(YEAR($B67),'Ing Proyect'!$B$6:$G$12,6,0),0),IF($M$1=1,IFERROR(HLOOKUP(YEAR($B66),'Ing Proyect'!$B$6:$G$12,6,0),0),IFERROR(HLOOKUP(YEAR($B65),'Ing Proyect'!$B$6:$G$12,6,0),0)))</f>
        <v>171228000</v>
      </c>
      <c r="N67" s="175">
        <f>VLOOKUP($B67,'Inv Temp'!$B$7:$I$67,N$2,0)</f>
        <v>0</v>
      </c>
      <c r="O67" s="175">
        <v>0</v>
      </c>
      <c r="P67" s="175">
        <f t="shared" si="15"/>
        <v>171228000</v>
      </c>
      <c r="Q67" s="175">
        <f>VLOOKUP($B67,'Gtos Consultores'!$B$9:$AH$69,Q$3,0)</f>
        <v>124602684.7</v>
      </c>
      <c r="R67" s="175">
        <f>VLOOKUP($B67,'Gtos Consultores'!$B$9:$AH$69,R$3,0)</f>
        <v>12549731.043349998</v>
      </c>
      <c r="S67" s="175">
        <f>IFERROR(VLOOKUP($B67,'Gtos Consultores'!$B$9:$AH$69,S$3,0),0)</f>
        <v>0</v>
      </c>
      <c r="T67" s="175">
        <f>IF($T$1=0,IFERROR(HLOOKUP(YEAR($B67),'Gastos Proyect'!$B$4:$F$17,14,0),0),IF($T$1=1,IFERROR(HLOOKUP(YEAR($B66),'Gastos Proyect'!$B$4:$F$17,14,0),0),IFERROR(HLOOKUP(YEAR($B65),'Gastos Proyect'!$B$4:$F$17,14,0),0)))</f>
        <v>12935000</v>
      </c>
      <c r="U67" s="359">
        <f>IFERROR(HLOOKUP(YEAR($B67),'Ing Proyect'!$B$6:$G$12,6,0),0)*$U$2</f>
        <v>8561400</v>
      </c>
      <c r="V67" s="175">
        <v>0</v>
      </c>
      <c r="W67" s="175">
        <f t="shared" si="17"/>
        <v>158648815.74335</v>
      </c>
      <c r="X67" s="175">
        <f t="shared" si="10"/>
        <v>12579184.256650001</v>
      </c>
      <c r="Y67" s="359">
        <f t="shared" si="18"/>
        <v>0</v>
      </c>
      <c r="Z67" s="175">
        <f t="shared" si="11"/>
        <v>-44057277.743349999</v>
      </c>
      <c r="AB67" s="175">
        <f t="shared" si="2"/>
        <v>163000000</v>
      </c>
      <c r="AC67" s="175">
        <f>AE66+(-G67+(VLOOKUP($A67,'Financ 1'!$A$15:$Q$75,17,0)+VLOOKUP($A67,'Financ 2'!$A$15:$Q$75,17,0))+I67+P67-W67+Y67)-AB67</f>
        <v>9373104.8852494061</v>
      </c>
      <c r="AD67" s="175">
        <f>VLOOKUP($B67,'Inv Temp'!$B$7:$I$67,AD$2,0)</f>
        <v>0</v>
      </c>
      <c r="AE67" s="175">
        <f>IF($A67=0,'Inv Inicial'!$D$15,AE66+Z67-AC67*0+AD67)</f>
        <v>115736642.88524941</v>
      </c>
      <c r="AF67" s="175">
        <f t="shared" si="19"/>
        <v>0</v>
      </c>
      <c r="AG67" s="175">
        <f t="shared" si="20"/>
        <v>47263357.114750594</v>
      </c>
      <c r="AI67" s="175">
        <f>VLOOKUP($A67,'Amort Inv Inic'!$A$7:$U$67,21,0)</f>
        <v>354168</v>
      </c>
      <c r="AJ67" s="175">
        <f>VLOOKUP($A67,'Amort Inv Adic'!$A$7:$BI$67,54,0)</f>
        <v>2956697</v>
      </c>
      <c r="AK67" s="175">
        <f t="shared" si="12"/>
        <v>3310865</v>
      </c>
      <c r="AM67" s="175">
        <f>IFERROR(HLOOKUP(YEAR($B67),'Ing Proyect'!$B$6:$G$12,6,0),0)</f>
        <v>171228000</v>
      </c>
      <c r="AN67" s="175">
        <f>VLOOKUP($B67,'Gtos Consultores'!$B$9:$AI$69,AN$3,0)</f>
        <v>1397921</v>
      </c>
      <c r="AO67" s="175">
        <f>(P67-M67+AM67)-(W67-S67)-K67-AK67-AN67+T67-IFERROR(HLOOKUP(YEAR($B67),'Gastos Proyect'!$B$4:$F$17,14,0),0)</f>
        <v>7233936.2566500008</v>
      </c>
      <c r="AP67" s="175">
        <f>SUMIF($C$8:$C67,$C67,$AO$8:$AO67)</f>
        <v>80424339.823150009</v>
      </c>
      <c r="AR67" s="320">
        <f>IFERROR(VLOOKUP(ROUNDUP($A67/12,0),Variables!$B$32:$E$36,4,0),0)</f>
        <v>0.1875</v>
      </c>
      <c r="AS67" s="175">
        <f t="shared" si="13"/>
        <v>15080000</v>
      </c>
      <c r="AT67" s="320">
        <f>IFERROR(VLOOKUP(ROUNDUP($A67/12,0),Variables!$B$41:$E$45,4,0),0)</f>
        <v>0.09</v>
      </c>
      <c r="AU67" s="175">
        <f t="shared" si="14"/>
        <v>7239000</v>
      </c>
      <c r="AV67" s="359">
        <f t="shared" si="16"/>
        <v>22319000</v>
      </c>
      <c r="AW67" s="175">
        <f t="shared" si="5"/>
        <v>58105339.823150009</v>
      </c>
      <c r="AX67" s="175">
        <f t="shared" si="21"/>
        <v>22319000</v>
      </c>
    </row>
    <row r="68" spans="1:50" x14ac:dyDescent="0.35">
      <c r="A68" s="18">
        <v>60</v>
      </c>
      <c r="B68" s="184">
        <v>43830</v>
      </c>
      <c r="C68" s="331">
        <f t="shared" si="7"/>
        <v>2019</v>
      </c>
      <c r="D68" s="175">
        <v>0</v>
      </c>
      <c r="E68" s="175">
        <f>IFERROR(HLOOKUP($B68,'Inv Adic'!$D$6:$M$29,13,0),0)</f>
        <v>0</v>
      </c>
      <c r="F68" s="175">
        <f>IFERROR(VLOOKUP($B68,'Inv Temp'!$B$7:$I$67,F$1,0),0)</f>
        <v>0</v>
      </c>
      <c r="G68" s="175">
        <f t="shared" si="8"/>
        <v>0</v>
      </c>
      <c r="H68" s="175">
        <f>VLOOKUP($B68,'Financ Total'!$B$10:$F$70,H$1,0)</f>
        <v>39000000</v>
      </c>
      <c r="I68" s="309">
        <v>0</v>
      </c>
      <c r="J68" s="175">
        <f>VLOOKUP($B68,'Financ Total'!$B$10:$F$70,J$1,0)</f>
        <v>0</v>
      </c>
      <c r="K68" s="175">
        <f>VLOOKUP($B68,'Financ Total'!$B$10:$F$70,K$1,0)</f>
        <v>0</v>
      </c>
      <c r="L68" s="175">
        <f t="shared" si="9"/>
        <v>39000000</v>
      </c>
      <c r="M68" s="175">
        <f>IF($M$1=0,IFERROR(HLOOKUP(YEAR($B68),'Ing Proyect'!$B$6:$G$12,6,0),0),IF($M$1=1,IFERROR(HLOOKUP(YEAR($B67),'Ing Proyect'!$B$6:$G$12,6,0),0),IFERROR(HLOOKUP(YEAR($B66),'Ing Proyect'!$B$6:$G$12,6,0),0)))</f>
        <v>171228000</v>
      </c>
      <c r="N68" s="175">
        <f>VLOOKUP($B68,'Inv Temp'!$B$7:$I$67,N$2,0)</f>
        <v>0</v>
      </c>
      <c r="O68" s="175">
        <v>0</v>
      </c>
      <c r="P68" s="175">
        <f t="shared" si="15"/>
        <v>171228000</v>
      </c>
      <c r="Q68" s="175">
        <f>VLOOKUP($B68,'Gtos Consultores'!$B$9:$AH$69,Q$3,0)</f>
        <v>124602684.7</v>
      </c>
      <c r="R68" s="175">
        <f>VLOOKUP($B68,'Gtos Consultores'!$B$9:$AH$69,R$3,0)</f>
        <v>12549731.043349998</v>
      </c>
      <c r="S68" s="175">
        <f>IFERROR(VLOOKUP($B68,'Gtos Consultores'!$B$9:$AH$69,S$3,0),0)</f>
        <v>3956381</v>
      </c>
      <c r="T68" s="175">
        <f>IF($T$1=0,IFERROR(HLOOKUP(YEAR($B68),'Gastos Proyect'!$B$4:$F$17,14,0),0),IF($T$1=1,IFERROR(HLOOKUP(YEAR($B67),'Gastos Proyect'!$B$4:$F$17,14,0),0),IFERROR(HLOOKUP(YEAR($B66),'Gastos Proyect'!$B$4:$F$17,14,0),0)))</f>
        <v>12935000</v>
      </c>
      <c r="U68" s="359">
        <f>IFERROR(HLOOKUP(YEAR($B68),'Ing Proyect'!$B$6:$G$12,6,0),0)*$U$2</f>
        <v>8561400</v>
      </c>
      <c r="V68" s="175">
        <v>0</v>
      </c>
      <c r="W68" s="175">
        <f t="shared" si="17"/>
        <v>162605196.74335</v>
      </c>
      <c r="X68" s="175">
        <f t="shared" si="10"/>
        <v>8622803.2566500008</v>
      </c>
      <c r="Y68" s="359">
        <f t="shared" si="18"/>
        <v>0</v>
      </c>
      <c r="Z68" s="175">
        <f t="shared" si="11"/>
        <v>47622803.256650001</v>
      </c>
      <c r="AB68" s="175">
        <f>ROUNDUP(IF($A68=60,AB67,IF($AB$1=2,SUM(W69:W70),W69)),-6)</f>
        <v>163000000</v>
      </c>
      <c r="AC68" s="175">
        <f>AE67+(-G68+(VLOOKUP($A68,'Financ 1'!$A$15:$Q$75,17,0)+VLOOKUP($A68,'Financ 2'!$A$15:$Q$75,17,0))+I68+P68-W68+Y68)-AB68</f>
        <v>-38640553.858100593</v>
      </c>
      <c r="AD68" s="175">
        <f>VLOOKUP($B68,'Inv Temp'!$B$7:$I$67,AD$2,0)</f>
        <v>0</v>
      </c>
      <c r="AE68" s="175">
        <f>IF($A68=0,'Inv Inicial'!$D$15,AE67+Z68-AC68*0+AD68)</f>
        <v>163359446.14189941</v>
      </c>
      <c r="AF68" s="175">
        <f t="shared" si="19"/>
        <v>359446.14189940691</v>
      </c>
      <c r="AG68" s="175">
        <f t="shared" si="20"/>
        <v>0</v>
      </c>
      <c r="AI68" s="175">
        <f>VLOOKUP($A68,'Amort Inv Inic'!$A$7:$U$67,21,0)</f>
        <v>354166</v>
      </c>
      <c r="AJ68" s="175">
        <f>VLOOKUP($A68,'Amort Inv Adic'!$A$7:$BI$67,54,0)</f>
        <v>2956693</v>
      </c>
      <c r="AK68" s="175">
        <f t="shared" si="12"/>
        <v>3310859</v>
      </c>
      <c r="AM68" s="175">
        <f>IFERROR(HLOOKUP(YEAR($B68),'Ing Proyect'!$B$6:$G$12,6,0),0)</f>
        <v>171228000</v>
      </c>
      <c r="AN68" s="175">
        <f>VLOOKUP($B68,'Gtos Consultores'!$B$9:$AI$69,AN$3,0)</f>
        <v>1397921</v>
      </c>
      <c r="AO68" s="175">
        <f>(P68-M68+AM68)-(W68-S68)-K68-AK68-AN68+T68-IFERROR(HLOOKUP(YEAR($B68),'Gastos Proyect'!$B$4:$F$17,14,0),0)</f>
        <v>7870404.2566500008</v>
      </c>
      <c r="AP68" s="175">
        <f>SUMIF($C$8:$C68,$C68,$AO$8:$AO68)</f>
        <v>88294744.07980001</v>
      </c>
      <c r="AR68" s="320">
        <f>IFERROR(VLOOKUP(ROUNDUP($A68/12,0),Variables!$B$32:$E$36,4,0),0)</f>
        <v>0.1875</v>
      </c>
      <c r="AS68" s="175">
        <f t="shared" si="13"/>
        <v>16556000</v>
      </c>
      <c r="AT68" s="320">
        <f>IFERROR(VLOOKUP(ROUNDUP($A68/12,0),Variables!$B$41:$E$45,4,0),0)</f>
        <v>0.09</v>
      </c>
      <c r="AU68" s="175">
        <f t="shared" si="14"/>
        <v>7947000</v>
      </c>
      <c r="AV68" s="359">
        <f t="shared" si="16"/>
        <v>24503000</v>
      </c>
      <c r="AW68" s="175">
        <f>AP68-AV68</f>
        <v>63791744.07980001</v>
      </c>
      <c r="AX68" s="175">
        <f t="shared" si="21"/>
        <v>24503000</v>
      </c>
    </row>
    <row r="69" spans="1:50" x14ac:dyDescent="0.35"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</row>
    <row r="70" spans="1:50" x14ac:dyDescent="0.35">
      <c r="B70" s="172"/>
      <c r="C70" s="172"/>
      <c r="D70" s="245">
        <f t="shared" ref="D70:O70" si="22">SUM(D8:D68)</f>
        <v>264650000</v>
      </c>
      <c r="E70" s="245">
        <f t="shared" si="22"/>
        <v>135325000</v>
      </c>
      <c r="F70" s="245">
        <f>SUM(F8:F68)</f>
        <v>128000000</v>
      </c>
      <c r="G70" s="245">
        <f>SUM(G8:G68)</f>
        <v>527975000</v>
      </c>
      <c r="H70" s="245">
        <f t="shared" si="22"/>
        <v>2302650000</v>
      </c>
      <c r="I70" s="245">
        <f t="shared" si="22"/>
        <v>50000000</v>
      </c>
      <c r="J70" s="245">
        <f t="shared" si="22"/>
        <v>2263650000</v>
      </c>
      <c r="K70" s="245">
        <f t="shared" si="22"/>
        <v>67295101</v>
      </c>
      <c r="L70" s="245">
        <f t="shared" si="22"/>
        <v>21704899</v>
      </c>
      <c r="M70" s="245">
        <f>SUM(M8:M68)</f>
        <v>8090724000</v>
      </c>
      <c r="N70" s="245">
        <f t="shared" si="22"/>
        <v>1249107</v>
      </c>
      <c r="O70" s="245">
        <f t="shared" si="22"/>
        <v>0</v>
      </c>
      <c r="P70" s="245">
        <f>SUM(P8:P68)</f>
        <v>8091973107</v>
      </c>
      <c r="Q70" s="245">
        <f>SUM(Q8:Q68)</f>
        <v>5923078588.7999973</v>
      </c>
      <c r="R70" s="245">
        <f t="shared" ref="R70:V70" si="23">SUM(R8:R68)</f>
        <v>580170946.05809999</v>
      </c>
      <c r="S70" s="245">
        <f t="shared" ref="S70" si="24">SUM(S8:S68)</f>
        <v>62932425</v>
      </c>
      <c r="T70" s="245">
        <f t="shared" si="23"/>
        <v>732180000</v>
      </c>
      <c r="U70" s="245">
        <f t="shared" si="23"/>
        <v>413097600</v>
      </c>
      <c r="V70" s="245">
        <f t="shared" si="23"/>
        <v>0</v>
      </c>
      <c r="W70" s="245">
        <f>SUM(W8:W68)</f>
        <v>7711459559.8581009</v>
      </c>
      <c r="X70" s="245">
        <f>SUM(X8:X68)</f>
        <v>380513547.14189911</v>
      </c>
      <c r="Y70" s="355"/>
      <c r="Z70" s="245">
        <f>SUM(Z8:Z68)</f>
        <v>-158640553.85810044</v>
      </c>
      <c r="AE70" s="245">
        <f>SUM(AE8:AE68)</f>
        <v>6104077770.1767263</v>
      </c>
      <c r="AF70" s="245">
        <f>SUM(AF8:AF68)</f>
        <v>188681286.20499375</v>
      </c>
      <c r="AG70" s="245">
        <f>SUM(AG8:AG68)</f>
        <v>1987603516.0282648</v>
      </c>
      <c r="AI70" s="245">
        <f>SUM(AI8:AI68)</f>
        <v>70650000</v>
      </c>
      <c r="AJ70" s="245">
        <f>SUM(AJ8:AJ68)</f>
        <v>108397161</v>
      </c>
      <c r="AK70" s="245">
        <f>SUM(AK8:AK68)</f>
        <v>179047161</v>
      </c>
      <c r="AM70" s="245">
        <f>SUM(AM8:AM68)</f>
        <v>8261952000</v>
      </c>
      <c r="AN70" s="245">
        <f>SUM(AN8:AN68)</f>
        <v>71794704</v>
      </c>
      <c r="AO70" s="245">
        <f>SUM(AO8:AO68)</f>
        <v>296537006.14189935</v>
      </c>
      <c r="AP70" s="367"/>
      <c r="AS70" s="245">
        <f>SUM(AS8:AS68)</f>
        <v>196572000</v>
      </c>
      <c r="AU70" s="245">
        <f>SUM(AU8:AU68)</f>
        <v>171357000</v>
      </c>
      <c r="AV70" s="245">
        <f>SUM(AV8:AV68)</f>
        <v>367929000</v>
      </c>
      <c r="AW70" s="245">
        <f>SUM(AW8:AW68)</f>
        <v>1535745801.4223456</v>
      </c>
    </row>
    <row r="71" spans="1:50" x14ac:dyDescent="0.35"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X71" s="10">
        <f>IRR(X8:X68)</f>
        <v>7.1380302838402576E-2</v>
      </c>
      <c r="Y71" s="10"/>
      <c r="Z71" s="10">
        <f>IRR(Z8:Z68)</f>
        <v>-2.1429145820393125E-2</v>
      </c>
    </row>
    <row r="72" spans="1:50" x14ac:dyDescent="0.35">
      <c r="B72" s="172"/>
      <c r="C72" s="172"/>
      <c r="D72" s="15">
        <v>0</v>
      </c>
      <c r="E72" s="15">
        <v>1</v>
      </c>
      <c r="F72" s="15"/>
      <c r="G72" s="15">
        <v>2</v>
      </c>
      <c r="H72" s="172"/>
      <c r="I72" s="172"/>
      <c r="J72" s="172"/>
      <c r="K72" s="172"/>
      <c r="L72" s="172"/>
    </row>
    <row r="73" spans="1:50" x14ac:dyDescent="0.35"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</row>
    <row r="74" spans="1:50" x14ac:dyDescent="0.35">
      <c r="B74" s="172"/>
      <c r="C74" s="172" t="s">
        <v>155</v>
      </c>
      <c r="D74" s="15">
        <v>-50</v>
      </c>
      <c r="E74" s="15">
        <v>0</v>
      </c>
      <c r="F74" s="15"/>
      <c r="G74" s="172"/>
      <c r="H74" s="172"/>
      <c r="I74" s="172"/>
      <c r="J74" s="172"/>
      <c r="K74" s="172"/>
      <c r="L74" s="172"/>
    </row>
    <row r="75" spans="1:50" x14ac:dyDescent="0.35">
      <c r="B75" s="172"/>
      <c r="C75" s="172" t="s">
        <v>522</v>
      </c>
      <c r="E75" s="15">
        <v>100</v>
      </c>
      <c r="F75" s="15"/>
      <c r="G75" s="172"/>
      <c r="H75" s="172"/>
      <c r="I75" s="172"/>
      <c r="J75" s="172"/>
      <c r="K75" s="172"/>
      <c r="L75" s="172"/>
    </row>
    <row r="76" spans="1:50" x14ac:dyDescent="0.35">
      <c r="B76" s="172"/>
      <c r="C76" s="172" t="s">
        <v>523</v>
      </c>
      <c r="E76" s="15">
        <v>-60</v>
      </c>
      <c r="F76" s="15"/>
      <c r="G76" s="172"/>
      <c r="H76" s="172"/>
      <c r="I76" s="172"/>
      <c r="J76" s="172"/>
      <c r="K76" s="172"/>
      <c r="L76" s="172"/>
    </row>
    <row r="77" spans="1:50" x14ac:dyDescent="0.35">
      <c r="B77" s="172"/>
      <c r="C77" s="172" t="s">
        <v>524</v>
      </c>
      <c r="E77" s="115">
        <f>SUM(E75:E76)</f>
        <v>40</v>
      </c>
      <c r="F77" s="115"/>
      <c r="G77" s="172"/>
      <c r="H77" s="172"/>
      <c r="I77" s="172"/>
      <c r="J77" s="172"/>
      <c r="K77" s="172"/>
      <c r="L77" s="172"/>
    </row>
    <row r="78" spans="1:50" x14ac:dyDescent="0.35">
      <c r="B78" s="172"/>
      <c r="C78" s="172" t="s">
        <v>525</v>
      </c>
      <c r="E78" s="15">
        <v>-15</v>
      </c>
      <c r="F78" s="15"/>
      <c r="G78" s="172"/>
      <c r="H78" s="172"/>
      <c r="I78" s="172"/>
      <c r="J78" s="172"/>
      <c r="K78" s="172"/>
      <c r="L78" s="172"/>
    </row>
    <row r="79" spans="1:50" x14ac:dyDescent="0.35">
      <c r="B79" s="172"/>
      <c r="C79" s="172" t="s">
        <v>526</v>
      </c>
      <c r="E79" s="115">
        <f>SUM(E77:E78)</f>
        <v>25</v>
      </c>
      <c r="F79" s="115"/>
      <c r="G79" s="172"/>
      <c r="H79" s="172"/>
      <c r="I79" s="172"/>
      <c r="J79" s="172"/>
      <c r="K79" s="172"/>
      <c r="L79" s="172"/>
    </row>
    <row r="80" spans="1:50" x14ac:dyDescent="0.35">
      <c r="B80" s="172"/>
      <c r="C80" s="172" t="s">
        <v>157</v>
      </c>
      <c r="E80" s="15">
        <f>-E79*33%</f>
        <v>-8.25</v>
      </c>
      <c r="F80" s="15"/>
      <c r="G80" s="172"/>
      <c r="H80" s="172"/>
      <c r="I80" s="172"/>
      <c r="J80" s="172"/>
      <c r="K80" s="172"/>
      <c r="L80" s="172"/>
    </row>
    <row r="81" spans="2:12" x14ac:dyDescent="0.35">
      <c r="B81" s="172"/>
      <c r="C81" s="172" t="s">
        <v>527</v>
      </c>
      <c r="E81" s="115">
        <f>SUM(E79:E80)</f>
        <v>16.75</v>
      </c>
      <c r="F81" s="115"/>
      <c r="G81" s="172"/>
      <c r="H81" s="172"/>
      <c r="I81" s="172"/>
      <c r="J81" s="172"/>
      <c r="K81" s="172"/>
      <c r="L81" s="172"/>
    </row>
    <row r="82" spans="2:12" x14ac:dyDescent="0.35">
      <c r="B82" s="172"/>
      <c r="C82" s="358" t="s">
        <v>528</v>
      </c>
      <c r="E82" s="15">
        <v>7</v>
      </c>
      <c r="F82" s="15"/>
      <c r="G82" s="172"/>
      <c r="H82" s="172"/>
      <c r="I82" s="172"/>
      <c r="J82" s="172"/>
      <c r="K82" s="172"/>
      <c r="L82" s="172"/>
    </row>
    <row r="83" spans="2:12" x14ac:dyDescent="0.35">
      <c r="C83" s="358" t="s">
        <v>529</v>
      </c>
      <c r="E83" s="49">
        <f>-E78</f>
        <v>15</v>
      </c>
      <c r="F83" s="49"/>
    </row>
    <row r="84" spans="2:12" x14ac:dyDescent="0.35">
      <c r="C84" s="172" t="s">
        <v>530</v>
      </c>
      <c r="E84" s="115">
        <f>SUM(E81:E83)</f>
        <v>38.75</v>
      </c>
      <c r="F84" s="115"/>
    </row>
    <row r="85" spans="2:12" x14ac:dyDescent="0.35">
      <c r="C85" s="358" t="s">
        <v>604</v>
      </c>
      <c r="E85">
        <v>10</v>
      </c>
    </row>
    <row r="86" spans="2:12" x14ac:dyDescent="0.35">
      <c r="C86" s="172" t="s">
        <v>531</v>
      </c>
      <c r="E86">
        <v>15</v>
      </c>
    </row>
    <row r="87" spans="2:12" x14ac:dyDescent="0.35">
      <c r="C87" s="172" t="s">
        <v>533</v>
      </c>
      <c r="D87" s="49">
        <f>SUM(D84:D86)+D74</f>
        <v>-50</v>
      </c>
      <c r="E87" s="49">
        <f>SUM(E84:E86)+E74</f>
        <v>63.75</v>
      </c>
      <c r="F87" s="49"/>
    </row>
    <row r="88" spans="2:12" x14ac:dyDescent="0.35">
      <c r="C88" t="s">
        <v>532</v>
      </c>
    </row>
    <row r="89" spans="2:12" x14ac:dyDescent="0.35">
      <c r="E89" s="105">
        <f>IRR(D87:E87)</f>
        <v>0.27499999999999991</v>
      </c>
      <c r="F89" s="105"/>
    </row>
  </sheetData>
  <mergeCells count="22">
    <mergeCell ref="AB4:AB5"/>
    <mergeCell ref="H4:L4"/>
    <mergeCell ref="AI4:AK4"/>
    <mergeCell ref="AO4:AO5"/>
    <mergeCell ref="D4:G4"/>
    <mergeCell ref="M4:P4"/>
    <mergeCell ref="Q4:W4"/>
    <mergeCell ref="Q5:U5"/>
    <mergeCell ref="X4:Z4"/>
    <mergeCell ref="Y5:Y6"/>
    <mergeCell ref="AC4:AC5"/>
    <mergeCell ref="AD4:AD5"/>
    <mergeCell ref="AN4:AN5"/>
    <mergeCell ref="AM4:AM5"/>
    <mergeCell ref="AE4:AE5"/>
    <mergeCell ref="AF4:AF5"/>
    <mergeCell ref="AP4:AP5"/>
    <mergeCell ref="AG4:AG5"/>
    <mergeCell ref="AX4:AX5"/>
    <mergeCell ref="AT4:AU4"/>
    <mergeCell ref="AW4:AW5"/>
    <mergeCell ref="AR4:AS4"/>
  </mergeCells>
  <dataValidations count="1">
    <dataValidation type="list" allowBlank="1" showInputMessage="1" showErrorMessage="1" sqref="AB1">
      <formula1>PLAZO2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73</vt:i4>
      </vt:variant>
      <vt:variant>
        <vt:lpstr>Rangos con nombre</vt:lpstr>
      </vt:variant>
      <vt:variant>
        <vt:i4>19</vt:i4>
      </vt:variant>
    </vt:vector>
  </HeadingPairs>
  <TitlesOfParts>
    <vt:vector size="92" baseType="lpstr">
      <vt:lpstr>Par</vt:lpstr>
      <vt:lpstr>Pastel</vt:lpstr>
      <vt:lpstr>Resumen-Inic</vt:lpstr>
      <vt:lpstr>Resumen Total-Inic</vt:lpstr>
      <vt:lpstr>Índice</vt:lpstr>
      <vt:lpstr>Variables</vt:lpstr>
      <vt:lpstr>Resumen</vt:lpstr>
      <vt:lpstr>Resumen Total</vt:lpstr>
      <vt:lpstr>Ppto-Mes</vt:lpstr>
      <vt:lpstr>Ppto-Año</vt:lpstr>
      <vt:lpstr>PyG-Mes</vt:lpstr>
      <vt:lpstr>PyG-Año</vt:lpstr>
      <vt:lpstr>Bal Mes</vt:lpstr>
      <vt:lpstr>Bal Año</vt:lpstr>
      <vt:lpstr>Flujo-Mes</vt:lpstr>
      <vt:lpstr>Flujo-Año</vt:lpstr>
      <vt:lpstr>Tes Banrep</vt:lpstr>
      <vt:lpstr>Tes AVAL</vt:lpstr>
      <vt:lpstr>Betas</vt:lpstr>
      <vt:lpstr>Rent Mercado</vt:lpstr>
      <vt:lpstr>Riesgo País</vt:lpstr>
      <vt:lpstr>WACC Gral</vt:lpstr>
      <vt:lpstr>WACC Ajust</vt:lpstr>
      <vt:lpstr>Ebitda</vt:lpstr>
      <vt:lpstr>Inv Inicial</vt:lpstr>
      <vt:lpstr>Amort Inv Inic</vt:lpstr>
      <vt:lpstr>Inv Adic</vt:lpstr>
      <vt:lpstr>Amort Inv Adic</vt:lpstr>
      <vt:lpstr>Inv Temp</vt:lpstr>
      <vt:lpstr>DTF</vt:lpstr>
      <vt:lpstr>Financ 1</vt:lpstr>
      <vt:lpstr>Financ 2</vt:lpstr>
      <vt:lpstr>Financ 3</vt:lpstr>
      <vt:lpstr>Financ Total</vt:lpstr>
      <vt:lpstr>Productos $</vt:lpstr>
      <vt:lpstr>Productos Horas</vt:lpstr>
      <vt:lpstr>Clientes</vt:lpstr>
      <vt:lpstr>Ingresos Uds 100</vt:lpstr>
      <vt:lpstr>Ingresos Uds</vt:lpstr>
      <vt:lpstr>Ingresos $</vt:lpstr>
      <vt:lpstr>Ing Proyect</vt:lpstr>
      <vt:lpstr>Horas Productos</vt:lpstr>
      <vt:lpstr>HP Proyect</vt:lpstr>
      <vt:lpstr>Remuner</vt:lpstr>
      <vt:lpstr>Factor</vt:lpstr>
      <vt:lpstr>Factor Proy</vt:lpstr>
      <vt:lpstr>HC 2015</vt:lpstr>
      <vt:lpstr>RF 2015</vt:lpstr>
      <vt:lpstr>RV 2015</vt:lpstr>
      <vt:lpstr>RV 2015-Resumen</vt:lpstr>
      <vt:lpstr>HC 2016</vt:lpstr>
      <vt:lpstr>RF 2016</vt:lpstr>
      <vt:lpstr>RV 2016</vt:lpstr>
      <vt:lpstr>RV 2016-Resumen</vt:lpstr>
      <vt:lpstr>HC 2017</vt:lpstr>
      <vt:lpstr>RF 2017</vt:lpstr>
      <vt:lpstr>RV 2017</vt:lpstr>
      <vt:lpstr>RV 2017-Resumen</vt:lpstr>
      <vt:lpstr>HC 2018</vt:lpstr>
      <vt:lpstr>RF 2018</vt:lpstr>
      <vt:lpstr>RV 2018</vt:lpstr>
      <vt:lpstr>RV 2018-Resumen</vt:lpstr>
      <vt:lpstr>HC 2019</vt:lpstr>
      <vt:lpstr>RF 2019</vt:lpstr>
      <vt:lpstr>RV 2019</vt:lpstr>
      <vt:lpstr>RV 2019-Resumen</vt:lpstr>
      <vt:lpstr>Gastos Grales</vt:lpstr>
      <vt:lpstr>Gastos Proyect</vt:lpstr>
      <vt:lpstr>HC Proyect</vt:lpstr>
      <vt:lpstr>RF Proyect</vt:lpstr>
      <vt:lpstr>RV Proyect</vt:lpstr>
      <vt:lpstr>Gtos Consultores</vt:lpstr>
      <vt:lpstr>Gtos Nómina-Resumen</vt:lpstr>
      <vt:lpstr>CREDITOS</vt:lpstr>
      <vt:lpstr>EXPECTATIVAS</vt:lpstr>
      <vt:lpstr>MESESKT</vt:lpstr>
      <vt:lpstr>PLAZO2</vt:lpstr>
      <vt:lpstr>PROBABILIDADES</vt:lpstr>
      <vt:lpstr>SIGNO</vt:lpstr>
      <vt:lpstr>SIONO</vt:lpstr>
      <vt:lpstr>'HC 2015'!Títulos_a_imprimir</vt:lpstr>
      <vt:lpstr>'HC 2016'!Títulos_a_imprimir</vt:lpstr>
      <vt:lpstr>'HC 2017'!Títulos_a_imprimir</vt:lpstr>
      <vt:lpstr>'HC 2018'!Títulos_a_imprimir</vt:lpstr>
      <vt:lpstr>'HC 2019'!Títulos_a_imprimir</vt:lpstr>
      <vt:lpstr>'HC Proyect'!Títulos_a_imprimir</vt:lpstr>
      <vt:lpstr>'RF 2015'!Títulos_a_imprimir</vt:lpstr>
      <vt:lpstr>'RF 2016'!Títulos_a_imprimir</vt:lpstr>
      <vt:lpstr>'RF 2017'!Títulos_a_imprimir</vt:lpstr>
      <vt:lpstr>'RF 2018'!Títulos_a_imprimir</vt:lpstr>
      <vt:lpstr>'RF 2019'!Títulos_a_imprimir</vt:lpstr>
      <vt:lpstr>'RF Proyect'!Títulos_a_imprimir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Eduarben</dc:creator>
  <cp:lastModifiedBy>Eduarben</cp:lastModifiedBy>
  <cp:lastPrinted>2014-07-09T14:33:17Z</cp:lastPrinted>
  <dcterms:created xsi:type="dcterms:W3CDTF">2014-07-04T02:07:33Z</dcterms:created>
  <dcterms:modified xsi:type="dcterms:W3CDTF">2014-11-27T14:31:40Z</dcterms:modified>
</cp:coreProperties>
</file>