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\Downloads\"/>
    </mc:Choice>
  </mc:AlternateContent>
  <xr:revisionPtr revIDLastSave="0" documentId="13_ncr:1_{9B3C35F2-E02F-436C-8981-063B777362C4}" xr6:coauthVersionLast="47" xr6:coauthVersionMax="47" xr10:uidLastSave="{00000000-0000-0000-0000-000000000000}"/>
  <bookViews>
    <workbookView xWindow="-110" yWindow="-110" windowWidth="19420" windowHeight="10420" tabRatio="914" xr2:uid="{138D70D0-EA30-4D62-99A8-81CC9905242F}"/>
  </bookViews>
  <sheets>
    <sheet name="Integrantes" sheetId="1" r:id="rId1"/>
    <sheet name="Presentación" sheetId="2" r:id="rId2"/>
    <sheet name="Charts" sheetId="15" r:id="rId3"/>
    <sheet name="DCF" sheetId="3" r:id="rId4"/>
    <sheet name="WACC" sheetId="16" r:id="rId5"/>
    <sheet name="PyG" sheetId="4" r:id="rId6"/>
    <sheet name="Balance G." sheetId="5" r:id="rId7"/>
    <sheet name="CF" sheetId="14" r:id="rId8"/>
    <sheet name="Capex&amp;DA" sheetId="6" r:id="rId9"/>
    <sheet name="Debt" sheetId="7" r:id="rId10"/>
    <sheet name="Inputs" sheetId="10" r:id="rId11"/>
    <sheet name="Notas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3" l="1"/>
  <c r="C71" i="3"/>
  <c r="C307" i="4"/>
  <c r="D221" i="4" l="1"/>
  <c r="T5" i="16"/>
  <c r="V270" i="16"/>
  <c r="V269" i="16"/>
  <c r="V268" i="16"/>
  <c r="V267" i="16"/>
  <c r="V266" i="16"/>
  <c r="V265" i="16"/>
  <c r="V264" i="16"/>
  <c r="V263" i="16"/>
  <c r="V262" i="16"/>
  <c r="V261" i="16"/>
  <c r="V260" i="16"/>
  <c r="V259" i="16"/>
  <c r="V258" i="16"/>
  <c r="V257" i="16"/>
  <c r="V256" i="16"/>
  <c r="V255" i="16"/>
  <c r="V254" i="16"/>
  <c r="V253" i="16"/>
  <c r="V252" i="16"/>
  <c r="V251" i="16"/>
  <c r="V250" i="16"/>
  <c r="V249" i="16"/>
  <c r="V248" i="16"/>
  <c r="V247" i="16"/>
  <c r="V246" i="16"/>
  <c r="V245" i="16"/>
  <c r="V244" i="16"/>
  <c r="V243" i="16"/>
  <c r="V242" i="16"/>
  <c r="V241" i="16"/>
  <c r="V240" i="16"/>
  <c r="V239" i="16"/>
  <c r="V238" i="16"/>
  <c r="V237" i="16"/>
  <c r="V236" i="16"/>
  <c r="V235" i="16"/>
  <c r="V234" i="16"/>
  <c r="V233" i="16"/>
  <c r="V232" i="16"/>
  <c r="V231" i="16"/>
  <c r="V230" i="16"/>
  <c r="V229" i="16"/>
  <c r="V228" i="16"/>
  <c r="V227" i="16"/>
  <c r="V226" i="16"/>
  <c r="V225" i="16"/>
  <c r="V224" i="16"/>
  <c r="V223" i="16"/>
  <c r="V222" i="16"/>
  <c r="V221" i="16"/>
  <c r="V220" i="16"/>
  <c r="V219" i="16"/>
  <c r="V218" i="16"/>
  <c r="V217" i="16"/>
  <c r="V216" i="16"/>
  <c r="V215" i="16"/>
  <c r="V214" i="16"/>
  <c r="V213" i="16"/>
  <c r="V212" i="16"/>
  <c r="V211" i="16"/>
  <c r="V210" i="16"/>
  <c r="V209" i="16"/>
  <c r="V208" i="16"/>
  <c r="V207" i="16"/>
  <c r="V206" i="16"/>
  <c r="V205" i="16"/>
  <c r="V204" i="16"/>
  <c r="V203" i="16"/>
  <c r="V202" i="16"/>
  <c r="V201" i="16"/>
  <c r="V200" i="16"/>
  <c r="V199" i="16"/>
  <c r="V198" i="16"/>
  <c r="V197" i="16"/>
  <c r="V196" i="16"/>
  <c r="V195" i="16"/>
  <c r="V194" i="16"/>
  <c r="V193" i="16"/>
  <c r="V192" i="16"/>
  <c r="V191" i="16"/>
  <c r="V190" i="16"/>
  <c r="V189" i="16"/>
  <c r="V188" i="16"/>
  <c r="V187" i="16"/>
  <c r="V186" i="16"/>
  <c r="V185" i="16"/>
  <c r="V184" i="16"/>
  <c r="V183" i="16"/>
  <c r="V182" i="16"/>
  <c r="V181" i="16"/>
  <c r="V180" i="16"/>
  <c r="V179" i="16"/>
  <c r="V178" i="16"/>
  <c r="V177" i="16"/>
  <c r="V176" i="16"/>
  <c r="V175" i="16"/>
  <c r="V174" i="16"/>
  <c r="V173" i="16"/>
  <c r="V172" i="16"/>
  <c r="V171" i="16"/>
  <c r="V170" i="16"/>
  <c r="V169" i="16"/>
  <c r="V168" i="16"/>
  <c r="V167" i="16"/>
  <c r="V166" i="16"/>
  <c r="V165" i="16"/>
  <c r="V164" i="16"/>
  <c r="V163" i="16"/>
  <c r="V162" i="16"/>
  <c r="V161" i="16"/>
  <c r="V160" i="16"/>
  <c r="V159" i="16"/>
  <c r="V158" i="16"/>
  <c r="V157" i="16"/>
  <c r="V156" i="16"/>
  <c r="V155" i="16"/>
  <c r="V154" i="16"/>
  <c r="V153" i="16"/>
  <c r="V152" i="16"/>
  <c r="V151" i="16"/>
  <c r="V150" i="16"/>
  <c r="V149" i="16"/>
  <c r="V148" i="16"/>
  <c r="V147" i="16"/>
  <c r="V146" i="16"/>
  <c r="V145" i="16"/>
  <c r="V144" i="16"/>
  <c r="V143" i="16"/>
  <c r="V142" i="16"/>
  <c r="V141" i="16"/>
  <c r="V140" i="16"/>
  <c r="V139" i="16"/>
  <c r="V138" i="16"/>
  <c r="V137" i="16"/>
  <c r="V136" i="16"/>
  <c r="V135" i="16"/>
  <c r="V134" i="16"/>
  <c r="V133" i="16"/>
  <c r="V132" i="16"/>
  <c r="V131" i="16"/>
  <c r="V130" i="16"/>
  <c r="V129" i="16"/>
  <c r="V128" i="16"/>
  <c r="V127" i="16"/>
  <c r="V126" i="16"/>
  <c r="V125" i="16"/>
  <c r="V124" i="16"/>
  <c r="V123" i="16"/>
  <c r="V122" i="16"/>
  <c r="V121" i="16"/>
  <c r="V120" i="16"/>
  <c r="V119" i="16"/>
  <c r="V118" i="16"/>
  <c r="V117" i="16"/>
  <c r="V116" i="16"/>
  <c r="V115" i="16"/>
  <c r="V114" i="16"/>
  <c r="V113" i="16"/>
  <c r="V112" i="16"/>
  <c r="V111" i="16"/>
  <c r="V110" i="16"/>
  <c r="V109" i="16"/>
  <c r="V108" i="16"/>
  <c r="V107" i="16"/>
  <c r="V106" i="16"/>
  <c r="V105" i="16"/>
  <c r="V104" i="16"/>
  <c r="V103" i="16"/>
  <c r="V102" i="16"/>
  <c r="V101" i="16"/>
  <c r="V100" i="16"/>
  <c r="V99" i="16"/>
  <c r="V98" i="16"/>
  <c r="V97" i="16"/>
  <c r="V96" i="16"/>
  <c r="V95" i="16"/>
  <c r="V94" i="16"/>
  <c r="V93" i="16"/>
  <c r="V92" i="16"/>
  <c r="V91" i="16"/>
  <c r="V90" i="16"/>
  <c r="V89" i="16"/>
  <c r="V88" i="16"/>
  <c r="V87" i="16"/>
  <c r="V86" i="16"/>
  <c r="V85" i="16"/>
  <c r="V84" i="16"/>
  <c r="V83" i="16"/>
  <c r="V82" i="16"/>
  <c r="V81" i="16"/>
  <c r="V80" i="16"/>
  <c r="V79" i="16"/>
  <c r="V78" i="16"/>
  <c r="V77" i="16"/>
  <c r="V76" i="16"/>
  <c r="V75" i="16"/>
  <c r="V74" i="16"/>
  <c r="V73" i="16"/>
  <c r="V72" i="16"/>
  <c r="V71" i="16"/>
  <c r="V70" i="16"/>
  <c r="V69" i="16"/>
  <c r="V68" i="16"/>
  <c r="V67" i="16"/>
  <c r="V66" i="16"/>
  <c r="V65" i="16"/>
  <c r="V64" i="16"/>
  <c r="V63" i="16"/>
  <c r="V62" i="16"/>
  <c r="V61" i="16"/>
  <c r="V60" i="16"/>
  <c r="V59" i="16"/>
  <c r="V58" i="16"/>
  <c r="V57" i="16"/>
  <c r="V56" i="16"/>
  <c r="V55" i="16"/>
  <c r="V54" i="16"/>
  <c r="V53" i="16"/>
  <c r="V52" i="16"/>
  <c r="V51" i="16"/>
  <c r="V50" i="16"/>
  <c r="V49" i="16"/>
  <c r="V48" i="16"/>
  <c r="V47" i="16"/>
  <c r="V46" i="16"/>
  <c r="V45" i="16"/>
  <c r="V44" i="16"/>
  <c r="V43" i="16"/>
  <c r="V42" i="16"/>
  <c r="V41" i="16"/>
  <c r="V40" i="16"/>
  <c r="V39" i="16"/>
  <c r="V38" i="16"/>
  <c r="V37" i="16"/>
  <c r="V36" i="16"/>
  <c r="V35" i="16"/>
  <c r="V34" i="16"/>
  <c r="V33" i="16"/>
  <c r="V32" i="16"/>
  <c r="V31" i="16"/>
  <c r="V30" i="16"/>
  <c r="V29" i="16"/>
  <c r="V28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V10" i="16"/>
  <c r="V9" i="16"/>
  <c r="T4" i="16" s="1"/>
  <c r="T6" i="16" s="1"/>
  <c r="P5" i="16"/>
  <c r="P4" i="16"/>
  <c r="P6" i="16" s="1"/>
  <c r="C42" i="3" s="1"/>
  <c r="D42" i="3" s="1"/>
  <c r="E42" i="3" s="1"/>
  <c r="F42" i="3" s="1"/>
  <c r="G42" i="3" s="1"/>
  <c r="H42" i="3" s="1"/>
  <c r="I42" i="3" s="1"/>
  <c r="J42" i="3" s="1"/>
  <c r="K42" i="3" s="1"/>
  <c r="L42" i="3" s="1"/>
  <c r="M42" i="3" s="1"/>
  <c r="N42" i="3" s="1"/>
  <c r="O42" i="3" s="1"/>
  <c r="P42" i="3" s="1"/>
  <c r="Q42" i="3" s="1"/>
  <c r="R42" i="3" s="1"/>
  <c r="S42" i="3" s="1"/>
  <c r="E221" i="4" l="1"/>
  <c r="F221" i="4" l="1"/>
  <c r="G221" i="4" l="1"/>
  <c r="H221" i="4" l="1"/>
  <c r="I221" i="4" l="1"/>
  <c r="J221" i="4" l="1"/>
  <c r="K221" i="4" l="1"/>
  <c r="L221" i="4" l="1"/>
  <c r="M221" i="4" l="1"/>
  <c r="N221" i="4" l="1"/>
  <c r="O221" i="4" l="1"/>
  <c r="H4" i="16"/>
  <c r="B9" i="16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P221" i="4" l="1"/>
  <c r="E19" i="16"/>
  <c r="B20" i="16"/>
  <c r="E16" i="16"/>
  <c r="E15" i="16"/>
  <c r="E14" i="16"/>
  <c r="E17" i="16"/>
  <c r="E9" i="16"/>
  <c r="E13" i="16"/>
  <c r="E12" i="16"/>
  <c r="E11" i="16"/>
  <c r="E18" i="16"/>
  <c r="E10" i="16"/>
  <c r="Q221" i="4" l="1"/>
  <c r="E20" i="16"/>
  <c r="B21" i="16"/>
  <c r="R221" i="4" l="1"/>
  <c r="E21" i="16"/>
  <c r="B22" i="16"/>
  <c r="B23" i="16" l="1"/>
  <c r="E22" i="16"/>
  <c r="B24" i="16" l="1"/>
  <c r="E23" i="16"/>
  <c r="E24" i="16" l="1"/>
  <c r="B25" i="16"/>
  <c r="E25" i="16" l="1"/>
  <c r="B26" i="16"/>
  <c r="B27" i="16" l="1"/>
  <c r="E26" i="16"/>
  <c r="B28" i="16" l="1"/>
  <c r="E27" i="16"/>
  <c r="E28" i="16" l="1"/>
  <c r="B29" i="16"/>
  <c r="E29" i="16" l="1"/>
  <c r="B30" i="16"/>
  <c r="B31" i="16" l="1"/>
  <c r="E30" i="16"/>
  <c r="C253" i="4"/>
  <c r="B32" i="16" l="1"/>
  <c r="E31" i="16"/>
  <c r="S30" i="3"/>
  <c r="N61" i="10"/>
  <c r="D304" i="4"/>
  <c r="D307" i="4"/>
  <c r="O61" i="10"/>
  <c r="E32" i="16" l="1"/>
  <c r="B33" i="16"/>
  <c r="D38" i="4"/>
  <c r="E38" i="4" s="1"/>
  <c r="F38" i="4" s="1"/>
  <c r="G38" i="4" s="1"/>
  <c r="H38" i="4" s="1"/>
  <c r="I38" i="4" s="1"/>
  <c r="J38" i="4" s="1"/>
  <c r="K38" i="4" s="1"/>
  <c r="L38" i="4" s="1"/>
  <c r="M38" i="4" s="1"/>
  <c r="N38" i="4" s="1"/>
  <c r="O38" i="4" s="1"/>
  <c r="P38" i="4" s="1"/>
  <c r="Q38" i="4" s="1"/>
  <c r="R38" i="4" s="1"/>
  <c r="E33" i="16" l="1"/>
  <c r="B34" i="16"/>
  <c r="C230" i="4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B35" i="16" l="1"/>
  <c r="E34" i="16"/>
  <c r="C238" i="4"/>
  <c r="C244" i="4"/>
  <c r="C257" i="4" s="1"/>
  <c r="A251" i="4"/>
  <c r="D251" i="4"/>
  <c r="E251" i="4" s="1"/>
  <c r="D252" i="4"/>
  <c r="E252" i="4" s="1"/>
  <c r="E253" i="4" s="1"/>
  <c r="A256" i="4"/>
  <c r="C263" i="4"/>
  <c r="C264" i="4"/>
  <c r="C271" i="4"/>
  <c r="D271" i="4"/>
  <c r="E271" i="4"/>
  <c r="J271" i="4"/>
  <c r="K271" i="4"/>
  <c r="H276" i="4"/>
  <c r="I276" i="4"/>
  <c r="J276" i="4"/>
  <c r="O276" i="4"/>
  <c r="P278" i="4"/>
  <c r="P276" i="4" s="1"/>
  <c r="M281" i="4"/>
  <c r="N281" i="4"/>
  <c r="O281" i="4"/>
  <c r="G302" i="4" l="1"/>
  <c r="H302" i="4" s="1"/>
  <c r="I302" i="4" s="1"/>
  <c r="J302" i="4" s="1"/>
  <c r="K302" i="4" s="1"/>
  <c r="L302" i="4" s="1"/>
  <c r="M302" i="4" s="1"/>
  <c r="N302" i="4" s="1"/>
  <c r="O302" i="4" s="1"/>
  <c r="P302" i="4" s="1"/>
  <c r="Q302" i="4" s="1"/>
  <c r="R302" i="4" s="1"/>
  <c r="E307" i="4"/>
  <c r="B36" i="16"/>
  <c r="E35" i="16"/>
  <c r="F148" i="4"/>
  <c r="P61" i="10"/>
  <c r="M271" i="4"/>
  <c r="D264" i="4"/>
  <c r="D263" i="4"/>
  <c r="E248" i="4"/>
  <c r="D248" i="4"/>
  <c r="Q278" i="4"/>
  <c r="Q276" i="4" s="1"/>
  <c r="D253" i="4"/>
  <c r="F252" i="4"/>
  <c r="G252" i="4" s="1"/>
  <c r="G253" i="4" s="1"/>
  <c r="L271" i="4"/>
  <c r="D257" i="4"/>
  <c r="C262" i="4"/>
  <c r="F251" i="4"/>
  <c r="F147" i="4" s="1"/>
  <c r="E263" i="4"/>
  <c r="E264" i="4"/>
  <c r="D49" i="4"/>
  <c r="E49" i="4" s="1"/>
  <c r="F49" i="4" s="1"/>
  <c r="G49" i="4" s="1"/>
  <c r="H49" i="4" s="1"/>
  <c r="I49" i="4" s="1"/>
  <c r="J49" i="4" s="1"/>
  <c r="K49" i="4" s="1"/>
  <c r="L49" i="4" s="1"/>
  <c r="M49" i="4" s="1"/>
  <c r="N49" i="4" s="1"/>
  <c r="O49" i="4" s="1"/>
  <c r="P49" i="4" s="1"/>
  <c r="Q49" i="4" s="1"/>
  <c r="R49" i="4" s="1"/>
  <c r="D50" i="4"/>
  <c r="E50" i="4" s="1"/>
  <c r="F50" i="4" s="1"/>
  <c r="G50" i="4" s="1"/>
  <c r="H50" i="4" s="1"/>
  <c r="I50" i="4" s="1"/>
  <c r="J50" i="4" s="1"/>
  <c r="K50" i="4" s="1"/>
  <c r="L50" i="4" s="1"/>
  <c r="M50" i="4" s="1"/>
  <c r="N50" i="4" s="1"/>
  <c r="O50" i="4" s="1"/>
  <c r="P50" i="4" s="1"/>
  <c r="Q50" i="4" s="1"/>
  <c r="R50" i="4" s="1"/>
  <c r="D51" i="4"/>
  <c r="E51" i="4" s="1"/>
  <c r="F51" i="4" s="1"/>
  <c r="G51" i="4" s="1"/>
  <c r="H51" i="4" s="1"/>
  <c r="I51" i="4" s="1"/>
  <c r="J51" i="4" s="1"/>
  <c r="K51" i="4" s="1"/>
  <c r="L51" i="4" s="1"/>
  <c r="M51" i="4" s="1"/>
  <c r="N51" i="4" s="1"/>
  <c r="O51" i="4" s="1"/>
  <c r="P51" i="4" s="1"/>
  <c r="Q51" i="4" s="1"/>
  <c r="R51" i="4" s="1"/>
  <c r="D52" i="4"/>
  <c r="E52" i="4" s="1"/>
  <c r="F52" i="4" s="1"/>
  <c r="G52" i="4" s="1"/>
  <c r="H52" i="4" s="1"/>
  <c r="I52" i="4" s="1"/>
  <c r="J52" i="4" s="1"/>
  <c r="K52" i="4" s="1"/>
  <c r="L52" i="4" s="1"/>
  <c r="M52" i="4" s="1"/>
  <c r="N52" i="4" s="1"/>
  <c r="O52" i="4" s="1"/>
  <c r="P52" i="4" s="1"/>
  <c r="Q52" i="4" s="1"/>
  <c r="R52" i="4" s="1"/>
  <c r="D53" i="4"/>
  <c r="E53" i="4" s="1"/>
  <c r="F53" i="4" s="1"/>
  <c r="G53" i="4" s="1"/>
  <c r="H53" i="4" s="1"/>
  <c r="I53" i="4" s="1"/>
  <c r="J53" i="4" s="1"/>
  <c r="K53" i="4" s="1"/>
  <c r="L53" i="4" s="1"/>
  <c r="M53" i="4" s="1"/>
  <c r="N53" i="4" s="1"/>
  <c r="O53" i="4" s="1"/>
  <c r="P53" i="4" s="1"/>
  <c r="Q53" i="4" s="1"/>
  <c r="R53" i="4" s="1"/>
  <c r="D54" i="4"/>
  <c r="E54" i="4" s="1"/>
  <c r="F54" i="4" s="1"/>
  <c r="G54" i="4" s="1"/>
  <c r="H54" i="4" s="1"/>
  <c r="I54" i="4" s="1"/>
  <c r="J54" i="4" s="1"/>
  <c r="K54" i="4" s="1"/>
  <c r="L54" i="4" s="1"/>
  <c r="M54" i="4" s="1"/>
  <c r="N54" i="4" s="1"/>
  <c r="O54" i="4" s="1"/>
  <c r="P54" i="4" s="1"/>
  <c r="Q54" i="4" s="1"/>
  <c r="R54" i="4" s="1"/>
  <c r="D55" i="4"/>
  <c r="E55" i="4" s="1"/>
  <c r="F55" i="4" s="1"/>
  <c r="G55" i="4" s="1"/>
  <c r="H55" i="4" s="1"/>
  <c r="I55" i="4" s="1"/>
  <c r="J55" i="4" s="1"/>
  <c r="K55" i="4" s="1"/>
  <c r="L55" i="4" s="1"/>
  <c r="M55" i="4" s="1"/>
  <c r="N55" i="4" s="1"/>
  <c r="O55" i="4" s="1"/>
  <c r="P55" i="4" s="1"/>
  <c r="Q55" i="4" s="1"/>
  <c r="R55" i="4" s="1"/>
  <c r="D56" i="4"/>
  <c r="E56" i="4" s="1"/>
  <c r="F56" i="4" s="1"/>
  <c r="G56" i="4" s="1"/>
  <c r="H56" i="4" s="1"/>
  <c r="I56" i="4" s="1"/>
  <c r="J56" i="4" s="1"/>
  <c r="K56" i="4" s="1"/>
  <c r="L56" i="4" s="1"/>
  <c r="M56" i="4" s="1"/>
  <c r="N56" i="4" s="1"/>
  <c r="O56" i="4" s="1"/>
  <c r="P56" i="4" s="1"/>
  <c r="Q56" i="4" s="1"/>
  <c r="R56" i="4" s="1"/>
  <c r="D57" i="4"/>
  <c r="E57" i="4" s="1"/>
  <c r="F57" i="4" s="1"/>
  <c r="G57" i="4" s="1"/>
  <c r="H57" i="4" s="1"/>
  <c r="I57" i="4" s="1"/>
  <c r="J57" i="4" s="1"/>
  <c r="K57" i="4" s="1"/>
  <c r="L57" i="4" s="1"/>
  <c r="M57" i="4" s="1"/>
  <c r="N57" i="4" s="1"/>
  <c r="O57" i="4" s="1"/>
  <c r="P57" i="4" s="1"/>
  <c r="Q57" i="4" s="1"/>
  <c r="R57" i="4" s="1"/>
  <c r="D58" i="4"/>
  <c r="E58" i="4" s="1"/>
  <c r="F58" i="4" s="1"/>
  <c r="G58" i="4" s="1"/>
  <c r="H58" i="4" s="1"/>
  <c r="I58" i="4" s="1"/>
  <c r="J58" i="4" s="1"/>
  <c r="K58" i="4" s="1"/>
  <c r="L58" i="4" s="1"/>
  <c r="M58" i="4" s="1"/>
  <c r="N58" i="4" s="1"/>
  <c r="O58" i="4" s="1"/>
  <c r="P58" i="4" s="1"/>
  <c r="Q58" i="4" s="1"/>
  <c r="R58" i="4" s="1"/>
  <c r="D59" i="4"/>
  <c r="E59" i="4" s="1"/>
  <c r="F59" i="4" s="1"/>
  <c r="G59" i="4" s="1"/>
  <c r="H59" i="4" s="1"/>
  <c r="I59" i="4" s="1"/>
  <c r="J59" i="4" s="1"/>
  <c r="K59" i="4" s="1"/>
  <c r="L59" i="4" s="1"/>
  <c r="M59" i="4" s="1"/>
  <c r="N59" i="4" s="1"/>
  <c r="O59" i="4" s="1"/>
  <c r="P59" i="4" s="1"/>
  <c r="Q59" i="4" s="1"/>
  <c r="R59" i="4" s="1"/>
  <c r="D60" i="4"/>
  <c r="E60" i="4" s="1"/>
  <c r="F60" i="4" s="1"/>
  <c r="G60" i="4" s="1"/>
  <c r="H60" i="4" s="1"/>
  <c r="I60" i="4" s="1"/>
  <c r="J60" i="4" s="1"/>
  <c r="K60" i="4" s="1"/>
  <c r="L60" i="4" s="1"/>
  <c r="M60" i="4" s="1"/>
  <c r="N60" i="4" s="1"/>
  <c r="O60" i="4" s="1"/>
  <c r="P60" i="4" s="1"/>
  <c r="Q60" i="4" s="1"/>
  <c r="R60" i="4" s="1"/>
  <c r="D64" i="4"/>
  <c r="E64" i="4" s="1"/>
  <c r="F64" i="4" s="1"/>
  <c r="G64" i="4" s="1"/>
  <c r="H64" i="4" s="1"/>
  <c r="I64" i="4" s="1"/>
  <c r="J64" i="4" s="1"/>
  <c r="K64" i="4" s="1"/>
  <c r="L64" i="4" s="1"/>
  <c r="M64" i="4" s="1"/>
  <c r="N64" i="4" s="1"/>
  <c r="O64" i="4" s="1"/>
  <c r="P64" i="4" s="1"/>
  <c r="Q64" i="4" s="1"/>
  <c r="R64" i="4" s="1"/>
  <c r="D65" i="4"/>
  <c r="E65" i="4" s="1"/>
  <c r="F65" i="4" s="1"/>
  <c r="G65" i="4" s="1"/>
  <c r="H65" i="4" s="1"/>
  <c r="I65" i="4" s="1"/>
  <c r="J65" i="4" s="1"/>
  <c r="K65" i="4" s="1"/>
  <c r="L65" i="4" s="1"/>
  <c r="M65" i="4" s="1"/>
  <c r="N65" i="4" s="1"/>
  <c r="O65" i="4" s="1"/>
  <c r="P65" i="4" s="1"/>
  <c r="Q65" i="4" s="1"/>
  <c r="R65" i="4" s="1"/>
  <c r="D66" i="4"/>
  <c r="E66" i="4" s="1"/>
  <c r="F66" i="4" s="1"/>
  <c r="G66" i="4" s="1"/>
  <c r="H66" i="4" s="1"/>
  <c r="I66" i="4" s="1"/>
  <c r="J66" i="4" s="1"/>
  <c r="K66" i="4" s="1"/>
  <c r="L66" i="4" s="1"/>
  <c r="M66" i="4" s="1"/>
  <c r="N66" i="4" s="1"/>
  <c r="O66" i="4" s="1"/>
  <c r="P66" i="4" s="1"/>
  <c r="Q66" i="4" s="1"/>
  <c r="R66" i="4" s="1"/>
  <c r="D67" i="4"/>
  <c r="E67" i="4" s="1"/>
  <c r="F67" i="4" s="1"/>
  <c r="G67" i="4" s="1"/>
  <c r="H67" i="4" s="1"/>
  <c r="I67" i="4" s="1"/>
  <c r="J67" i="4" s="1"/>
  <c r="K67" i="4" s="1"/>
  <c r="L67" i="4" s="1"/>
  <c r="M67" i="4" s="1"/>
  <c r="N67" i="4" s="1"/>
  <c r="O67" i="4" s="1"/>
  <c r="P67" i="4" s="1"/>
  <c r="Q67" i="4" s="1"/>
  <c r="R67" i="4" s="1"/>
  <c r="D68" i="4"/>
  <c r="E68" i="4" s="1"/>
  <c r="F68" i="4" s="1"/>
  <c r="G68" i="4" s="1"/>
  <c r="H68" i="4" s="1"/>
  <c r="I68" i="4" s="1"/>
  <c r="J68" i="4" s="1"/>
  <c r="K68" i="4" s="1"/>
  <c r="L68" i="4" s="1"/>
  <c r="M68" i="4" s="1"/>
  <c r="N68" i="4" s="1"/>
  <c r="O68" i="4" s="1"/>
  <c r="P68" i="4" s="1"/>
  <c r="Q68" i="4" s="1"/>
  <c r="R68" i="4" s="1"/>
  <c r="D69" i="4"/>
  <c r="E69" i="4" s="1"/>
  <c r="F69" i="4" s="1"/>
  <c r="G69" i="4" s="1"/>
  <c r="H69" i="4" s="1"/>
  <c r="I69" i="4" s="1"/>
  <c r="J69" i="4" s="1"/>
  <c r="K69" i="4" s="1"/>
  <c r="L69" i="4" s="1"/>
  <c r="M69" i="4" s="1"/>
  <c r="N69" i="4" s="1"/>
  <c r="O69" i="4" s="1"/>
  <c r="P69" i="4" s="1"/>
  <c r="Q69" i="4" s="1"/>
  <c r="R69" i="4" s="1"/>
  <c r="D70" i="4"/>
  <c r="E70" i="4" s="1"/>
  <c r="F70" i="4" s="1"/>
  <c r="G70" i="4" s="1"/>
  <c r="H70" i="4" s="1"/>
  <c r="I70" i="4" s="1"/>
  <c r="J70" i="4" s="1"/>
  <c r="K70" i="4" s="1"/>
  <c r="L70" i="4" s="1"/>
  <c r="M70" i="4" s="1"/>
  <c r="N70" i="4" s="1"/>
  <c r="O70" i="4" s="1"/>
  <c r="P70" i="4" s="1"/>
  <c r="Q70" i="4" s="1"/>
  <c r="R70" i="4" s="1"/>
  <c r="D71" i="4"/>
  <c r="E71" i="4" s="1"/>
  <c r="F71" i="4" s="1"/>
  <c r="G71" i="4" s="1"/>
  <c r="H71" i="4" s="1"/>
  <c r="I71" i="4" s="1"/>
  <c r="J71" i="4" s="1"/>
  <c r="K71" i="4" s="1"/>
  <c r="L71" i="4" s="1"/>
  <c r="M71" i="4" s="1"/>
  <c r="N71" i="4" s="1"/>
  <c r="O71" i="4" s="1"/>
  <c r="P71" i="4" s="1"/>
  <c r="Q71" i="4" s="1"/>
  <c r="R71" i="4" s="1"/>
  <c r="D72" i="4"/>
  <c r="E72" i="4" s="1"/>
  <c r="F72" i="4" s="1"/>
  <c r="G72" i="4" s="1"/>
  <c r="H72" i="4" s="1"/>
  <c r="I72" i="4" s="1"/>
  <c r="J72" i="4" s="1"/>
  <c r="K72" i="4" s="1"/>
  <c r="L72" i="4" s="1"/>
  <c r="M72" i="4" s="1"/>
  <c r="N72" i="4" s="1"/>
  <c r="O72" i="4" s="1"/>
  <c r="P72" i="4" s="1"/>
  <c r="Q72" i="4" s="1"/>
  <c r="R72" i="4" s="1"/>
  <c r="D73" i="4"/>
  <c r="E73" i="4" s="1"/>
  <c r="F73" i="4" s="1"/>
  <c r="G73" i="4" s="1"/>
  <c r="H73" i="4" s="1"/>
  <c r="I73" i="4" s="1"/>
  <c r="J73" i="4" s="1"/>
  <c r="K73" i="4" s="1"/>
  <c r="L73" i="4" s="1"/>
  <c r="M73" i="4" s="1"/>
  <c r="N73" i="4" s="1"/>
  <c r="O73" i="4" s="1"/>
  <c r="P73" i="4" s="1"/>
  <c r="Q73" i="4" s="1"/>
  <c r="R73" i="4" s="1"/>
  <c r="D75" i="4"/>
  <c r="E75" i="4" s="1"/>
  <c r="F75" i="4" s="1"/>
  <c r="G75" i="4" s="1"/>
  <c r="H75" i="4" s="1"/>
  <c r="I75" i="4" s="1"/>
  <c r="J75" i="4" s="1"/>
  <c r="K75" i="4" s="1"/>
  <c r="L75" i="4" s="1"/>
  <c r="M75" i="4" s="1"/>
  <c r="N75" i="4" s="1"/>
  <c r="O75" i="4" s="1"/>
  <c r="P75" i="4" s="1"/>
  <c r="Q75" i="4" s="1"/>
  <c r="R75" i="4" s="1"/>
  <c r="D76" i="4"/>
  <c r="E76" i="4" s="1"/>
  <c r="F76" i="4" s="1"/>
  <c r="G76" i="4" s="1"/>
  <c r="H76" i="4" s="1"/>
  <c r="I76" i="4" s="1"/>
  <c r="J76" i="4" s="1"/>
  <c r="K76" i="4" s="1"/>
  <c r="L76" i="4" s="1"/>
  <c r="M76" i="4" s="1"/>
  <c r="N76" i="4" s="1"/>
  <c r="O76" i="4" s="1"/>
  <c r="P76" i="4" s="1"/>
  <c r="Q76" i="4" s="1"/>
  <c r="R76" i="4" s="1"/>
  <c r="D81" i="4"/>
  <c r="E81" i="4" s="1"/>
  <c r="F81" i="4" s="1"/>
  <c r="D82" i="4"/>
  <c r="E82" i="4" s="1"/>
  <c r="F82" i="4" s="1"/>
  <c r="D83" i="4"/>
  <c r="E83" i="4" s="1"/>
  <c r="F83" i="4" s="1"/>
  <c r="D84" i="4"/>
  <c r="E84" i="4" s="1"/>
  <c r="F84" i="4" s="1"/>
  <c r="D85" i="4"/>
  <c r="E85" i="4" s="1"/>
  <c r="F85" i="4" s="1"/>
  <c r="D86" i="4"/>
  <c r="E86" i="4" s="1"/>
  <c r="F86" i="4" s="1"/>
  <c r="D87" i="4"/>
  <c r="E87" i="4" s="1"/>
  <c r="F87" i="4" s="1"/>
  <c r="D88" i="4"/>
  <c r="E88" i="4" s="1"/>
  <c r="F88" i="4" s="1"/>
  <c r="D89" i="4"/>
  <c r="E89" i="4" s="1"/>
  <c r="F89" i="4" s="1"/>
  <c r="D90" i="4"/>
  <c r="E90" i="4" s="1"/>
  <c r="F90" i="4" s="1"/>
  <c r="D91" i="4"/>
  <c r="E91" i="4" s="1"/>
  <c r="F91" i="4" s="1"/>
  <c r="D92" i="4"/>
  <c r="E92" i="4" s="1"/>
  <c r="F92" i="4" s="1"/>
  <c r="D93" i="4"/>
  <c r="E93" i="4" s="1"/>
  <c r="F93" i="4" s="1"/>
  <c r="D96" i="4"/>
  <c r="E96" i="4" s="1"/>
  <c r="D97" i="4"/>
  <c r="E97" i="4" s="1"/>
  <c r="F97" i="4" s="1"/>
  <c r="D98" i="4"/>
  <c r="E98" i="4" s="1"/>
  <c r="D99" i="4"/>
  <c r="D100" i="4"/>
  <c r="E100" i="4" s="1"/>
  <c r="D101" i="4"/>
  <c r="D102" i="4"/>
  <c r="E102" i="4" s="1"/>
  <c r="F102" i="4" s="1"/>
  <c r="D103" i="4"/>
  <c r="D104" i="4"/>
  <c r="E104" i="4" s="1"/>
  <c r="F104" i="4" s="1"/>
  <c r="D105" i="4"/>
  <c r="D106" i="4"/>
  <c r="E106" i="4" s="1"/>
  <c r="F106" i="4" s="1"/>
  <c r="D107" i="4"/>
  <c r="D108" i="4"/>
  <c r="E108" i="4" s="1"/>
  <c r="F108" i="4" s="1"/>
  <c r="G108" i="4" s="1"/>
  <c r="C113" i="4"/>
  <c r="C114" i="4"/>
  <c r="C115" i="4"/>
  <c r="C116" i="4"/>
  <c r="C117" i="4"/>
  <c r="C118" i="4"/>
  <c r="C119" i="4"/>
  <c r="C120" i="4"/>
  <c r="C121" i="4"/>
  <c r="C122" i="4"/>
  <c r="C123" i="4"/>
  <c r="C124" i="4"/>
  <c r="C129" i="4"/>
  <c r="C130" i="4"/>
  <c r="C131" i="4"/>
  <c r="C132" i="4"/>
  <c r="C133" i="4"/>
  <c r="C134" i="4"/>
  <c r="C135" i="4"/>
  <c r="C136" i="4"/>
  <c r="C137" i="4"/>
  <c r="C138" i="4"/>
  <c r="C140" i="4"/>
  <c r="C141" i="4"/>
  <c r="C147" i="4"/>
  <c r="C190" i="4" s="1"/>
  <c r="D147" i="4"/>
  <c r="E147" i="4"/>
  <c r="D148" i="4"/>
  <c r="E148" i="4"/>
  <c r="D165" i="4"/>
  <c r="E165" i="4" s="1"/>
  <c r="D166" i="4"/>
  <c r="E166" i="4" s="1"/>
  <c r="F166" i="4" s="1"/>
  <c r="D167" i="4"/>
  <c r="E167" i="4" s="1"/>
  <c r="D168" i="4"/>
  <c r="E168" i="4" s="1"/>
  <c r="D169" i="4"/>
  <c r="E169" i="4" s="1"/>
  <c r="D170" i="4"/>
  <c r="E170" i="4" s="1"/>
  <c r="F170" i="4" s="1"/>
  <c r="D176" i="4"/>
  <c r="E176" i="4" s="1"/>
  <c r="F176" i="4" s="1"/>
  <c r="G176" i="4" s="1"/>
  <c r="H176" i="4" s="1"/>
  <c r="I176" i="4" s="1"/>
  <c r="J176" i="4" s="1"/>
  <c r="K176" i="4" s="1"/>
  <c r="L176" i="4" s="1"/>
  <c r="M176" i="4" s="1"/>
  <c r="N176" i="4" s="1"/>
  <c r="O176" i="4" s="1"/>
  <c r="P176" i="4" s="1"/>
  <c r="Q176" i="4" s="1"/>
  <c r="R176" i="4" s="1"/>
  <c r="D177" i="4"/>
  <c r="E177" i="4" s="1"/>
  <c r="D178" i="4"/>
  <c r="E178" i="4" s="1"/>
  <c r="F178" i="4" s="1"/>
  <c r="G178" i="4" s="1"/>
  <c r="H178" i="4" s="1"/>
  <c r="I178" i="4" s="1"/>
  <c r="J178" i="4" s="1"/>
  <c r="K178" i="4" s="1"/>
  <c r="L178" i="4" s="1"/>
  <c r="M178" i="4" s="1"/>
  <c r="N178" i="4" s="1"/>
  <c r="O178" i="4" s="1"/>
  <c r="P178" i="4" s="1"/>
  <c r="Q178" i="4" s="1"/>
  <c r="R178" i="4" s="1"/>
  <c r="D179" i="4"/>
  <c r="E179" i="4" s="1"/>
  <c r="F179" i="4" s="1"/>
  <c r="G179" i="4" s="1"/>
  <c r="H179" i="4" s="1"/>
  <c r="I179" i="4" s="1"/>
  <c r="J179" i="4" s="1"/>
  <c r="K179" i="4" s="1"/>
  <c r="L179" i="4" s="1"/>
  <c r="M179" i="4" s="1"/>
  <c r="N179" i="4" s="1"/>
  <c r="O179" i="4" s="1"/>
  <c r="P179" i="4" s="1"/>
  <c r="Q179" i="4" s="1"/>
  <c r="R179" i="4" s="1"/>
  <c r="D180" i="4"/>
  <c r="E180" i="4" s="1"/>
  <c r="F180" i="4" s="1"/>
  <c r="G180" i="4" s="1"/>
  <c r="H180" i="4" s="1"/>
  <c r="I180" i="4" s="1"/>
  <c r="J180" i="4" s="1"/>
  <c r="K180" i="4" s="1"/>
  <c r="L180" i="4" s="1"/>
  <c r="M180" i="4" s="1"/>
  <c r="N180" i="4" s="1"/>
  <c r="O180" i="4" s="1"/>
  <c r="P180" i="4" s="1"/>
  <c r="Q180" i="4" s="1"/>
  <c r="R180" i="4" s="1"/>
  <c r="D181" i="4"/>
  <c r="E181" i="4" s="1"/>
  <c r="F181" i="4" s="1"/>
  <c r="G181" i="4" s="1"/>
  <c r="H181" i="4" s="1"/>
  <c r="I181" i="4" s="1"/>
  <c r="J181" i="4" s="1"/>
  <c r="K181" i="4" s="1"/>
  <c r="L181" i="4" s="1"/>
  <c r="M181" i="4" s="1"/>
  <c r="N181" i="4" s="1"/>
  <c r="O181" i="4" s="1"/>
  <c r="P181" i="4" s="1"/>
  <c r="Q181" i="4" s="1"/>
  <c r="R181" i="4" s="1"/>
  <c r="C186" i="4"/>
  <c r="C188" i="4"/>
  <c r="C189" i="4"/>
  <c r="D201" i="4"/>
  <c r="E201" i="4" s="1"/>
  <c r="F201" i="4" s="1"/>
  <c r="G201" i="4" s="1"/>
  <c r="H201" i="4" s="1"/>
  <c r="I201" i="4" s="1"/>
  <c r="J201" i="4" s="1"/>
  <c r="K201" i="4" s="1"/>
  <c r="L201" i="4" s="1"/>
  <c r="M201" i="4" s="1"/>
  <c r="N201" i="4" s="1"/>
  <c r="O201" i="4" s="1"/>
  <c r="P201" i="4" s="1"/>
  <c r="Q201" i="4" s="1"/>
  <c r="R201" i="4" s="1"/>
  <c r="D206" i="4"/>
  <c r="C211" i="4"/>
  <c r="C214" i="4" s="1"/>
  <c r="C215" i="4" s="1"/>
  <c r="F307" i="4" l="1"/>
  <c r="D123" i="4"/>
  <c r="D137" i="4"/>
  <c r="D130" i="4"/>
  <c r="H252" i="4"/>
  <c r="E36" i="16"/>
  <c r="B37" i="16"/>
  <c r="G303" i="4"/>
  <c r="Q61" i="10"/>
  <c r="D115" i="4"/>
  <c r="O271" i="4"/>
  <c r="E206" i="4"/>
  <c r="E211" i="4" s="1"/>
  <c r="E214" i="4" s="1"/>
  <c r="C187" i="4"/>
  <c r="F253" i="4"/>
  <c r="R278" i="4"/>
  <c r="R276" i="4" s="1"/>
  <c r="D215" i="4"/>
  <c r="E215" i="4" s="1"/>
  <c r="F215" i="4" s="1"/>
  <c r="F100" i="4"/>
  <c r="F133" i="4" s="1"/>
  <c r="E133" i="4"/>
  <c r="D122" i="4"/>
  <c r="E121" i="4"/>
  <c r="D118" i="4"/>
  <c r="D114" i="4"/>
  <c r="E113" i="4"/>
  <c r="F135" i="4"/>
  <c r="N271" i="4"/>
  <c r="C191" i="4"/>
  <c r="D135" i="4"/>
  <c r="D119" i="4"/>
  <c r="E117" i="4"/>
  <c r="P271" i="4"/>
  <c r="F177" i="4"/>
  <c r="G177" i="4" s="1"/>
  <c r="H177" i="4" s="1"/>
  <c r="I177" i="4" s="1"/>
  <c r="J177" i="4" s="1"/>
  <c r="K177" i="4" s="1"/>
  <c r="L177" i="4" s="1"/>
  <c r="M177" i="4" s="1"/>
  <c r="N177" i="4" s="1"/>
  <c r="O177" i="4" s="1"/>
  <c r="P177" i="4" s="1"/>
  <c r="Q177" i="4" s="1"/>
  <c r="R177" i="4" s="1"/>
  <c r="E187" i="4"/>
  <c r="H108" i="4"/>
  <c r="H141" i="4" s="1"/>
  <c r="G141" i="4"/>
  <c r="F168" i="4"/>
  <c r="G168" i="4" s="1"/>
  <c r="E189" i="4"/>
  <c r="F98" i="4"/>
  <c r="F131" i="4" s="1"/>
  <c r="E131" i="4"/>
  <c r="F96" i="4"/>
  <c r="F129" i="4" s="1"/>
  <c r="E129" i="4"/>
  <c r="I252" i="4"/>
  <c r="H253" i="4"/>
  <c r="E257" i="4"/>
  <c r="D262" i="4"/>
  <c r="F137" i="4"/>
  <c r="E191" i="4"/>
  <c r="D189" i="4"/>
  <c r="D141" i="4"/>
  <c r="E137" i="4"/>
  <c r="E135" i="4"/>
  <c r="D133" i="4"/>
  <c r="D131" i="4"/>
  <c r="E130" i="4"/>
  <c r="D129" i="4"/>
  <c r="D124" i="4"/>
  <c r="E123" i="4"/>
  <c r="D121" i="4"/>
  <c r="D120" i="4"/>
  <c r="E119" i="4"/>
  <c r="D117" i="4"/>
  <c r="D116" i="4"/>
  <c r="E115" i="4"/>
  <c r="D113" i="4"/>
  <c r="G106" i="4"/>
  <c r="H106" i="4" s="1"/>
  <c r="I106" i="4" s="1"/>
  <c r="G104" i="4"/>
  <c r="G102" i="4"/>
  <c r="H102" i="4" s="1"/>
  <c r="H135" i="4" s="1"/>
  <c r="G251" i="4"/>
  <c r="F264" i="4"/>
  <c r="F263" i="4"/>
  <c r="C261" i="4"/>
  <c r="C265" i="4" s="1"/>
  <c r="F191" i="4"/>
  <c r="G170" i="4"/>
  <c r="F169" i="4"/>
  <c r="E190" i="4"/>
  <c r="G166" i="4"/>
  <c r="F165" i="4"/>
  <c r="E186" i="4"/>
  <c r="F189" i="4"/>
  <c r="F167" i="4"/>
  <c r="E188" i="4"/>
  <c r="E107" i="4"/>
  <c r="D140" i="4"/>
  <c r="E105" i="4"/>
  <c r="D138" i="4"/>
  <c r="E103" i="4"/>
  <c r="D136" i="4"/>
  <c r="E101" i="4"/>
  <c r="D134" i="4"/>
  <c r="E99" i="4"/>
  <c r="D132" i="4"/>
  <c r="G92" i="4"/>
  <c r="F124" i="4"/>
  <c r="G90" i="4"/>
  <c r="F122" i="4"/>
  <c r="G88" i="4"/>
  <c r="F120" i="4"/>
  <c r="G86" i="4"/>
  <c r="F118" i="4"/>
  <c r="G84" i="4"/>
  <c r="F116" i="4"/>
  <c r="G82" i="4"/>
  <c r="F114" i="4"/>
  <c r="D211" i="4"/>
  <c r="D214" i="4" s="1"/>
  <c r="D191" i="4"/>
  <c r="D190" i="4"/>
  <c r="D188" i="4"/>
  <c r="D187" i="4"/>
  <c r="D186" i="4"/>
  <c r="E141" i="4"/>
  <c r="E124" i="4"/>
  <c r="E122" i="4"/>
  <c r="E120" i="4"/>
  <c r="E118" i="4"/>
  <c r="E116" i="4"/>
  <c r="E114" i="4"/>
  <c r="F141" i="4"/>
  <c r="G97" i="4"/>
  <c r="F130" i="4"/>
  <c r="G93" i="4"/>
  <c r="G91" i="4"/>
  <c r="F123" i="4"/>
  <c r="G89" i="4"/>
  <c r="F121" i="4"/>
  <c r="G87" i="4"/>
  <c r="F119" i="4"/>
  <c r="G85" i="4"/>
  <c r="F117" i="4"/>
  <c r="G83" i="4"/>
  <c r="F115" i="4"/>
  <c r="G81" i="4"/>
  <c r="F113" i="4"/>
  <c r="D45" i="5"/>
  <c r="E45" i="5" s="1"/>
  <c r="F45" i="5" s="1"/>
  <c r="G45" i="5" s="1"/>
  <c r="H45" i="5" s="1"/>
  <c r="I45" i="5" s="1"/>
  <c r="J45" i="5" s="1"/>
  <c r="K45" i="5" s="1"/>
  <c r="L45" i="5" s="1"/>
  <c r="M45" i="5" s="1"/>
  <c r="N45" i="5" s="1"/>
  <c r="O45" i="5" s="1"/>
  <c r="P45" i="5" s="1"/>
  <c r="Q45" i="5" s="1"/>
  <c r="R45" i="5" s="1"/>
  <c r="D47" i="5"/>
  <c r="E47" i="5" s="1"/>
  <c r="F47" i="5" s="1"/>
  <c r="G47" i="5" s="1"/>
  <c r="H47" i="5" s="1"/>
  <c r="I47" i="5" s="1"/>
  <c r="J47" i="5" s="1"/>
  <c r="K47" i="5" s="1"/>
  <c r="L47" i="5" s="1"/>
  <c r="M47" i="5" s="1"/>
  <c r="N47" i="5" s="1"/>
  <c r="O47" i="5" s="1"/>
  <c r="P47" i="5" s="1"/>
  <c r="Q47" i="5" s="1"/>
  <c r="R47" i="5" s="1"/>
  <c r="D46" i="5"/>
  <c r="E46" i="5" s="1"/>
  <c r="F46" i="5" s="1"/>
  <c r="G46" i="5" s="1"/>
  <c r="H46" i="5" s="1"/>
  <c r="I46" i="5" s="1"/>
  <c r="J46" i="5" s="1"/>
  <c r="K46" i="5" s="1"/>
  <c r="L46" i="5" s="1"/>
  <c r="M46" i="5" s="1"/>
  <c r="N46" i="5" s="1"/>
  <c r="O46" i="5" s="1"/>
  <c r="P46" i="5" s="1"/>
  <c r="Q46" i="5" s="1"/>
  <c r="R46" i="5" s="1"/>
  <c r="R62" i="5"/>
  <c r="D11" i="7"/>
  <c r="E11" i="7" s="1"/>
  <c r="F11" i="7" s="1"/>
  <c r="G11" i="7" s="1"/>
  <c r="H11" i="7" s="1"/>
  <c r="I11" i="7" s="1"/>
  <c r="J11" i="7" s="1"/>
  <c r="K11" i="7" s="1"/>
  <c r="L11" i="7" s="1"/>
  <c r="M11" i="7" s="1"/>
  <c r="N11" i="7" s="1"/>
  <c r="O11" i="7" s="1"/>
  <c r="P11" i="7" s="1"/>
  <c r="Q11" i="7" s="1"/>
  <c r="R11" i="7" s="1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C39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C26" i="2"/>
  <c r="S35" i="3"/>
  <c r="D26" i="3"/>
  <c r="D37" i="3" s="1"/>
  <c r="E26" i="3"/>
  <c r="E37" i="3" s="1"/>
  <c r="F26" i="3"/>
  <c r="F37" i="3" s="1"/>
  <c r="G26" i="3"/>
  <c r="G37" i="3" s="1"/>
  <c r="H26" i="3"/>
  <c r="H37" i="3" s="1"/>
  <c r="I26" i="3"/>
  <c r="I37" i="3" s="1"/>
  <c r="J26" i="3"/>
  <c r="J37" i="3" s="1"/>
  <c r="K26" i="3"/>
  <c r="K37" i="3" s="1"/>
  <c r="L26" i="3"/>
  <c r="L37" i="3" s="1"/>
  <c r="M26" i="3"/>
  <c r="M37" i="3" s="1"/>
  <c r="N26" i="3"/>
  <c r="N37" i="3" s="1"/>
  <c r="O26" i="3"/>
  <c r="O37" i="3" s="1"/>
  <c r="P26" i="3"/>
  <c r="P37" i="3" s="1"/>
  <c r="Q26" i="3"/>
  <c r="Q37" i="3" s="1"/>
  <c r="R26" i="3"/>
  <c r="C26" i="3"/>
  <c r="C25" i="3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C26" i="5"/>
  <c r="D3" i="7"/>
  <c r="R1" i="7"/>
  <c r="Q1" i="7"/>
  <c r="P1" i="7"/>
  <c r="O1" i="7"/>
  <c r="N1" i="7"/>
  <c r="M1" i="7"/>
  <c r="L1" i="7"/>
  <c r="K1" i="7"/>
  <c r="J1" i="7"/>
  <c r="I1" i="7"/>
  <c r="H1" i="7"/>
  <c r="G1" i="7"/>
  <c r="F1" i="7"/>
  <c r="E1" i="7"/>
  <c r="D1" i="7"/>
  <c r="C1" i="7"/>
  <c r="A1" i="7"/>
  <c r="R1" i="14"/>
  <c r="Q1" i="14"/>
  <c r="P1" i="14"/>
  <c r="O1" i="14"/>
  <c r="N1" i="14"/>
  <c r="M1" i="14"/>
  <c r="L1" i="14"/>
  <c r="K1" i="14"/>
  <c r="J1" i="14"/>
  <c r="I1" i="14"/>
  <c r="H1" i="14"/>
  <c r="G1" i="14"/>
  <c r="F1" i="14"/>
  <c r="E1" i="14"/>
  <c r="D1" i="14"/>
  <c r="C1" i="14"/>
  <c r="A1" i="14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D7" i="6"/>
  <c r="E7" i="6"/>
  <c r="F7" i="6"/>
  <c r="G7" i="6"/>
  <c r="I7" i="6"/>
  <c r="J7" i="6"/>
  <c r="K7" i="6"/>
  <c r="L7" i="6"/>
  <c r="N7" i="6"/>
  <c r="O7" i="6"/>
  <c r="P7" i="6"/>
  <c r="Q7" i="6"/>
  <c r="R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D24" i="6"/>
  <c r="E24" i="6" s="1"/>
  <c r="F24" i="6" s="1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C23" i="6"/>
  <c r="A10" i="6"/>
  <c r="H10" i="6" s="1"/>
  <c r="M10" i="6" s="1"/>
  <c r="R1" i="6"/>
  <c r="Q1" i="6"/>
  <c r="P1" i="6"/>
  <c r="O1" i="6"/>
  <c r="N1" i="6"/>
  <c r="M1" i="6"/>
  <c r="L1" i="6"/>
  <c r="K1" i="6"/>
  <c r="J1" i="6"/>
  <c r="I1" i="6"/>
  <c r="H1" i="6"/>
  <c r="G1" i="6"/>
  <c r="F1" i="6"/>
  <c r="E1" i="6"/>
  <c r="D1" i="6"/>
  <c r="C1" i="6"/>
  <c r="A1" i="6"/>
  <c r="F206" i="4" l="1"/>
  <c r="G96" i="4"/>
  <c r="F187" i="4"/>
  <c r="I102" i="4"/>
  <c r="G135" i="4"/>
  <c r="G307" i="4"/>
  <c r="S26" i="3"/>
  <c r="S37" i="3" s="1"/>
  <c r="R37" i="3"/>
  <c r="C37" i="3"/>
  <c r="M9" i="16"/>
  <c r="E37" i="16"/>
  <c r="B38" i="16"/>
  <c r="H303" i="4"/>
  <c r="R61" i="10"/>
  <c r="G148" i="4"/>
  <c r="G215" i="4" s="1"/>
  <c r="I108" i="4"/>
  <c r="J108" i="4" s="1"/>
  <c r="G98" i="4"/>
  <c r="C192" i="4"/>
  <c r="C194" i="4" s="1"/>
  <c r="C195" i="4" s="1"/>
  <c r="D195" i="4" s="1"/>
  <c r="E195" i="4" s="1"/>
  <c r="F195" i="4" s="1"/>
  <c r="G248" i="4"/>
  <c r="G100" i="4"/>
  <c r="G133" i="4" s="1"/>
  <c r="R271" i="4"/>
  <c r="D192" i="4"/>
  <c r="D194" i="4" s="1"/>
  <c r="H104" i="4"/>
  <c r="G137" i="4"/>
  <c r="F257" i="4"/>
  <c r="E262" i="4"/>
  <c r="I253" i="4"/>
  <c r="J252" i="4"/>
  <c r="H251" i="4"/>
  <c r="G263" i="4"/>
  <c r="G264" i="4"/>
  <c r="G147" i="4"/>
  <c r="G187" i="4" s="1"/>
  <c r="D261" i="4"/>
  <c r="D265" i="4" s="1"/>
  <c r="Q271" i="4"/>
  <c r="F211" i="4"/>
  <c r="F214" i="4" s="1"/>
  <c r="G206" i="4"/>
  <c r="H81" i="4"/>
  <c r="G113" i="4"/>
  <c r="H83" i="4"/>
  <c r="G115" i="4"/>
  <c r="H85" i="4"/>
  <c r="G117" i="4"/>
  <c r="H87" i="4"/>
  <c r="G119" i="4"/>
  <c r="H89" i="4"/>
  <c r="G121" i="4"/>
  <c r="H91" i="4"/>
  <c r="G123" i="4"/>
  <c r="H93" i="4"/>
  <c r="H97" i="4"/>
  <c r="G130" i="4"/>
  <c r="J102" i="4"/>
  <c r="I135" i="4"/>
  <c r="J106" i="4"/>
  <c r="H168" i="4"/>
  <c r="G189" i="4"/>
  <c r="E192" i="4"/>
  <c r="E194" i="4" s="1"/>
  <c r="H166" i="4"/>
  <c r="H170" i="4"/>
  <c r="H82" i="4"/>
  <c r="G114" i="4"/>
  <c r="H84" i="4"/>
  <c r="G116" i="4"/>
  <c r="H86" i="4"/>
  <c r="G118" i="4"/>
  <c r="H88" i="4"/>
  <c r="G120" i="4"/>
  <c r="H90" i="4"/>
  <c r="G122" i="4"/>
  <c r="H92" i="4"/>
  <c r="G124" i="4"/>
  <c r="H96" i="4"/>
  <c r="G129" i="4"/>
  <c r="H98" i="4"/>
  <c r="G131" i="4"/>
  <c r="F99" i="4"/>
  <c r="E132" i="4"/>
  <c r="F101" i="4"/>
  <c r="E134" i="4"/>
  <c r="F103" i="4"/>
  <c r="E136" i="4"/>
  <c r="F105" i="4"/>
  <c r="E138" i="4"/>
  <c r="F107" i="4"/>
  <c r="E140" i="4"/>
  <c r="G167" i="4"/>
  <c r="F188" i="4"/>
  <c r="G165" i="4"/>
  <c r="F186" i="4"/>
  <c r="G169" i="4"/>
  <c r="F190" i="4"/>
  <c r="E3" i="7"/>
  <c r="D25" i="3"/>
  <c r="D24" i="3" s="1"/>
  <c r="C24" i="3"/>
  <c r="C22" i="6"/>
  <c r="C17" i="6" s="1"/>
  <c r="H307" i="4" l="1"/>
  <c r="G195" i="4"/>
  <c r="H100" i="4"/>
  <c r="H133" i="4" s="1"/>
  <c r="B39" i="16"/>
  <c r="E38" i="16"/>
  <c r="I303" i="4"/>
  <c r="S61" i="10"/>
  <c r="H148" i="4"/>
  <c r="I141" i="4"/>
  <c r="F248" i="4"/>
  <c r="G191" i="4"/>
  <c r="H206" i="4"/>
  <c r="G211" i="4"/>
  <c r="G214" i="4" s="1"/>
  <c r="G257" i="4"/>
  <c r="F262" i="4"/>
  <c r="I251" i="4"/>
  <c r="H264" i="4"/>
  <c r="H147" i="4"/>
  <c r="H191" i="4" s="1"/>
  <c r="K252" i="4"/>
  <c r="J253" i="4"/>
  <c r="E261" i="4"/>
  <c r="E265" i="4" s="1"/>
  <c r="H137" i="4"/>
  <c r="I104" i="4"/>
  <c r="F192" i="4"/>
  <c r="F194" i="4" s="1"/>
  <c r="I170" i="4"/>
  <c r="I166" i="4"/>
  <c r="J141" i="4"/>
  <c r="K108" i="4"/>
  <c r="K106" i="4"/>
  <c r="J135" i="4"/>
  <c r="K102" i="4"/>
  <c r="I97" i="4"/>
  <c r="H130" i="4"/>
  <c r="I93" i="4"/>
  <c r="I91" i="4"/>
  <c r="H123" i="4"/>
  <c r="I89" i="4"/>
  <c r="H121" i="4"/>
  <c r="I87" i="4"/>
  <c r="H119" i="4"/>
  <c r="I85" i="4"/>
  <c r="H117" i="4"/>
  <c r="I83" i="4"/>
  <c r="H115" i="4"/>
  <c r="I81" i="4"/>
  <c r="H113" i="4"/>
  <c r="H169" i="4"/>
  <c r="G190" i="4"/>
  <c r="H165" i="4"/>
  <c r="G186" i="4"/>
  <c r="H167" i="4"/>
  <c r="G188" i="4"/>
  <c r="G107" i="4"/>
  <c r="F140" i="4"/>
  <c r="G105" i="4"/>
  <c r="F138" i="4"/>
  <c r="G103" i="4"/>
  <c r="F136" i="4"/>
  <c r="G101" i="4"/>
  <c r="F134" i="4"/>
  <c r="G99" i="4"/>
  <c r="F132" i="4"/>
  <c r="H131" i="4"/>
  <c r="I98" i="4"/>
  <c r="H129" i="4"/>
  <c r="I96" i="4"/>
  <c r="H124" i="4"/>
  <c r="I92" i="4"/>
  <c r="H122" i="4"/>
  <c r="I90" i="4"/>
  <c r="H120" i="4"/>
  <c r="I88" i="4"/>
  <c r="H118" i="4"/>
  <c r="I86" i="4"/>
  <c r="H116" i="4"/>
  <c r="I84" i="4"/>
  <c r="H114" i="4"/>
  <c r="I82" i="4"/>
  <c r="H189" i="4"/>
  <c r="I168" i="4"/>
  <c r="F3" i="7"/>
  <c r="E25" i="3"/>
  <c r="E24" i="3" s="1"/>
  <c r="C16" i="6"/>
  <c r="C15" i="6"/>
  <c r="C32" i="6"/>
  <c r="C19" i="6"/>
  <c r="C31" i="6"/>
  <c r="C33" i="6"/>
  <c r="C18" i="6"/>
  <c r="C13" i="6"/>
  <c r="C14" i="6"/>
  <c r="C28" i="6"/>
  <c r="C21" i="6"/>
  <c r="C65" i="5" s="1"/>
  <c r="D65" i="5" s="1"/>
  <c r="E65" i="5" s="1"/>
  <c r="F65" i="5" s="1"/>
  <c r="G65" i="5" s="1"/>
  <c r="H65" i="5" s="1"/>
  <c r="I65" i="5" s="1"/>
  <c r="J65" i="5" s="1"/>
  <c r="K65" i="5" s="1"/>
  <c r="L65" i="5" s="1"/>
  <c r="M65" i="5" s="1"/>
  <c r="N65" i="5" s="1"/>
  <c r="O65" i="5" s="1"/>
  <c r="P65" i="5" s="1"/>
  <c r="Q65" i="5" s="1"/>
  <c r="R65" i="5" s="1"/>
  <c r="I100" i="4" l="1"/>
  <c r="I307" i="4"/>
  <c r="B40" i="16"/>
  <c r="E39" i="16"/>
  <c r="H195" i="4"/>
  <c r="H215" i="4"/>
  <c r="J303" i="4"/>
  <c r="T61" i="10"/>
  <c r="I148" i="4"/>
  <c r="H187" i="4"/>
  <c r="I248" i="4"/>
  <c r="J100" i="4"/>
  <c r="I133" i="4"/>
  <c r="J104" i="4"/>
  <c r="I137" i="4"/>
  <c r="H257" i="4"/>
  <c r="G262" i="4"/>
  <c r="K253" i="4"/>
  <c r="L252" i="4"/>
  <c r="J251" i="4"/>
  <c r="I264" i="4"/>
  <c r="I147" i="4"/>
  <c r="I187" i="4" s="1"/>
  <c r="F261" i="4"/>
  <c r="F265" i="4" s="1"/>
  <c r="H211" i="4"/>
  <c r="H214" i="4" s="1"/>
  <c r="I206" i="4"/>
  <c r="J168" i="4"/>
  <c r="I189" i="4"/>
  <c r="J82" i="4"/>
  <c r="I114" i="4"/>
  <c r="J84" i="4"/>
  <c r="I116" i="4"/>
  <c r="J86" i="4"/>
  <c r="I118" i="4"/>
  <c r="J88" i="4"/>
  <c r="I120" i="4"/>
  <c r="J90" i="4"/>
  <c r="I122" i="4"/>
  <c r="J92" i="4"/>
  <c r="I124" i="4"/>
  <c r="J96" i="4"/>
  <c r="I129" i="4"/>
  <c r="J98" i="4"/>
  <c r="I131" i="4"/>
  <c r="G192" i="4"/>
  <c r="G194" i="4" s="1"/>
  <c r="L102" i="4"/>
  <c r="K135" i="4"/>
  <c r="L106" i="4"/>
  <c r="L108" i="4"/>
  <c r="K141" i="4"/>
  <c r="J166" i="4"/>
  <c r="J170" i="4"/>
  <c r="G132" i="4"/>
  <c r="H99" i="4"/>
  <c r="H101" i="4"/>
  <c r="G134" i="4"/>
  <c r="G136" i="4"/>
  <c r="H103" i="4"/>
  <c r="H105" i="4"/>
  <c r="G138" i="4"/>
  <c r="G140" i="4"/>
  <c r="H107" i="4"/>
  <c r="I167" i="4"/>
  <c r="H188" i="4"/>
  <c r="I165" i="4"/>
  <c r="H186" i="4"/>
  <c r="I169" i="4"/>
  <c r="H190" i="4"/>
  <c r="J81" i="4"/>
  <c r="I113" i="4"/>
  <c r="J83" i="4"/>
  <c r="I115" i="4"/>
  <c r="J85" i="4"/>
  <c r="I117" i="4"/>
  <c r="J87" i="4"/>
  <c r="I119" i="4"/>
  <c r="J89" i="4"/>
  <c r="I121" i="4"/>
  <c r="J91" i="4"/>
  <c r="I123" i="4"/>
  <c r="J93" i="4"/>
  <c r="I130" i="4"/>
  <c r="J97" i="4"/>
  <c r="G3" i="7"/>
  <c r="F25" i="3"/>
  <c r="F24" i="3" s="1"/>
  <c r="C27" i="6"/>
  <c r="C11" i="5"/>
  <c r="D11" i="5" s="1"/>
  <c r="E11" i="5" s="1"/>
  <c r="F11" i="5" s="1"/>
  <c r="G11" i="5" s="1"/>
  <c r="H11" i="5" s="1"/>
  <c r="I11" i="5" s="1"/>
  <c r="J11" i="5" s="1"/>
  <c r="K11" i="5" s="1"/>
  <c r="L11" i="5" s="1"/>
  <c r="M11" i="5" s="1"/>
  <c r="N11" i="5" s="1"/>
  <c r="O11" i="5" s="1"/>
  <c r="P11" i="5" s="1"/>
  <c r="Q11" i="5" s="1"/>
  <c r="R11" i="5" s="1"/>
  <c r="C30" i="6"/>
  <c r="C12" i="5" s="1"/>
  <c r="D12" i="5" s="1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D30" i="6"/>
  <c r="C12" i="6"/>
  <c r="J307" i="4" l="1"/>
  <c r="E40" i="16"/>
  <c r="B41" i="16"/>
  <c r="R40" i="6"/>
  <c r="D40" i="6"/>
  <c r="D42" i="6" s="1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C40" i="6"/>
  <c r="C42" i="6" s="1"/>
  <c r="C43" i="6" s="1"/>
  <c r="K303" i="4"/>
  <c r="U61" i="10"/>
  <c r="J148" i="4"/>
  <c r="I215" i="4"/>
  <c r="I195" i="4"/>
  <c r="I191" i="4"/>
  <c r="H248" i="4"/>
  <c r="J206" i="4"/>
  <c r="I211" i="4"/>
  <c r="I214" i="4" s="1"/>
  <c r="K251" i="4"/>
  <c r="J264" i="4"/>
  <c r="J147" i="4"/>
  <c r="J191" i="4" s="1"/>
  <c r="G261" i="4"/>
  <c r="G265" i="4" s="1"/>
  <c r="M252" i="4"/>
  <c r="L253" i="4"/>
  <c r="H258" i="4"/>
  <c r="I257" i="4"/>
  <c r="H262" i="4"/>
  <c r="K104" i="4"/>
  <c r="J137" i="4"/>
  <c r="K100" i="4"/>
  <c r="J133" i="4"/>
  <c r="K93" i="4"/>
  <c r="K91" i="4"/>
  <c r="J123" i="4"/>
  <c r="K89" i="4"/>
  <c r="J121" i="4"/>
  <c r="K87" i="4"/>
  <c r="J119" i="4"/>
  <c r="K85" i="4"/>
  <c r="J117" i="4"/>
  <c r="K83" i="4"/>
  <c r="J115" i="4"/>
  <c r="K81" i="4"/>
  <c r="J113" i="4"/>
  <c r="J169" i="4"/>
  <c r="I190" i="4"/>
  <c r="J165" i="4"/>
  <c r="I186" i="4"/>
  <c r="J167" i="4"/>
  <c r="I188" i="4"/>
  <c r="I105" i="4"/>
  <c r="H138" i="4"/>
  <c r="I101" i="4"/>
  <c r="H134" i="4"/>
  <c r="K170" i="4"/>
  <c r="K166" i="4"/>
  <c r="L141" i="4"/>
  <c r="M108" i="4"/>
  <c r="M106" i="4"/>
  <c r="L135" i="4"/>
  <c r="M102" i="4"/>
  <c r="J131" i="4"/>
  <c r="K98" i="4"/>
  <c r="K96" i="4"/>
  <c r="J129" i="4"/>
  <c r="K92" i="4"/>
  <c r="J124" i="4"/>
  <c r="K90" i="4"/>
  <c r="J122" i="4"/>
  <c r="K88" i="4"/>
  <c r="J120" i="4"/>
  <c r="K86" i="4"/>
  <c r="J118" i="4"/>
  <c r="K84" i="4"/>
  <c r="J116" i="4"/>
  <c r="K82" i="4"/>
  <c r="J114" i="4"/>
  <c r="J189" i="4"/>
  <c r="K168" i="4"/>
  <c r="K97" i="4"/>
  <c r="J130" i="4"/>
  <c r="H192" i="4"/>
  <c r="H194" i="4" s="1"/>
  <c r="I107" i="4"/>
  <c r="H140" i="4"/>
  <c r="I103" i="4"/>
  <c r="H136" i="4"/>
  <c r="I99" i="4"/>
  <c r="H132" i="4"/>
  <c r="C35" i="6"/>
  <c r="C64" i="5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C51" i="6"/>
  <c r="H3" i="7"/>
  <c r="G25" i="3"/>
  <c r="G24" i="3" s="1"/>
  <c r="E30" i="6"/>
  <c r="C53" i="6" l="1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K307" i="4"/>
  <c r="J195" i="4"/>
  <c r="J215" i="4"/>
  <c r="E41" i="16"/>
  <c r="B42" i="16"/>
  <c r="L303" i="4"/>
  <c r="V61" i="10"/>
  <c r="K148" i="4"/>
  <c r="C44" i="6"/>
  <c r="C287" i="4"/>
  <c r="J187" i="4"/>
  <c r="I258" i="4"/>
  <c r="H263" i="4"/>
  <c r="M253" i="4"/>
  <c r="N252" i="4"/>
  <c r="L251" i="4"/>
  <c r="K264" i="4"/>
  <c r="K147" i="4"/>
  <c r="K191" i="4" s="1"/>
  <c r="L100" i="4"/>
  <c r="K133" i="4"/>
  <c r="L104" i="4"/>
  <c r="K137" i="4"/>
  <c r="J257" i="4"/>
  <c r="I262" i="4"/>
  <c r="K206" i="4"/>
  <c r="J211" i="4"/>
  <c r="J214" i="4" s="1"/>
  <c r="J99" i="4"/>
  <c r="I132" i="4"/>
  <c r="J103" i="4"/>
  <c r="I136" i="4"/>
  <c r="J107" i="4"/>
  <c r="I140" i="4"/>
  <c r="L97" i="4"/>
  <c r="K130" i="4"/>
  <c r="L82" i="4"/>
  <c r="K114" i="4"/>
  <c r="L84" i="4"/>
  <c r="K116" i="4"/>
  <c r="L86" i="4"/>
  <c r="K118" i="4"/>
  <c r="L88" i="4"/>
  <c r="K120" i="4"/>
  <c r="L90" i="4"/>
  <c r="K122" i="4"/>
  <c r="L92" i="4"/>
  <c r="K124" i="4"/>
  <c r="L96" i="4"/>
  <c r="K129" i="4"/>
  <c r="I192" i="4"/>
  <c r="I194" i="4" s="1"/>
  <c r="L168" i="4"/>
  <c r="K189" i="4"/>
  <c r="L98" i="4"/>
  <c r="K131" i="4"/>
  <c r="N102" i="4"/>
  <c r="M135" i="4"/>
  <c r="N106" i="4"/>
  <c r="N108" i="4"/>
  <c r="M141" i="4"/>
  <c r="L166" i="4"/>
  <c r="L170" i="4"/>
  <c r="J101" i="4"/>
  <c r="I134" i="4"/>
  <c r="J105" i="4"/>
  <c r="I138" i="4"/>
  <c r="K167" i="4"/>
  <c r="J188" i="4"/>
  <c r="K165" i="4"/>
  <c r="J186" i="4"/>
  <c r="K169" i="4"/>
  <c r="J190" i="4"/>
  <c r="L81" i="4"/>
  <c r="K113" i="4"/>
  <c r="L83" i="4"/>
  <c r="K115" i="4"/>
  <c r="L85" i="4"/>
  <c r="K117" i="4"/>
  <c r="L87" i="4"/>
  <c r="K119" i="4"/>
  <c r="L89" i="4"/>
  <c r="K121" i="4"/>
  <c r="L91" i="4"/>
  <c r="K123" i="4"/>
  <c r="L93" i="4"/>
  <c r="D64" i="5"/>
  <c r="E64" i="5" s="1"/>
  <c r="F64" i="5" s="1"/>
  <c r="G64" i="5" s="1"/>
  <c r="H64" i="5" s="1"/>
  <c r="I64" i="5" s="1"/>
  <c r="J64" i="5" s="1"/>
  <c r="K64" i="5" s="1"/>
  <c r="L64" i="5" s="1"/>
  <c r="M64" i="5" s="1"/>
  <c r="N64" i="5" s="1"/>
  <c r="O64" i="5" s="1"/>
  <c r="P64" i="5" s="1"/>
  <c r="Q64" i="5" s="1"/>
  <c r="R64" i="5" s="1"/>
  <c r="C10" i="5"/>
  <c r="C55" i="6" s="1"/>
  <c r="I3" i="7"/>
  <c r="H25" i="3"/>
  <c r="H24" i="3" s="1"/>
  <c r="F30" i="6"/>
  <c r="L307" i="4" l="1"/>
  <c r="B43" i="16"/>
  <c r="E42" i="16"/>
  <c r="K187" i="4"/>
  <c r="K195" i="4"/>
  <c r="K215" i="4"/>
  <c r="M303" i="4"/>
  <c r="W61" i="10"/>
  <c r="L148" i="4"/>
  <c r="C291" i="4"/>
  <c r="C292" i="4"/>
  <c r="D287" i="4"/>
  <c r="C290" i="4"/>
  <c r="C289" i="4" s="1"/>
  <c r="K257" i="4"/>
  <c r="J262" i="4"/>
  <c r="M104" i="4"/>
  <c r="L137" i="4"/>
  <c r="M100" i="4"/>
  <c r="L133" i="4"/>
  <c r="J258" i="4"/>
  <c r="I263" i="4"/>
  <c r="I261" i="4" s="1"/>
  <c r="I265" i="4" s="1"/>
  <c r="H261" i="4"/>
  <c r="H265" i="4" s="1"/>
  <c r="L206" i="4"/>
  <c r="K211" i="4"/>
  <c r="K214" i="4" s="1"/>
  <c r="M251" i="4"/>
  <c r="L264" i="4"/>
  <c r="L147" i="4"/>
  <c r="L191" i="4" s="1"/>
  <c r="O252" i="4"/>
  <c r="N253" i="4"/>
  <c r="J192" i="4"/>
  <c r="J194" i="4" s="1"/>
  <c r="M170" i="4"/>
  <c r="M166" i="4"/>
  <c r="N141" i="4"/>
  <c r="O108" i="4"/>
  <c r="O106" i="4"/>
  <c r="N135" i="4"/>
  <c r="O102" i="4"/>
  <c r="L131" i="4"/>
  <c r="M98" i="4"/>
  <c r="L129" i="4"/>
  <c r="M96" i="4"/>
  <c r="L124" i="4"/>
  <c r="M92" i="4"/>
  <c r="L122" i="4"/>
  <c r="M90" i="4"/>
  <c r="L120" i="4"/>
  <c r="M88" i="4"/>
  <c r="L118" i="4"/>
  <c r="M86" i="4"/>
  <c r="L116" i="4"/>
  <c r="M84" i="4"/>
  <c r="L114" i="4"/>
  <c r="M82" i="4"/>
  <c r="M97" i="4"/>
  <c r="L130" i="4"/>
  <c r="M93" i="4"/>
  <c r="M91" i="4"/>
  <c r="L123" i="4"/>
  <c r="M89" i="4"/>
  <c r="L121" i="4"/>
  <c r="M87" i="4"/>
  <c r="L119" i="4"/>
  <c r="M85" i="4"/>
  <c r="L117" i="4"/>
  <c r="M83" i="4"/>
  <c r="L115" i="4"/>
  <c r="M81" i="4"/>
  <c r="L113" i="4"/>
  <c r="L169" i="4"/>
  <c r="K190" i="4"/>
  <c r="L165" i="4"/>
  <c r="K186" i="4"/>
  <c r="L167" i="4"/>
  <c r="K188" i="4"/>
  <c r="K105" i="4"/>
  <c r="J138" i="4"/>
  <c r="K101" i="4"/>
  <c r="J134" i="4"/>
  <c r="L189" i="4"/>
  <c r="M168" i="4"/>
  <c r="K107" i="4"/>
  <c r="J140" i="4"/>
  <c r="K103" i="4"/>
  <c r="J136" i="4"/>
  <c r="K99" i="4"/>
  <c r="J132" i="4"/>
  <c r="J3" i="7"/>
  <c r="I25" i="3"/>
  <c r="I24" i="3" s="1"/>
  <c r="G30" i="6"/>
  <c r="M307" i="4" l="1"/>
  <c r="B44" i="16"/>
  <c r="E43" i="16"/>
  <c r="N303" i="4"/>
  <c r="X61" i="10"/>
  <c r="M148" i="4"/>
  <c r="L215" i="4"/>
  <c r="L195" i="4"/>
  <c r="D292" i="4"/>
  <c r="E287" i="4"/>
  <c r="D291" i="4"/>
  <c r="D290" i="4"/>
  <c r="D289" i="4" s="1"/>
  <c r="L187" i="4"/>
  <c r="M206" i="4"/>
  <c r="L211" i="4"/>
  <c r="L214" i="4" s="1"/>
  <c r="O253" i="4"/>
  <c r="P252" i="4"/>
  <c r="N251" i="4"/>
  <c r="M147" i="4"/>
  <c r="M191" i="4" s="1"/>
  <c r="K258" i="4"/>
  <c r="J263" i="4"/>
  <c r="N100" i="4"/>
  <c r="M133" i="4"/>
  <c r="N104" i="4"/>
  <c r="M137" i="4"/>
  <c r="L257" i="4"/>
  <c r="K262" i="4"/>
  <c r="K132" i="4"/>
  <c r="L99" i="4"/>
  <c r="K136" i="4"/>
  <c r="L103" i="4"/>
  <c r="K140" i="4"/>
  <c r="L107" i="4"/>
  <c r="N168" i="4"/>
  <c r="M189" i="4"/>
  <c r="K192" i="4"/>
  <c r="K194" i="4" s="1"/>
  <c r="N97" i="4"/>
  <c r="M130" i="4"/>
  <c r="N98" i="4"/>
  <c r="M131" i="4"/>
  <c r="P102" i="4"/>
  <c r="O135" i="4"/>
  <c r="P106" i="4"/>
  <c r="P108" i="4"/>
  <c r="O141" i="4"/>
  <c r="N166" i="4"/>
  <c r="N170" i="4"/>
  <c r="L101" i="4"/>
  <c r="K134" i="4"/>
  <c r="L105" i="4"/>
  <c r="K138" i="4"/>
  <c r="M167" i="4"/>
  <c r="L188" i="4"/>
  <c r="M165" i="4"/>
  <c r="L186" i="4"/>
  <c r="M169" i="4"/>
  <c r="L190" i="4"/>
  <c r="N81" i="4"/>
  <c r="M113" i="4"/>
  <c r="N83" i="4"/>
  <c r="M115" i="4"/>
  <c r="N85" i="4"/>
  <c r="M117" i="4"/>
  <c r="N87" i="4"/>
  <c r="M119" i="4"/>
  <c r="N89" i="4"/>
  <c r="M121" i="4"/>
  <c r="N91" i="4"/>
  <c r="M123" i="4"/>
  <c r="N93" i="4"/>
  <c r="N82" i="4"/>
  <c r="M114" i="4"/>
  <c r="N84" i="4"/>
  <c r="M116" i="4"/>
  <c r="N86" i="4"/>
  <c r="M118" i="4"/>
  <c r="N88" i="4"/>
  <c r="M120" i="4"/>
  <c r="N90" i="4"/>
  <c r="M122" i="4"/>
  <c r="N92" i="4"/>
  <c r="M124" i="4"/>
  <c r="N96" i="4"/>
  <c r="M129" i="4"/>
  <c r="K3" i="7"/>
  <c r="J25" i="3"/>
  <c r="J24" i="3" s="1"/>
  <c r="H30" i="6"/>
  <c r="N307" i="4" l="1"/>
  <c r="M215" i="4"/>
  <c r="C294" i="4"/>
  <c r="C61" i="4" s="1"/>
  <c r="C311" i="4"/>
  <c r="C310" i="4"/>
  <c r="C314" i="4" s="1"/>
  <c r="M195" i="4"/>
  <c r="E44" i="16"/>
  <c r="B45" i="16"/>
  <c r="M187" i="4"/>
  <c r="O303" i="4"/>
  <c r="Y61" i="10"/>
  <c r="N148" i="4"/>
  <c r="F287" i="4"/>
  <c r="E292" i="4"/>
  <c r="E291" i="4"/>
  <c r="E290" i="4"/>
  <c r="E289" i="4" s="1"/>
  <c r="Q252" i="4"/>
  <c r="P253" i="4"/>
  <c r="J261" i="4"/>
  <c r="J265" i="4" s="1"/>
  <c r="N206" i="4"/>
  <c r="M211" i="4"/>
  <c r="M214" i="4" s="1"/>
  <c r="M257" i="4"/>
  <c r="L262" i="4"/>
  <c r="N137" i="4"/>
  <c r="O104" i="4"/>
  <c r="N133" i="4"/>
  <c r="O100" i="4"/>
  <c r="L258" i="4"/>
  <c r="K263" i="4"/>
  <c r="O251" i="4"/>
  <c r="N147" i="4"/>
  <c r="N191" i="4" s="1"/>
  <c r="O96" i="4"/>
  <c r="N129" i="4"/>
  <c r="O92" i="4"/>
  <c r="N124" i="4"/>
  <c r="O90" i="4"/>
  <c r="N122" i="4"/>
  <c r="O88" i="4"/>
  <c r="N120" i="4"/>
  <c r="O86" i="4"/>
  <c r="N118" i="4"/>
  <c r="O84" i="4"/>
  <c r="N116" i="4"/>
  <c r="O82" i="4"/>
  <c r="N114" i="4"/>
  <c r="O93" i="4"/>
  <c r="O91" i="4"/>
  <c r="N123" i="4"/>
  <c r="O89" i="4"/>
  <c r="N121" i="4"/>
  <c r="O87" i="4"/>
  <c r="N119" i="4"/>
  <c r="O85" i="4"/>
  <c r="N117" i="4"/>
  <c r="O83" i="4"/>
  <c r="N115" i="4"/>
  <c r="O81" i="4"/>
  <c r="N113" i="4"/>
  <c r="N169" i="4"/>
  <c r="M190" i="4"/>
  <c r="N165" i="4"/>
  <c r="M186" i="4"/>
  <c r="N167" i="4"/>
  <c r="M188" i="4"/>
  <c r="M105" i="4"/>
  <c r="L138" i="4"/>
  <c r="M101" i="4"/>
  <c r="L134" i="4"/>
  <c r="O97" i="4"/>
  <c r="N130" i="4"/>
  <c r="M107" i="4"/>
  <c r="L140" i="4"/>
  <c r="M103" i="4"/>
  <c r="L136" i="4"/>
  <c r="M99" i="4"/>
  <c r="L132" i="4"/>
  <c r="L192" i="4"/>
  <c r="L194" i="4" s="1"/>
  <c r="O170" i="4"/>
  <c r="O166" i="4"/>
  <c r="P141" i="4"/>
  <c r="Q108" i="4"/>
  <c r="Q106" i="4"/>
  <c r="P135" i="4"/>
  <c r="Q102" i="4"/>
  <c r="N131" i="4"/>
  <c r="O98" i="4"/>
  <c r="N189" i="4"/>
  <c r="O168" i="4"/>
  <c r="L3" i="7"/>
  <c r="K25" i="3"/>
  <c r="K24" i="3" s="1"/>
  <c r="I30" i="6"/>
  <c r="C152" i="4" l="1"/>
  <c r="C295" i="4"/>
  <c r="O307" i="4"/>
  <c r="D294" i="4"/>
  <c r="D152" i="4" s="1"/>
  <c r="D310" i="4"/>
  <c r="D314" i="4" s="1"/>
  <c r="D311" i="4"/>
  <c r="E45" i="16"/>
  <c r="B46" i="16"/>
  <c r="N195" i="4"/>
  <c r="N215" i="4"/>
  <c r="P303" i="4"/>
  <c r="Z61" i="10"/>
  <c r="O148" i="4"/>
  <c r="G287" i="4"/>
  <c r="F291" i="4"/>
  <c r="F292" i="4"/>
  <c r="F272" i="4"/>
  <c r="C125" i="4"/>
  <c r="C126" i="4" s="1"/>
  <c r="C74" i="4"/>
  <c r="C139" i="4" s="1"/>
  <c r="C142" i="4" s="1"/>
  <c r="N187" i="4"/>
  <c r="P251" i="4"/>
  <c r="O147" i="4"/>
  <c r="O187" i="4" s="1"/>
  <c r="M258" i="4"/>
  <c r="M259" i="4" s="1"/>
  <c r="L263" i="4"/>
  <c r="L261" i="4" s="1"/>
  <c r="L265" i="4" s="1"/>
  <c r="N257" i="4"/>
  <c r="M262" i="4"/>
  <c r="N211" i="4"/>
  <c r="N214" i="4" s="1"/>
  <c r="O206" i="4"/>
  <c r="P100" i="4"/>
  <c r="O133" i="4"/>
  <c r="P104" i="4"/>
  <c r="O137" i="4"/>
  <c r="Q253" i="4"/>
  <c r="R252" i="4"/>
  <c r="R253" i="4" s="1"/>
  <c r="K261" i="4"/>
  <c r="K265" i="4" s="1"/>
  <c r="P168" i="4"/>
  <c r="O189" i="4"/>
  <c r="P98" i="4"/>
  <c r="O131" i="4"/>
  <c r="R102" i="4"/>
  <c r="R135" i="4" s="1"/>
  <c r="Q135" i="4"/>
  <c r="R106" i="4"/>
  <c r="R108" i="4"/>
  <c r="R141" i="4" s="1"/>
  <c r="Q141" i="4"/>
  <c r="P166" i="4"/>
  <c r="P170" i="4"/>
  <c r="M192" i="4"/>
  <c r="M194" i="4" s="1"/>
  <c r="N99" i="4"/>
  <c r="M132" i="4"/>
  <c r="N103" i="4"/>
  <c r="M136" i="4"/>
  <c r="N107" i="4"/>
  <c r="M140" i="4"/>
  <c r="P97" i="4"/>
  <c r="O130" i="4"/>
  <c r="N101" i="4"/>
  <c r="M134" i="4"/>
  <c r="N105" i="4"/>
  <c r="M138" i="4"/>
  <c r="O167" i="4"/>
  <c r="N188" i="4"/>
  <c r="O165" i="4"/>
  <c r="N186" i="4"/>
  <c r="O169" i="4"/>
  <c r="N190" i="4"/>
  <c r="P81" i="4"/>
  <c r="O113" i="4"/>
  <c r="P83" i="4"/>
  <c r="O115" i="4"/>
  <c r="P85" i="4"/>
  <c r="O117" i="4"/>
  <c r="P87" i="4"/>
  <c r="O119" i="4"/>
  <c r="P89" i="4"/>
  <c r="O121" i="4"/>
  <c r="P91" i="4"/>
  <c r="O123" i="4"/>
  <c r="P93" i="4"/>
  <c r="P82" i="4"/>
  <c r="O114" i="4"/>
  <c r="P84" i="4"/>
  <c r="O116" i="4"/>
  <c r="P86" i="4"/>
  <c r="O118" i="4"/>
  <c r="P88" i="4"/>
  <c r="O120" i="4"/>
  <c r="P90" i="4"/>
  <c r="O122" i="4"/>
  <c r="P92" i="4"/>
  <c r="O124" i="4"/>
  <c r="P96" i="4"/>
  <c r="O129" i="4"/>
  <c r="M3" i="7"/>
  <c r="L25" i="3"/>
  <c r="L24" i="3" s="1"/>
  <c r="J30" i="6"/>
  <c r="D61" i="4" l="1"/>
  <c r="D125" i="4" s="1"/>
  <c r="D126" i="4" s="1"/>
  <c r="P307" i="4"/>
  <c r="D295" i="4"/>
  <c r="E294" i="4"/>
  <c r="E295" i="4" s="1"/>
  <c r="E310" i="4"/>
  <c r="E314" i="4" s="1"/>
  <c r="E311" i="4"/>
  <c r="B47" i="16"/>
  <c r="E46" i="16"/>
  <c r="Q303" i="4"/>
  <c r="AA61" i="10"/>
  <c r="P148" i="4"/>
  <c r="O215" i="4"/>
  <c r="O195" i="4"/>
  <c r="O191" i="4"/>
  <c r="F271" i="4"/>
  <c r="K277" i="4"/>
  <c r="F290" i="4"/>
  <c r="F289" i="4" s="1"/>
  <c r="F310" i="4" s="1"/>
  <c r="F314" i="4" s="1"/>
  <c r="F318" i="4" s="1"/>
  <c r="C149" i="4"/>
  <c r="C150" i="4" s="1"/>
  <c r="H287" i="4"/>
  <c r="G272" i="4"/>
  <c r="G291" i="4"/>
  <c r="G292" i="4"/>
  <c r="P137" i="4"/>
  <c r="Q104" i="4"/>
  <c r="Q100" i="4"/>
  <c r="P133" i="4"/>
  <c r="N259" i="4"/>
  <c r="M264" i="4"/>
  <c r="P206" i="4"/>
  <c r="O211" i="4"/>
  <c r="O214" i="4" s="1"/>
  <c r="O257" i="4"/>
  <c r="N262" i="4"/>
  <c r="N258" i="4"/>
  <c r="M263" i="4"/>
  <c r="Q251" i="4"/>
  <c r="P147" i="4"/>
  <c r="P191" i="4" s="1"/>
  <c r="N192" i="4"/>
  <c r="N194" i="4" s="1"/>
  <c r="P129" i="4"/>
  <c r="Q96" i="4"/>
  <c r="P124" i="4"/>
  <c r="Q92" i="4"/>
  <c r="P122" i="4"/>
  <c r="Q90" i="4"/>
  <c r="P120" i="4"/>
  <c r="Q88" i="4"/>
  <c r="P118" i="4"/>
  <c r="Q86" i="4"/>
  <c r="P116" i="4"/>
  <c r="Q84" i="4"/>
  <c r="P114" i="4"/>
  <c r="Q82" i="4"/>
  <c r="Q93" i="4"/>
  <c r="Q91" i="4"/>
  <c r="P123" i="4"/>
  <c r="Q89" i="4"/>
  <c r="P121" i="4"/>
  <c r="Q87" i="4"/>
  <c r="P119" i="4"/>
  <c r="Q85" i="4"/>
  <c r="P117" i="4"/>
  <c r="Q83" i="4"/>
  <c r="P115" i="4"/>
  <c r="Q81" i="4"/>
  <c r="P113" i="4"/>
  <c r="P169" i="4"/>
  <c r="O190" i="4"/>
  <c r="P165" i="4"/>
  <c r="O186" i="4"/>
  <c r="P167" i="4"/>
  <c r="O188" i="4"/>
  <c r="O105" i="4"/>
  <c r="N138" i="4"/>
  <c r="O101" i="4"/>
  <c r="N134" i="4"/>
  <c r="Q97" i="4"/>
  <c r="P130" i="4"/>
  <c r="O107" i="4"/>
  <c r="N140" i="4"/>
  <c r="O103" i="4"/>
  <c r="N136" i="4"/>
  <c r="O99" i="4"/>
  <c r="N132" i="4"/>
  <c r="Q170" i="4"/>
  <c r="Q166" i="4"/>
  <c r="P131" i="4"/>
  <c r="Q98" i="4"/>
  <c r="P189" i="4"/>
  <c r="Q168" i="4"/>
  <c r="N3" i="7"/>
  <c r="M25" i="3"/>
  <c r="M24" i="3" s="1"/>
  <c r="K30" i="6"/>
  <c r="E61" i="4" l="1"/>
  <c r="E125" i="4" s="1"/>
  <c r="E126" i="4" s="1"/>
  <c r="E152" i="4"/>
  <c r="D74" i="4"/>
  <c r="D139" i="4" s="1"/>
  <c r="D142" i="4" s="1"/>
  <c r="D149" i="4" s="1"/>
  <c r="D150" i="4" s="1"/>
  <c r="Q307" i="4"/>
  <c r="F294" i="4"/>
  <c r="F295" i="4" s="1"/>
  <c r="F311" i="4"/>
  <c r="F285" i="4"/>
  <c r="P195" i="4"/>
  <c r="P215" i="4"/>
  <c r="B48" i="16"/>
  <c r="E47" i="16"/>
  <c r="R303" i="4"/>
  <c r="AB61" i="10"/>
  <c r="Q148" i="4"/>
  <c r="L277" i="4"/>
  <c r="G271" i="4"/>
  <c r="G290" i="4"/>
  <c r="G289" i="4" s="1"/>
  <c r="P282" i="4"/>
  <c r="P281" i="4" s="1"/>
  <c r="K276" i="4"/>
  <c r="I287" i="4"/>
  <c r="H292" i="4"/>
  <c r="H272" i="4"/>
  <c r="H291" i="4"/>
  <c r="F61" i="4"/>
  <c r="F152" i="4"/>
  <c r="P187" i="4"/>
  <c r="O258" i="4"/>
  <c r="N263" i="4"/>
  <c r="P257" i="4"/>
  <c r="O262" i="4"/>
  <c r="M261" i="4"/>
  <c r="M265" i="4" s="1"/>
  <c r="P211" i="4"/>
  <c r="P214" i="4" s="1"/>
  <c r="Q206" i="4"/>
  <c r="O259" i="4"/>
  <c r="N264" i="4"/>
  <c r="R104" i="4"/>
  <c r="R137" i="4" s="1"/>
  <c r="Q137" i="4"/>
  <c r="R251" i="4"/>
  <c r="Q147" i="4"/>
  <c r="Q187" i="4" s="1"/>
  <c r="R100" i="4"/>
  <c r="R133" i="4" s="1"/>
  <c r="Q133" i="4"/>
  <c r="R168" i="4"/>
  <c r="R189" i="4" s="1"/>
  <c r="Q189" i="4"/>
  <c r="R98" i="4"/>
  <c r="R131" i="4" s="1"/>
  <c r="Q131" i="4"/>
  <c r="R166" i="4"/>
  <c r="R170" i="4"/>
  <c r="O192" i="4"/>
  <c r="O194" i="4" s="1"/>
  <c r="R82" i="4"/>
  <c r="R114" i="4" s="1"/>
  <c r="Q114" i="4"/>
  <c r="R84" i="4"/>
  <c r="R116" i="4" s="1"/>
  <c r="Q116" i="4"/>
  <c r="R86" i="4"/>
  <c r="R118" i="4" s="1"/>
  <c r="Q118" i="4"/>
  <c r="R88" i="4"/>
  <c r="R120" i="4" s="1"/>
  <c r="Q120" i="4"/>
  <c r="R90" i="4"/>
  <c r="R122" i="4" s="1"/>
  <c r="Q122" i="4"/>
  <c r="R92" i="4"/>
  <c r="R124" i="4" s="1"/>
  <c r="Q124" i="4"/>
  <c r="R96" i="4"/>
  <c r="R129" i="4" s="1"/>
  <c r="Q129" i="4"/>
  <c r="O132" i="4"/>
  <c r="P99" i="4"/>
  <c r="O136" i="4"/>
  <c r="P103" i="4"/>
  <c r="O140" i="4"/>
  <c r="P107" i="4"/>
  <c r="Q130" i="4"/>
  <c r="R97" i="4"/>
  <c r="R130" i="4" s="1"/>
  <c r="P101" i="4"/>
  <c r="O134" i="4"/>
  <c r="P105" i="4"/>
  <c r="O138" i="4"/>
  <c r="Q167" i="4"/>
  <c r="P188" i="4"/>
  <c r="Q165" i="4"/>
  <c r="P186" i="4"/>
  <c r="Q169" i="4"/>
  <c r="P190" i="4"/>
  <c r="R81" i="4"/>
  <c r="R113" i="4" s="1"/>
  <c r="Q113" i="4"/>
  <c r="R83" i="4"/>
  <c r="R115" i="4" s="1"/>
  <c r="Q115" i="4"/>
  <c r="R85" i="4"/>
  <c r="R117" i="4" s="1"/>
  <c r="Q117" i="4"/>
  <c r="R87" i="4"/>
  <c r="R119" i="4" s="1"/>
  <c r="Q119" i="4"/>
  <c r="R89" i="4"/>
  <c r="R121" i="4" s="1"/>
  <c r="Q121" i="4"/>
  <c r="R91" i="4"/>
  <c r="R123" i="4" s="1"/>
  <c r="Q123" i="4"/>
  <c r="R93" i="4"/>
  <c r="O3" i="7"/>
  <c r="N25" i="3"/>
  <c r="N24" i="3" s="1"/>
  <c r="L30" i="6"/>
  <c r="E74" i="4" l="1"/>
  <c r="E139" i="4" s="1"/>
  <c r="E142" i="4" s="1"/>
  <c r="R307" i="4"/>
  <c r="G294" i="4"/>
  <c r="G61" i="4" s="1"/>
  <c r="G310" i="4"/>
  <c r="G314" i="4" s="1"/>
  <c r="G318" i="4" s="1"/>
  <c r="G311" i="4"/>
  <c r="E48" i="16"/>
  <c r="B49" i="16"/>
  <c r="Q195" i="4"/>
  <c r="Q215" i="4"/>
  <c r="AC61" i="10"/>
  <c r="R148" i="4"/>
  <c r="E149" i="4"/>
  <c r="E150" i="4" s="1"/>
  <c r="F74" i="4"/>
  <c r="F139" i="4" s="1"/>
  <c r="F142" i="4" s="1"/>
  <c r="F125" i="4"/>
  <c r="F126" i="4" s="1"/>
  <c r="H271" i="4"/>
  <c r="M277" i="4"/>
  <c r="H290" i="4"/>
  <c r="H289" i="4" s="1"/>
  <c r="J287" i="4"/>
  <c r="I272" i="4"/>
  <c r="I292" i="4"/>
  <c r="I291" i="4"/>
  <c r="G295" i="4"/>
  <c r="G152" i="4"/>
  <c r="Q282" i="4"/>
  <c r="Q281" i="4" s="1"/>
  <c r="L276" i="4"/>
  <c r="Q191" i="4"/>
  <c r="N261" i="4"/>
  <c r="N265" i="4" s="1"/>
  <c r="R147" i="4"/>
  <c r="R187" i="4" s="1"/>
  <c r="P259" i="4"/>
  <c r="O264" i="4"/>
  <c r="R206" i="4"/>
  <c r="Q211" i="4"/>
  <c r="Q214" i="4" s="1"/>
  <c r="Q257" i="4"/>
  <c r="P262" i="4"/>
  <c r="P258" i="4"/>
  <c r="O263" i="4"/>
  <c r="R169" i="4"/>
  <c r="R190" i="4" s="1"/>
  <c r="Q190" i="4"/>
  <c r="R165" i="4"/>
  <c r="R186" i="4" s="1"/>
  <c r="Q186" i="4"/>
  <c r="R167" i="4"/>
  <c r="R188" i="4" s="1"/>
  <c r="Q188" i="4"/>
  <c r="Q105" i="4"/>
  <c r="P138" i="4"/>
  <c r="Q101" i="4"/>
  <c r="P134" i="4"/>
  <c r="P192" i="4"/>
  <c r="P194" i="4" s="1"/>
  <c r="Q107" i="4"/>
  <c r="P140" i="4"/>
  <c r="Q103" i="4"/>
  <c r="P136" i="4"/>
  <c r="Q99" i="4"/>
  <c r="P132" i="4"/>
  <c r="P3" i="7"/>
  <c r="O25" i="3"/>
  <c r="O24" i="3" s="1"/>
  <c r="M30" i="6"/>
  <c r="H294" i="4" l="1"/>
  <c r="H152" i="4" s="1"/>
  <c r="H310" i="4"/>
  <c r="H314" i="4" s="1"/>
  <c r="H318" i="4" s="1"/>
  <c r="H311" i="4"/>
  <c r="E49" i="16"/>
  <c r="B50" i="16"/>
  <c r="R215" i="4"/>
  <c r="R195" i="4"/>
  <c r="R211" i="4"/>
  <c r="R214" i="4" s="1"/>
  <c r="G74" i="4"/>
  <c r="G139" i="4" s="1"/>
  <c r="G142" i="4" s="1"/>
  <c r="G125" i="4"/>
  <c r="G126" i="4" s="1"/>
  <c r="N277" i="4"/>
  <c r="N276" i="4" s="1"/>
  <c r="I271" i="4"/>
  <c r="I290" i="4"/>
  <c r="I289" i="4" s="1"/>
  <c r="K287" i="4"/>
  <c r="J292" i="4"/>
  <c r="J290" i="4"/>
  <c r="J291" i="4"/>
  <c r="R282" i="4"/>
  <c r="R281" i="4" s="1"/>
  <c r="M276" i="4"/>
  <c r="F149" i="4"/>
  <c r="F150" i="4" s="1"/>
  <c r="F153" i="4" s="1"/>
  <c r="R191" i="4"/>
  <c r="R192" i="4" s="1"/>
  <c r="R194" i="4" s="1"/>
  <c r="Q258" i="4"/>
  <c r="P263" i="4"/>
  <c r="R257" i="4"/>
  <c r="R262" i="4" s="1"/>
  <c r="Q262" i="4"/>
  <c r="Q259" i="4"/>
  <c r="P264" i="4"/>
  <c r="O261" i="4"/>
  <c r="O265" i="4" s="1"/>
  <c r="R99" i="4"/>
  <c r="R132" i="4" s="1"/>
  <c r="Q132" i="4"/>
  <c r="R103" i="4"/>
  <c r="R136" i="4" s="1"/>
  <c r="Q136" i="4"/>
  <c r="R107" i="4"/>
  <c r="R140" i="4" s="1"/>
  <c r="Q140" i="4"/>
  <c r="R101" i="4"/>
  <c r="R134" i="4" s="1"/>
  <c r="Q134" i="4"/>
  <c r="R105" i="4"/>
  <c r="R138" i="4" s="1"/>
  <c r="Q138" i="4"/>
  <c r="Q192" i="4"/>
  <c r="Q194" i="4" s="1"/>
  <c r="Q3" i="7"/>
  <c r="P25" i="3"/>
  <c r="P24" i="3" s="1"/>
  <c r="N30" i="6"/>
  <c r="H61" i="4" l="1"/>
  <c r="H74" i="4" s="1"/>
  <c r="H139" i="4" s="1"/>
  <c r="H142" i="4" s="1"/>
  <c r="H295" i="4"/>
  <c r="I294" i="4"/>
  <c r="I61" i="4" s="1"/>
  <c r="I310" i="4"/>
  <c r="I314" i="4" s="1"/>
  <c r="I318" i="4" s="1"/>
  <c r="I311" i="4"/>
  <c r="B51" i="16"/>
  <c r="E50" i="16"/>
  <c r="I152" i="4"/>
  <c r="J289" i="4"/>
  <c r="L287" i="4"/>
  <c r="K292" i="4"/>
  <c r="K290" i="4"/>
  <c r="K291" i="4"/>
  <c r="G149" i="4"/>
  <c r="G150" i="4" s="1"/>
  <c r="G153" i="4" s="1"/>
  <c r="R259" i="4"/>
  <c r="R264" i="4" s="1"/>
  <c r="Q264" i="4"/>
  <c r="R258" i="4"/>
  <c r="R263" i="4" s="1"/>
  <c r="Q263" i="4"/>
  <c r="P261" i="4"/>
  <c r="P265" i="4" s="1"/>
  <c r="R3" i="7"/>
  <c r="R25" i="3" s="1"/>
  <c r="Q25" i="3"/>
  <c r="Q24" i="3" s="1"/>
  <c r="O30" i="6"/>
  <c r="H125" i="4" l="1"/>
  <c r="H126" i="4" s="1"/>
  <c r="H149" i="4" s="1"/>
  <c r="H150" i="4" s="1"/>
  <c r="H153" i="4" s="1"/>
  <c r="I295" i="4"/>
  <c r="J294" i="4"/>
  <c r="J61" i="4" s="1"/>
  <c r="J310" i="4"/>
  <c r="J314" i="4" s="1"/>
  <c r="J318" i="4" s="1"/>
  <c r="J311" i="4"/>
  <c r="B52" i="16"/>
  <c r="E51" i="16"/>
  <c r="K289" i="4"/>
  <c r="M287" i="4"/>
  <c r="L292" i="4"/>
  <c r="L290" i="4"/>
  <c r="L291" i="4"/>
  <c r="I125" i="4"/>
  <c r="I126" i="4" s="1"/>
  <c r="I74" i="4"/>
  <c r="I139" i="4" s="1"/>
  <c r="I142" i="4" s="1"/>
  <c r="R261" i="4"/>
  <c r="R265" i="4" s="1"/>
  <c r="Q261" i="4"/>
  <c r="Q265" i="4" s="1"/>
  <c r="R24" i="3"/>
  <c r="S25" i="3"/>
  <c r="S24" i="3" s="1"/>
  <c r="P30" i="6"/>
  <c r="J295" i="4" l="1"/>
  <c r="J152" i="4"/>
  <c r="K294" i="4"/>
  <c r="K61" i="4" s="1"/>
  <c r="K310" i="4"/>
  <c r="K314" i="4" s="1"/>
  <c r="K318" i="4" s="1"/>
  <c r="K311" i="4"/>
  <c r="E52" i="16"/>
  <c r="B53" i="16"/>
  <c r="K152" i="4"/>
  <c r="J74" i="4"/>
  <c r="J139" i="4" s="1"/>
  <c r="J142" i="4" s="1"/>
  <c r="J125" i="4"/>
  <c r="J126" i="4" s="1"/>
  <c r="I149" i="4"/>
  <c r="I150" i="4" s="1"/>
  <c r="I153" i="4" s="1"/>
  <c r="L289" i="4"/>
  <c r="N287" i="4"/>
  <c r="M290" i="4"/>
  <c r="M292" i="4"/>
  <c r="M291" i="4"/>
  <c r="R30" i="6"/>
  <c r="Q30" i="6"/>
  <c r="K295" i="4" l="1"/>
  <c r="L294" i="4"/>
  <c r="L310" i="4"/>
  <c r="L314" i="4" s="1"/>
  <c r="L318" i="4" s="1"/>
  <c r="L311" i="4"/>
  <c r="E53" i="16"/>
  <c r="B54" i="16"/>
  <c r="O287" i="4"/>
  <c r="N290" i="4"/>
  <c r="N292" i="4"/>
  <c r="N291" i="4"/>
  <c r="M289" i="4"/>
  <c r="L295" i="4"/>
  <c r="L152" i="4"/>
  <c r="L61" i="4"/>
  <c r="J149" i="4"/>
  <c r="J150" i="4" s="1"/>
  <c r="J153" i="4" s="1"/>
  <c r="K74" i="4"/>
  <c r="K139" i="4" s="1"/>
  <c r="K142" i="4" s="1"/>
  <c r="K125" i="4"/>
  <c r="K126" i="4" s="1"/>
  <c r="M294" i="4" l="1"/>
  <c r="M310" i="4"/>
  <c r="M314" i="4" s="1"/>
  <c r="M318" i="4" s="1"/>
  <c r="M311" i="4"/>
  <c r="B55" i="16"/>
  <c r="E54" i="16"/>
  <c r="L125" i="4"/>
  <c r="L126" i="4" s="1"/>
  <c r="L74" i="4"/>
  <c r="L139" i="4" s="1"/>
  <c r="L142" i="4" s="1"/>
  <c r="N289" i="4"/>
  <c r="K149" i="4"/>
  <c r="K150" i="4" s="1"/>
  <c r="K153" i="4" s="1"/>
  <c r="M295" i="4"/>
  <c r="M152" i="4"/>
  <c r="M61" i="4"/>
  <c r="P287" i="4"/>
  <c r="O290" i="4"/>
  <c r="O291" i="4"/>
  <c r="O292" i="4"/>
  <c r="N294" i="4" l="1"/>
  <c r="N295" i="4" s="1"/>
  <c r="N310" i="4"/>
  <c r="N314" i="4" s="1"/>
  <c r="N318" i="4" s="1"/>
  <c r="N311" i="4"/>
  <c r="B56" i="16"/>
  <c r="E55" i="16"/>
  <c r="Q287" i="4"/>
  <c r="P290" i="4"/>
  <c r="P291" i="4"/>
  <c r="P292" i="4"/>
  <c r="O289" i="4"/>
  <c r="M74" i="4"/>
  <c r="M139" i="4" s="1"/>
  <c r="M142" i="4" s="1"/>
  <c r="M125" i="4"/>
  <c r="M126" i="4" s="1"/>
  <c r="N152" i="4"/>
  <c r="N61" i="4"/>
  <c r="L149" i="4"/>
  <c r="L150" i="4" s="1"/>
  <c r="L153" i="4" s="1"/>
  <c r="A1" i="5"/>
  <c r="C1" i="5"/>
  <c r="D1" i="5"/>
  <c r="E1" i="5"/>
  <c r="F1" i="5"/>
  <c r="G1" i="5"/>
  <c r="H1" i="5"/>
  <c r="I1" i="5"/>
  <c r="J1" i="5"/>
  <c r="K1" i="5"/>
  <c r="L1" i="5"/>
  <c r="M1" i="5"/>
  <c r="N1" i="5"/>
  <c r="O1" i="5"/>
  <c r="P1" i="5"/>
  <c r="Q1" i="5"/>
  <c r="R1" i="5"/>
  <c r="O10" i="10"/>
  <c r="B32" i="4"/>
  <c r="A1" i="4"/>
  <c r="E42" i="6"/>
  <c r="Q1" i="4"/>
  <c r="R1" i="4"/>
  <c r="P1" i="4"/>
  <c r="O1" i="4"/>
  <c r="N1" i="4"/>
  <c r="M1" i="4"/>
  <c r="L1" i="4"/>
  <c r="K1" i="4"/>
  <c r="J1" i="4"/>
  <c r="I1" i="4"/>
  <c r="H1" i="4"/>
  <c r="G1" i="4"/>
  <c r="F1" i="4"/>
  <c r="E1" i="4"/>
  <c r="D1" i="4"/>
  <c r="C1" i="4"/>
  <c r="S10" i="10"/>
  <c r="Q10" i="10"/>
  <c r="P10" i="10"/>
  <c r="D13" i="10"/>
  <c r="D60" i="10" s="1"/>
  <c r="E13" i="10"/>
  <c r="E60" i="10" s="1"/>
  <c r="F13" i="10"/>
  <c r="F60" i="10" s="1"/>
  <c r="G13" i="10"/>
  <c r="H13" i="10"/>
  <c r="H60" i="10" s="1"/>
  <c r="I13" i="10"/>
  <c r="I60" i="10" s="1"/>
  <c r="J13" i="10"/>
  <c r="J60" i="10" s="1"/>
  <c r="K13" i="10"/>
  <c r="K60" i="10" s="1"/>
  <c r="L13" i="10"/>
  <c r="L60" i="10" s="1"/>
  <c r="M13" i="10"/>
  <c r="C13" i="10"/>
  <c r="E11" i="10"/>
  <c r="F11" i="10"/>
  <c r="G11" i="10"/>
  <c r="H11" i="10"/>
  <c r="I11" i="10"/>
  <c r="J11" i="10"/>
  <c r="K11" i="10"/>
  <c r="L11" i="10"/>
  <c r="M11" i="10"/>
  <c r="D11" i="10"/>
  <c r="M25" i="10"/>
  <c r="L25" i="10"/>
  <c r="K25" i="10"/>
  <c r="J25" i="10"/>
  <c r="I25" i="10"/>
  <c r="H25" i="10"/>
  <c r="G25" i="10"/>
  <c r="F25" i="10"/>
  <c r="E25" i="10"/>
  <c r="D25" i="10"/>
  <c r="E8" i="10"/>
  <c r="F8" i="10"/>
  <c r="F16" i="10" s="1"/>
  <c r="F17" i="10" s="1"/>
  <c r="G8" i="10"/>
  <c r="G16" i="10" s="1"/>
  <c r="H8" i="10"/>
  <c r="I8" i="10"/>
  <c r="I16" i="10" s="1"/>
  <c r="I17" i="10" s="1"/>
  <c r="J8" i="10"/>
  <c r="J16" i="10" s="1"/>
  <c r="K8" i="10"/>
  <c r="L8" i="10"/>
  <c r="L16" i="10" s="1"/>
  <c r="M8" i="10"/>
  <c r="D8" i="10"/>
  <c r="D16" i="10" s="1"/>
  <c r="S7" i="10"/>
  <c r="Q24" i="10"/>
  <c r="P24" i="10"/>
  <c r="Q7" i="10"/>
  <c r="P7" i="10"/>
  <c r="O7" i="10"/>
  <c r="C55" i="10"/>
  <c r="D55" i="10"/>
  <c r="E55" i="10"/>
  <c r="F55" i="10"/>
  <c r="G55" i="10"/>
  <c r="H55" i="10"/>
  <c r="I55" i="10"/>
  <c r="C48" i="10"/>
  <c r="C37" i="10"/>
  <c r="O294" i="4" l="1"/>
  <c r="O61" i="4" s="1"/>
  <c r="O310" i="4"/>
  <c r="O314" i="4" s="1"/>
  <c r="O318" i="4" s="1"/>
  <c r="O311" i="4"/>
  <c r="E56" i="16"/>
  <c r="B57" i="16"/>
  <c r="G14" i="10"/>
  <c r="G60" i="10"/>
  <c r="H16" i="10"/>
  <c r="C17" i="10"/>
  <c r="C60" i="10"/>
  <c r="M60" i="10"/>
  <c r="C306" i="4"/>
  <c r="E16" i="10"/>
  <c r="E17" i="10" s="1"/>
  <c r="K16" i="10"/>
  <c r="J17" i="10"/>
  <c r="P289" i="4"/>
  <c r="N74" i="4"/>
  <c r="N139" i="4" s="1"/>
  <c r="N142" i="4" s="1"/>
  <c r="N125" i="4"/>
  <c r="N126" i="4" s="1"/>
  <c r="M149" i="4"/>
  <c r="M150" i="4" s="1"/>
  <c r="M153" i="4" s="1"/>
  <c r="R287" i="4"/>
  <c r="Q290" i="4"/>
  <c r="Q291" i="4"/>
  <c r="Q292" i="4"/>
  <c r="L17" i="10"/>
  <c r="H17" i="10"/>
  <c r="D17" i="10"/>
  <c r="K17" i="10"/>
  <c r="M16" i="10"/>
  <c r="M17" i="10" s="1"/>
  <c r="Q17" i="10" s="1"/>
  <c r="I14" i="10"/>
  <c r="E14" i="10"/>
  <c r="G17" i="10"/>
  <c r="S13" i="10"/>
  <c r="H14" i="10"/>
  <c r="O13" i="10"/>
  <c r="E304" i="4" s="1"/>
  <c r="F304" i="4" s="1"/>
  <c r="G304" i="4" s="1"/>
  <c r="H304" i="4" s="1"/>
  <c r="I304" i="4" s="1"/>
  <c r="J304" i="4" s="1"/>
  <c r="K304" i="4" s="1"/>
  <c r="L304" i="4" s="1"/>
  <c r="M304" i="4" s="1"/>
  <c r="N304" i="4" s="1"/>
  <c r="O304" i="4" s="1"/>
  <c r="P304" i="4" s="1"/>
  <c r="Q304" i="4" s="1"/>
  <c r="R304" i="4" s="1"/>
  <c r="D14" i="10"/>
  <c r="F14" i="10"/>
  <c r="M14" i="10"/>
  <c r="L14" i="10"/>
  <c r="Q13" i="10"/>
  <c r="J14" i="10"/>
  <c r="P13" i="10"/>
  <c r="K14" i="10"/>
  <c r="D1" i="3"/>
  <c r="E1" i="3"/>
  <c r="F1" i="3"/>
  <c r="G1" i="3"/>
  <c r="H1" i="3"/>
  <c r="I1" i="3"/>
  <c r="J1" i="3"/>
  <c r="K1" i="3"/>
  <c r="L1" i="3"/>
  <c r="M1" i="3"/>
  <c r="N1" i="3"/>
  <c r="O1" i="3"/>
  <c r="P1" i="3"/>
  <c r="Q1" i="3"/>
  <c r="R1" i="3"/>
  <c r="C1" i="3"/>
  <c r="C68" i="2"/>
  <c r="C59" i="2"/>
  <c r="C31" i="2"/>
  <c r="C18" i="2"/>
  <c r="C5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D59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D31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D18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D5" i="2"/>
  <c r="O152" i="4" l="1"/>
  <c r="O295" i="4"/>
  <c r="D306" i="4"/>
  <c r="C315" i="4"/>
  <c r="C321" i="4" s="1"/>
  <c r="C332" i="4" s="1"/>
  <c r="C8" i="4" s="1"/>
  <c r="P294" i="4"/>
  <c r="P295" i="4" s="1"/>
  <c r="P310" i="4"/>
  <c r="P314" i="4" s="1"/>
  <c r="P318" i="4" s="1"/>
  <c r="P311" i="4"/>
  <c r="E57" i="16"/>
  <c r="B58" i="16"/>
  <c r="C33" i="4"/>
  <c r="R290" i="4"/>
  <c r="R292" i="4"/>
  <c r="R291" i="4"/>
  <c r="Q289" i="4"/>
  <c r="O125" i="4"/>
  <c r="O126" i="4" s="1"/>
  <c r="O74" i="4"/>
  <c r="O139" i="4" s="1"/>
  <c r="O142" i="4" s="1"/>
  <c r="N149" i="4"/>
  <c r="N150" i="4" s="1"/>
  <c r="N153" i="4" s="1"/>
  <c r="F42" i="6"/>
  <c r="D23" i="6"/>
  <c r="D22" i="6" s="1"/>
  <c r="D21" i="6" s="1"/>
  <c r="C7" i="4"/>
  <c r="S17" i="10"/>
  <c r="O17" i="10"/>
  <c r="P17" i="10"/>
  <c r="D33" i="4"/>
  <c r="O60" i="10" s="1"/>
  <c r="C20" i="5" l="1"/>
  <c r="C53" i="5" s="1"/>
  <c r="C13" i="14" s="1"/>
  <c r="P152" i="4"/>
  <c r="C328" i="4"/>
  <c r="C3" i="4"/>
  <c r="E306" i="4"/>
  <c r="D315" i="4"/>
  <c r="D321" i="4" s="1"/>
  <c r="D332" i="4" s="1"/>
  <c r="D8" i="4" s="1"/>
  <c r="P61" i="4"/>
  <c r="P125" i="4" s="1"/>
  <c r="P126" i="4" s="1"/>
  <c r="Q294" i="4"/>
  <c r="Q295" i="4" s="1"/>
  <c r="Q310" i="4"/>
  <c r="Q314" i="4" s="1"/>
  <c r="Q318" i="4" s="1"/>
  <c r="Q311" i="4"/>
  <c r="B59" i="16"/>
  <c r="E58" i="16"/>
  <c r="C154" i="4"/>
  <c r="N60" i="10"/>
  <c r="D154" i="4"/>
  <c r="Q152" i="4"/>
  <c r="Q61" i="4"/>
  <c r="O149" i="4"/>
  <c r="O150" i="4" s="1"/>
  <c r="O153" i="4" s="1"/>
  <c r="R289" i="4"/>
  <c r="D35" i="6"/>
  <c r="D20" i="14" s="1"/>
  <c r="G42" i="6"/>
  <c r="C9" i="2"/>
  <c r="E23" i="6"/>
  <c r="E22" i="6" s="1"/>
  <c r="E21" i="6" s="1"/>
  <c r="C32" i="4"/>
  <c r="C9" i="6"/>
  <c r="C8" i="6" s="1"/>
  <c r="C7" i="6" s="1"/>
  <c r="D7" i="4"/>
  <c r="D32" i="4"/>
  <c r="C27" i="2" l="1"/>
  <c r="D20" i="5"/>
  <c r="D27" i="2" s="1"/>
  <c r="P74" i="4"/>
  <c r="P139" i="4" s="1"/>
  <c r="P142" i="4" s="1"/>
  <c r="P149" i="4" s="1"/>
  <c r="P150" i="4" s="1"/>
  <c r="P153" i="4" s="1"/>
  <c r="D3" i="4"/>
  <c r="D7" i="5" s="1"/>
  <c r="D328" i="4"/>
  <c r="F306" i="4"/>
  <c r="F315" i="4" s="1"/>
  <c r="F319" i="4" s="1"/>
  <c r="E315" i="4"/>
  <c r="E321" i="4" s="1"/>
  <c r="E332" i="4" s="1"/>
  <c r="E8" i="4" s="1"/>
  <c r="E33" i="4"/>
  <c r="R294" i="4"/>
  <c r="R152" i="4" s="1"/>
  <c r="R310" i="4"/>
  <c r="R314" i="4" s="1"/>
  <c r="R318" i="4" s="1"/>
  <c r="R311" i="4"/>
  <c r="C7" i="5"/>
  <c r="C51" i="5" s="1"/>
  <c r="C11" i="14" s="1"/>
  <c r="C223" i="4"/>
  <c r="C224" i="4" s="1"/>
  <c r="B60" i="16"/>
  <c r="E59" i="16"/>
  <c r="R295" i="4"/>
  <c r="R61" i="4"/>
  <c r="Q125" i="4"/>
  <c r="Q126" i="4" s="1"/>
  <c r="Q74" i="4"/>
  <c r="Q139" i="4" s="1"/>
  <c r="Q142" i="4" s="1"/>
  <c r="E35" i="6"/>
  <c r="E20" i="14" s="1"/>
  <c r="H42" i="6"/>
  <c r="C62" i="5"/>
  <c r="D3" i="3"/>
  <c r="D9" i="2"/>
  <c r="C3" i="3"/>
  <c r="C7" i="2"/>
  <c r="F23" i="6"/>
  <c r="F22" i="6" s="1"/>
  <c r="F21" i="6" s="1"/>
  <c r="C20" i="14"/>
  <c r="E7" i="4"/>
  <c r="E32" i="4"/>
  <c r="D7" i="2" l="1"/>
  <c r="D223" i="4"/>
  <c r="D224" i="4" s="1"/>
  <c r="D53" i="5"/>
  <c r="D13" i="14" s="1"/>
  <c r="E20" i="5"/>
  <c r="E27" i="2" s="1"/>
  <c r="E3" i="4"/>
  <c r="D62" i="5" s="1"/>
  <c r="E328" i="4"/>
  <c r="G306" i="4"/>
  <c r="F321" i="4"/>
  <c r="F332" i="4" s="1"/>
  <c r="F8" i="4" s="1"/>
  <c r="F33" i="4"/>
  <c r="P60" i="10"/>
  <c r="E154" i="4"/>
  <c r="C9" i="4"/>
  <c r="E60" i="16"/>
  <c r="B61" i="16"/>
  <c r="Q149" i="4"/>
  <c r="Q150" i="4" s="1"/>
  <c r="Q153" i="4" s="1"/>
  <c r="R125" i="4"/>
  <c r="R126" i="4" s="1"/>
  <c r="R74" i="4"/>
  <c r="R139" i="4" s="1"/>
  <c r="R142" i="4" s="1"/>
  <c r="F35" i="6"/>
  <c r="F20" i="14" s="1"/>
  <c r="I42" i="6"/>
  <c r="E9" i="2"/>
  <c r="D51" i="5"/>
  <c r="G23" i="6"/>
  <c r="G22" i="6" s="1"/>
  <c r="G21" i="6" s="1"/>
  <c r="F7" i="4"/>
  <c r="E7" i="5" l="1"/>
  <c r="E223" i="4"/>
  <c r="E224" i="4" s="1"/>
  <c r="E9" i="4" s="1"/>
  <c r="E53" i="5"/>
  <c r="E13" i="14" s="1"/>
  <c r="E7" i="2"/>
  <c r="E3" i="3"/>
  <c r="F20" i="5"/>
  <c r="F27" i="2" s="1"/>
  <c r="F3" i="4"/>
  <c r="F328" i="4"/>
  <c r="F4" i="4" s="1"/>
  <c r="H306" i="4"/>
  <c r="G315" i="4"/>
  <c r="G33" i="4"/>
  <c r="F154" i="4"/>
  <c r="F155" i="4" s="1"/>
  <c r="Q60" i="10"/>
  <c r="D9" i="4"/>
  <c r="E61" i="16"/>
  <c r="B62" i="16"/>
  <c r="R149" i="4"/>
  <c r="R150" i="4" s="1"/>
  <c r="R153" i="4" s="1"/>
  <c r="G35" i="6"/>
  <c r="G20" i="14" s="1"/>
  <c r="D11" i="14"/>
  <c r="J42" i="6"/>
  <c r="F9" i="2"/>
  <c r="C16" i="2"/>
  <c r="C21" i="14"/>
  <c r="E51" i="5"/>
  <c r="H23" i="6"/>
  <c r="H22" i="6" s="1"/>
  <c r="H21" i="6" s="1"/>
  <c r="H35" i="6" s="1"/>
  <c r="G7" i="4"/>
  <c r="F32" i="4"/>
  <c r="G321" i="4" l="1"/>
  <c r="G332" i="4" s="1"/>
  <c r="G8" i="4" s="1"/>
  <c r="G20" i="5" s="1"/>
  <c r="G27" i="2" s="1"/>
  <c r="G319" i="4"/>
  <c r="F223" i="4"/>
  <c r="F224" i="4" s="1"/>
  <c r="F9" i="4" s="1"/>
  <c r="F53" i="5"/>
  <c r="F13" i="14" s="1"/>
  <c r="G154" i="4"/>
  <c r="G155" i="4" s="1"/>
  <c r="R60" i="10"/>
  <c r="G3" i="4"/>
  <c r="I306" i="4"/>
  <c r="H315" i="4"/>
  <c r="H33" i="4"/>
  <c r="B63" i="16"/>
  <c r="E62" i="16"/>
  <c r="E11" i="14"/>
  <c r="K42" i="6"/>
  <c r="D44" i="6"/>
  <c r="D16" i="2" s="1"/>
  <c r="D43" i="6"/>
  <c r="D21" i="14"/>
  <c r="F7" i="5"/>
  <c r="E62" i="5"/>
  <c r="F3" i="3"/>
  <c r="F7" i="2"/>
  <c r="F38" i="2" s="1"/>
  <c r="G9" i="2"/>
  <c r="C46" i="6"/>
  <c r="C15" i="3"/>
  <c r="H9" i="6"/>
  <c r="I23" i="6"/>
  <c r="I22" i="6" s="1"/>
  <c r="I21" i="6" s="1"/>
  <c r="H7" i="4"/>
  <c r="G32" i="4"/>
  <c r="G328" i="4" l="1"/>
  <c r="G4" i="4" s="1"/>
  <c r="H321" i="4"/>
  <c r="H332" i="4" s="1"/>
  <c r="H8" i="4" s="1"/>
  <c r="H20" i="5" s="1"/>
  <c r="H27" i="2" s="1"/>
  <c r="H319" i="4"/>
  <c r="G53" i="5"/>
  <c r="G13" i="14" s="1"/>
  <c r="G223" i="4"/>
  <c r="G224" i="4" s="1"/>
  <c r="G9" i="4" s="1"/>
  <c r="H154" i="4"/>
  <c r="H155" i="4" s="1"/>
  <c r="S60" i="10"/>
  <c r="J306" i="4"/>
  <c r="I315" i="4"/>
  <c r="I33" i="4"/>
  <c r="B64" i="16"/>
  <c r="E63" i="16"/>
  <c r="D46" i="6"/>
  <c r="D15" i="3"/>
  <c r="I35" i="6"/>
  <c r="I20" i="14" s="1"/>
  <c r="H20" i="14"/>
  <c r="H8" i="6"/>
  <c r="H7" i="6" s="1"/>
  <c r="L42" i="6"/>
  <c r="E44" i="6"/>
  <c r="E16" i="2" s="1"/>
  <c r="E21" i="14"/>
  <c r="D10" i="5"/>
  <c r="D55" i="6" s="1"/>
  <c r="E43" i="6"/>
  <c r="G7" i="5"/>
  <c r="F62" i="5"/>
  <c r="G3" i="3"/>
  <c r="G18" i="3" s="1"/>
  <c r="G7" i="2"/>
  <c r="G38" i="2" s="1"/>
  <c r="F51" i="5"/>
  <c r="C4" i="4"/>
  <c r="C6" i="5" s="1"/>
  <c r="C52" i="5" s="1"/>
  <c r="J23" i="6"/>
  <c r="J22" i="6" s="1"/>
  <c r="J21" i="6" s="1"/>
  <c r="I7" i="4"/>
  <c r="H32" i="4"/>
  <c r="I32" i="4"/>
  <c r="H3" i="4" l="1"/>
  <c r="H223" i="4" s="1"/>
  <c r="H224" i="4" s="1"/>
  <c r="H9" i="4" s="1"/>
  <c r="H9" i="2"/>
  <c r="H328" i="4"/>
  <c r="H4" i="4" s="1"/>
  <c r="I321" i="4"/>
  <c r="I332" i="4" s="1"/>
  <c r="I8" i="4" s="1"/>
  <c r="I319" i="4"/>
  <c r="H53" i="5"/>
  <c r="H13" i="14" s="1"/>
  <c r="I20" i="5"/>
  <c r="I27" i="2" s="1"/>
  <c r="T60" i="10"/>
  <c r="I154" i="4"/>
  <c r="I155" i="4" s="1"/>
  <c r="K306" i="4"/>
  <c r="J315" i="4"/>
  <c r="J33" i="4"/>
  <c r="E64" i="16"/>
  <c r="B65" i="16"/>
  <c r="E46" i="6"/>
  <c r="J35" i="6"/>
  <c r="J20" i="14" s="1"/>
  <c r="C12" i="14"/>
  <c r="C10" i="14" s="1"/>
  <c r="C55" i="5"/>
  <c r="C16" i="3" s="1"/>
  <c r="F11" i="14"/>
  <c r="M42" i="6"/>
  <c r="F44" i="6"/>
  <c r="F16" i="2" s="1"/>
  <c r="F21" i="14"/>
  <c r="E15" i="3"/>
  <c r="F43" i="6"/>
  <c r="E10" i="5"/>
  <c r="E55" i="6" s="1"/>
  <c r="H7" i="5"/>
  <c r="G62" i="5"/>
  <c r="H3" i="3"/>
  <c r="H18" i="3" s="1"/>
  <c r="H7" i="2"/>
  <c r="H38" i="2" s="1"/>
  <c r="I9" i="2"/>
  <c r="C5" i="4"/>
  <c r="C4" i="3"/>
  <c r="G51" i="5"/>
  <c r="D4" i="4"/>
  <c r="D6" i="5" s="1"/>
  <c r="K23" i="6"/>
  <c r="K22" i="6" s="1"/>
  <c r="K21" i="6" s="1"/>
  <c r="J7" i="4"/>
  <c r="I3" i="4" l="1"/>
  <c r="I7" i="2" s="1"/>
  <c r="I38" i="2" s="1"/>
  <c r="I328" i="4"/>
  <c r="I4" i="4" s="1"/>
  <c r="J321" i="4"/>
  <c r="J332" i="4" s="1"/>
  <c r="J8" i="4" s="1"/>
  <c r="J9" i="2" s="1"/>
  <c r="J319" i="4"/>
  <c r="I53" i="5"/>
  <c r="I13" i="14" s="1"/>
  <c r="J20" i="5"/>
  <c r="J27" i="2" s="1"/>
  <c r="J154" i="4"/>
  <c r="U60" i="10"/>
  <c r="L306" i="4"/>
  <c r="K315" i="4"/>
  <c r="K33" i="4"/>
  <c r="E65" i="16"/>
  <c r="B66" i="16"/>
  <c r="F46" i="6"/>
  <c r="F15" i="3"/>
  <c r="K35" i="6"/>
  <c r="K20" i="14" s="1"/>
  <c r="G11" i="14"/>
  <c r="C24" i="4"/>
  <c r="C5" i="3" s="1"/>
  <c r="N42" i="6"/>
  <c r="G44" i="6"/>
  <c r="G16" i="2" s="1"/>
  <c r="G21" i="14"/>
  <c r="G43" i="6"/>
  <c r="F10" i="5"/>
  <c r="F55" i="6" s="1"/>
  <c r="C8" i="2"/>
  <c r="D5" i="4"/>
  <c r="D24" i="4" s="1"/>
  <c r="D4" i="3"/>
  <c r="H51" i="5"/>
  <c r="E4" i="4"/>
  <c r="E6" i="5" s="1"/>
  <c r="L23" i="6"/>
  <c r="L22" i="6" s="1"/>
  <c r="L21" i="6" s="1"/>
  <c r="K7" i="4"/>
  <c r="J32" i="4"/>
  <c r="J328" i="4" l="1"/>
  <c r="J4" i="4" s="1"/>
  <c r="J3" i="4"/>
  <c r="I3" i="3"/>
  <c r="I18" i="3" s="1"/>
  <c r="H62" i="5"/>
  <c r="I223" i="4"/>
  <c r="I224" i="4" s="1"/>
  <c r="I9" i="4" s="1"/>
  <c r="I7" i="5"/>
  <c r="I51" i="5" s="1"/>
  <c r="K321" i="4"/>
  <c r="K332" i="4" s="1"/>
  <c r="K8" i="4" s="1"/>
  <c r="K9" i="2" s="1"/>
  <c r="K319" i="4"/>
  <c r="J53" i="5"/>
  <c r="J13" i="14" s="1"/>
  <c r="J223" i="4"/>
  <c r="J224" i="4" s="1"/>
  <c r="J9" i="4" s="1"/>
  <c r="K154" i="4"/>
  <c r="K155" i="4" s="1"/>
  <c r="V60" i="10"/>
  <c r="M306" i="4"/>
  <c r="L315" i="4"/>
  <c r="L33" i="4"/>
  <c r="J155" i="4"/>
  <c r="J156" i="4"/>
  <c r="B67" i="16"/>
  <c r="E66" i="16"/>
  <c r="G46" i="6"/>
  <c r="G15" i="3"/>
  <c r="C34" i="2"/>
  <c r="L35" i="6"/>
  <c r="L20" i="14" s="1"/>
  <c r="I11" i="14"/>
  <c r="H11" i="14"/>
  <c r="D8" i="2"/>
  <c r="O42" i="6"/>
  <c r="H44" i="6"/>
  <c r="H16" i="2" s="1"/>
  <c r="H21" i="14"/>
  <c r="H43" i="6"/>
  <c r="G10" i="5"/>
  <c r="G55" i="6" s="1"/>
  <c r="J7" i="5"/>
  <c r="I62" i="5"/>
  <c r="J3" i="3"/>
  <c r="J7" i="2"/>
  <c r="J38" i="2" s="1"/>
  <c r="D5" i="3"/>
  <c r="D34" i="2"/>
  <c r="E5" i="4"/>
  <c r="E4" i="3"/>
  <c r="F6" i="5"/>
  <c r="M9" i="6"/>
  <c r="M8" i="6" s="1"/>
  <c r="M7" i="6" s="1"/>
  <c r="M23" i="6"/>
  <c r="M22" i="6" s="1"/>
  <c r="M21" i="6" s="1"/>
  <c r="M35" i="6" s="1"/>
  <c r="L7" i="4"/>
  <c r="J18" i="3" l="1"/>
  <c r="K20" i="5"/>
  <c r="K27" i="2" s="1"/>
  <c r="K328" i="4"/>
  <c r="K4" i="4" s="1"/>
  <c r="K3" i="4"/>
  <c r="L321" i="4"/>
  <c r="L332" i="4" s="1"/>
  <c r="L8" i="4" s="1"/>
  <c r="L9" i="2" s="1"/>
  <c r="L319" i="4"/>
  <c r="L20" i="5"/>
  <c r="L27" i="2" s="1"/>
  <c r="W60" i="10"/>
  <c r="L154" i="4"/>
  <c r="L155" i="4" s="1"/>
  <c r="N306" i="4"/>
  <c r="M315" i="4"/>
  <c r="M33" i="4"/>
  <c r="H46" i="6"/>
  <c r="B68" i="16"/>
  <c r="E67" i="16"/>
  <c r="H15" i="3"/>
  <c r="E8" i="2"/>
  <c r="P42" i="6"/>
  <c r="I44" i="6"/>
  <c r="I16" i="2" s="1"/>
  <c r="I21" i="14"/>
  <c r="I43" i="6"/>
  <c r="H10" i="5"/>
  <c r="H55" i="6" s="1"/>
  <c r="E24" i="4"/>
  <c r="E34" i="2" s="1"/>
  <c r="F5" i="4"/>
  <c r="F4" i="3"/>
  <c r="M20" i="14"/>
  <c r="J51" i="5"/>
  <c r="G6" i="5"/>
  <c r="N23" i="6"/>
  <c r="N22" i="6" s="1"/>
  <c r="N21" i="6" s="1"/>
  <c r="M7" i="4"/>
  <c r="L32" i="4"/>
  <c r="K32" i="4"/>
  <c r="K53" i="5" l="1"/>
  <c r="K13" i="14" s="1"/>
  <c r="K223" i="4"/>
  <c r="K224" i="4" s="1"/>
  <c r="K9" i="4" s="1"/>
  <c r="L3" i="4"/>
  <c r="K62" i="5" s="1"/>
  <c r="L328" i="4"/>
  <c r="L4" i="4" s="1"/>
  <c r="M321" i="4"/>
  <c r="M332" i="4" s="1"/>
  <c r="M8" i="4" s="1"/>
  <c r="M20" i="5" s="1"/>
  <c r="M27" i="2" s="1"/>
  <c r="M319" i="4"/>
  <c r="L53" i="5"/>
  <c r="L13" i="14" s="1"/>
  <c r="M154" i="4"/>
  <c r="M155" i="4" s="1"/>
  <c r="X60" i="10"/>
  <c r="O306" i="4"/>
  <c r="N315" i="4"/>
  <c r="N33" i="4"/>
  <c r="E5" i="3"/>
  <c r="E68" i="16"/>
  <c r="B69" i="16"/>
  <c r="I15" i="3"/>
  <c r="N35" i="6"/>
  <c r="N20" i="14" s="1"/>
  <c r="J11" i="14"/>
  <c r="Q42" i="6"/>
  <c r="J44" i="6"/>
  <c r="J16" i="2" s="1"/>
  <c r="J21" i="14"/>
  <c r="I46" i="6"/>
  <c r="J43" i="6"/>
  <c r="I10" i="5"/>
  <c r="I55" i="6" s="1"/>
  <c r="K7" i="5"/>
  <c r="J62" i="5"/>
  <c r="L7" i="5"/>
  <c r="K3" i="3"/>
  <c r="K18" i="3" s="1"/>
  <c r="K7" i="2"/>
  <c r="K38" i="2" s="1"/>
  <c r="L3" i="3"/>
  <c r="L7" i="2"/>
  <c r="L38" i="2" s="1"/>
  <c r="F24" i="4"/>
  <c r="F8" i="2"/>
  <c r="G5" i="4"/>
  <c r="G4" i="3"/>
  <c r="H6" i="5"/>
  <c r="O23" i="6"/>
  <c r="O22" i="6" s="1"/>
  <c r="O21" i="6" s="1"/>
  <c r="N7" i="4"/>
  <c r="M32" i="4"/>
  <c r="M328" i="4" l="1"/>
  <c r="M4" i="4" s="1"/>
  <c r="M9" i="2"/>
  <c r="M3" i="4"/>
  <c r="M7" i="5" s="1"/>
  <c r="L223" i="4"/>
  <c r="L224" i="4" s="1"/>
  <c r="L9" i="4" s="1"/>
  <c r="N321" i="4"/>
  <c r="N332" i="4" s="1"/>
  <c r="N8" i="4" s="1"/>
  <c r="N9" i="2" s="1"/>
  <c r="N319" i="4"/>
  <c r="M223" i="4"/>
  <c r="M224" i="4" s="1"/>
  <c r="M9" i="4" s="1"/>
  <c r="M53" i="5"/>
  <c r="M13" i="14" s="1"/>
  <c r="Y60" i="10"/>
  <c r="N154" i="4"/>
  <c r="N155" i="4" s="1"/>
  <c r="P306" i="4"/>
  <c r="O315" i="4"/>
  <c r="O33" i="4"/>
  <c r="E69" i="16"/>
  <c r="B70" i="16"/>
  <c r="L18" i="3"/>
  <c r="J46" i="6"/>
  <c r="J15" i="3"/>
  <c r="O35" i="6"/>
  <c r="O20" i="14" s="1"/>
  <c r="R42" i="6"/>
  <c r="K44" i="6"/>
  <c r="K16" i="2" s="1"/>
  <c r="K21" i="14"/>
  <c r="K43" i="6"/>
  <c r="J10" i="5"/>
  <c r="J55" i="6" s="1"/>
  <c r="M7" i="2"/>
  <c r="M38" i="2" s="1"/>
  <c r="G24" i="4"/>
  <c r="G8" i="2"/>
  <c r="F5" i="3"/>
  <c r="F34" i="2"/>
  <c r="H5" i="4"/>
  <c r="H4" i="3"/>
  <c r="L51" i="5"/>
  <c r="K51" i="5"/>
  <c r="P23" i="6"/>
  <c r="P22" i="6" s="1"/>
  <c r="P21" i="6" s="1"/>
  <c r="I6" i="5"/>
  <c r="O7" i="4"/>
  <c r="N32" i="4"/>
  <c r="M3" i="3" l="1"/>
  <c r="M18" i="3" s="1"/>
  <c r="L62" i="5"/>
  <c r="N328" i="4"/>
  <c r="N4" i="4" s="1"/>
  <c r="N3" i="4"/>
  <c r="N20" i="5"/>
  <c r="N27" i="2" s="1"/>
  <c r="O321" i="4"/>
  <c r="O332" i="4" s="1"/>
  <c r="O8" i="4" s="1"/>
  <c r="O20" i="5" s="1"/>
  <c r="O27" i="2" s="1"/>
  <c r="O319" i="4"/>
  <c r="N223" i="4"/>
  <c r="N224" i="4" s="1"/>
  <c r="N9" i="4" s="1"/>
  <c r="O154" i="4"/>
  <c r="O155" i="4" s="1"/>
  <c r="Z60" i="10"/>
  <c r="Q306" i="4"/>
  <c r="P315" i="4"/>
  <c r="P33" i="4"/>
  <c r="B71" i="16"/>
  <c r="E70" i="16"/>
  <c r="K46" i="6"/>
  <c r="K15" i="3"/>
  <c r="P35" i="6"/>
  <c r="P20" i="14" s="1"/>
  <c r="K11" i="14"/>
  <c r="L11" i="14"/>
  <c r="L44" i="6"/>
  <c r="L16" i="2" s="1"/>
  <c r="L21" i="14"/>
  <c r="L43" i="6"/>
  <c r="K10" i="5"/>
  <c r="K55" i="6" s="1"/>
  <c r="N7" i="5"/>
  <c r="M62" i="5"/>
  <c r="N3" i="3"/>
  <c r="N18" i="3" s="1"/>
  <c r="N7" i="2"/>
  <c r="N38" i="2" s="1"/>
  <c r="O9" i="2"/>
  <c r="H24" i="4"/>
  <c r="H8" i="2"/>
  <c r="G5" i="3"/>
  <c r="G34" i="2"/>
  <c r="I5" i="4"/>
  <c r="I4" i="3"/>
  <c r="M51" i="5"/>
  <c r="Q23" i="6"/>
  <c r="Q22" i="6" s="1"/>
  <c r="Q21" i="6" s="1"/>
  <c r="J6" i="5"/>
  <c r="P7" i="4"/>
  <c r="O32" i="4"/>
  <c r="N53" i="5" l="1"/>
  <c r="N13" i="14" s="1"/>
  <c r="O3" i="4"/>
  <c r="O328" i="4"/>
  <c r="O4" i="4" s="1"/>
  <c r="P321" i="4"/>
  <c r="P332" i="4" s="1"/>
  <c r="P8" i="4" s="1"/>
  <c r="P9" i="2" s="1"/>
  <c r="P319" i="4"/>
  <c r="O223" i="4"/>
  <c r="O224" i="4" s="1"/>
  <c r="O9" i="4" s="1"/>
  <c r="O53" i="5"/>
  <c r="O13" i="14" s="1"/>
  <c r="P154" i="4"/>
  <c r="P155" i="4" s="1"/>
  <c r="AA60" i="10"/>
  <c r="R306" i="4"/>
  <c r="Q315" i="4"/>
  <c r="Q33" i="4"/>
  <c r="B72" i="16"/>
  <c r="E71" i="16"/>
  <c r="L46" i="6"/>
  <c r="Q35" i="6"/>
  <c r="Q20" i="14" s="1"/>
  <c r="M11" i="14"/>
  <c r="I24" i="4"/>
  <c r="I5" i="3" s="1"/>
  <c r="M44" i="6"/>
  <c r="M16" i="2" s="1"/>
  <c r="M21" i="14"/>
  <c r="L15" i="3"/>
  <c r="M43" i="6"/>
  <c r="L10" i="5"/>
  <c r="L55" i="6" s="1"/>
  <c r="O7" i="5"/>
  <c r="N62" i="5"/>
  <c r="O3" i="3"/>
  <c r="O18" i="3" s="1"/>
  <c r="O7" i="2"/>
  <c r="O38" i="2" s="1"/>
  <c r="I8" i="2"/>
  <c r="H5" i="3"/>
  <c r="H34" i="2"/>
  <c r="J5" i="4"/>
  <c r="J24" i="4" s="1"/>
  <c r="J4" i="3"/>
  <c r="N51" i="5"/>
  <c r="R23" i="6"/>
  <c r="R22" i="6" s="1"/>
  <c r="R21" i="6" s="1"/>
  <c r="K6" i="5"/>
  <c r="R7" i="4"/>
  <c r="Q7" i="4"/>
  <c r="P32" i="4"/>
  <c r="P3" i="4" l="1"/>
  <c r="P328" i="4"/>
  <c r="P4" i="4" s="1"/>
  <c r="P20" i="5"/>
  <c r="P27" i="2" s="1"/>
  <c r="Q321" i="4"/>
  <c r="Q332" i="4" s="1"/>
  <c r="Q8" i="4" s="1"/>
  <c r="Q9" i="2" s="1"/>
  <c r="Q319" i="4"/>
  <c r="P223" i="4"/>
  <c r="P224" i="4" s="1"/>
  <c r="P9" i="4" s="1"/>
  <c r="P53" i="5"/>
  <c r="P13" i="14" s="1"/>
  <c r="Q154" i="4"/>
  <c r="Q155" i="4" s="1"/>
  <c r="AB60" i="10"/>
  <c r="T306" i="4"/>
  <c r="R315" i="4"/>
  <c r="R33" i="4"/>
  <c r="E72" i="16"/>
  <c r="B73" i="16"/>
  <c r="M15" i="3"/>
  <c r="M46" i="6"/>
  <c r="I34" i="2"/>
  <c r="R35" i="6"/>
  <c r="R20" i="14" s="1"/>
  <c r="N11" i="14"/>
  <c r="N44" i="6"/>
  <c r="N16" i="2" s="1"/>
  <c r="N21" i="14"/>
  <c r="N43" i="6"/>
  <c r="M10" i="5"/>
  <c r="M55" i="6" s="1"/>
  <c r="P7" i="5"/>
  <c r="O62" i="5"/>
  <c r="P3" i="3"/>
  <c r="P18" i="3" s="1"/>
  <c r="P7" i="2"/>
  <c r="P38" i="2" s="1"/>
  <c r="J5" i="3"/>
  <c r="J34" i="2"/>
  <c r="J8" i="2"/>
  <c r="K5" i="4"/>
  <c r="K4" i="3"/>
  <c r="O51" i="5"/>
  <c r="L6" i="5"/>
  <c r="Q32" i="4"/>
  <c r="Q3" i="4" l="1"/>
  <c r="Q328" i="4"/>
  <c r="Q4" i="4" s="1"/>
  <c r="Q20" i="5"/>
  <c r="Q27" i="2" s="1"/>
  <c r="R321" i="4"/>
  <c r="R332" i="4" s="1"/>
  <c r="R8" i="4" s="1"/>
  <c r="R20" i="5" s="1"/>
  <c r="R27" i="2" s="1"/>
  <c r="R319" i="4"/>
  <c r="Q53" i="5"/>
  <c r="Q13" i="14" s="1"/>
  <c r="Q223" i="4"/>
  <c r="Q224" i="4" s="1"/>
  <c r="Q9" i="4" s="1"/>
  <c r="R9" i="2"/>
  <c r="R154" i="4"/>
  <c r="R155" i="4" s="1"/>
  <c r="AC60" i="10"/>
  <c r="D155" i="4"/>
  <c r="E73" i="16"/>
  <c r="B74" i="16"/>
  <c r="N15" i="3"/>
  <c r="N46" i="6"/>
  <c r="O11" i="14"/>
  <c r="K8" i="2"/>
  <c r="O44" i="6"/>
  <c r="O16" i="2" s="1"/>
  <c r="O21" i="14"/>
  <c r="O43" i="6"/>
  <c r="N10" i="5"/>
  <c r="N55" i="6" s="1"/>
  <c r="K24" i="4"/>
  <c r="K5" i="3" s="1"/>
  <c r="Q7" i="5"/>
  <c r="P62" i="5"/>
  <c r="Q3" i="3"/>
  <c r="Q18" i="3" s="1"/>
  <c r="Q7" i="2"/>
  <c r="Q38" i="2" s="1"/>
  <c r="L5" i="4"/>
  <c r="L24" i="4" s="1"/>
  <c r="L4" i="3"/>
  <c r="P51" i="5"/>
  <c r="M6" i="5"/>
  <c r="R32" i="4"/>
  <c r="R328" i="4" l="1"/>
  <c r="R4" i="4" s="1"/>
  <c r="R3" i="4"/>
  <c r="R53" i="5"/>
  <c r="R13" i="14" s="1"/>
  <c r="R223" i="4"/>
  <c r="R224" i="4" s="1"/>
  <c r="R9" i="4" s="1"/>
  <c r="E155" i="4"/>
  <c r="C155" i="4"/>
  <c r="B75" i="16"/>
  <c r="E74" i="16"/>
  <c r="O15" i="3"/>
  <c r="O46" i="6"/>
  <c r="K34" i="2"/>
  <c r="P11" i="14"/>
  <c r="L8" i="2"/>
  <c r="P44" i="6"/>
  <c r="P16" i="2" s="1"/>
  <c r="P21" i="14"/>
  <c r="P43" i="6"/>
  <c r="O10" i="5"/>
  <c r="O55" i="6" s="1"/>
  <c r="R7" i="5"/>
  <c r="Q62" i="5"/>
  <c r="R3" i="3"/>
  <c r="S3" i="3" s="1"/>
  <c r="R7" i="2"/>
  <c r="R38" i="2" s="1"/>
  <c r="L5" i="3"/>
  <c r="L34" i="2"/>
  <c r="M5" i="4"/>
  <c r="M24" i="4" s="1"/>
  <c r="M4" i="3"/>
  <c r="Q51" i="5"/>
  <c r="N6" i="5"/>
  <c r="P46" i="6" l="1"/>
  <c r="B76" i="16"/>
  <c r="E75" i="16"/>
  <c r="R18" i="3"/>
  <c r="P15" i="3"/>
  <c r="Q11" i="14"/>
  <c r="M8" i="2"/>
  <c r="Q44" i="6"/>
  <c r="Q16" i="2" s="1"/>
  <c r="Q21" i="14"/>
  <c r="Q43" i="6"/>
  <c r="P10" i="5"/>
  <c r="P55" i="6" s="1"/>
  <c r="M5" i="3"/>
  <c r="M34" i="2"/>
  <c r="S18" i="3"/>
  <c r="N5" i="4"/>
  <c r="N4" i="3"/>
  <c r="R51" i="5"/>
  <c r="O6" i="5"/>
  <c r="E76" i="16" l="1"/>
  <c r="B77" i="16"/>
  <c r="Q46" i="6"/>
  <c r="R11" i="14"/>
  <c r="N24" i="4"/>
  <c r="N34" i="2" s="1"/>
  <c r="R44" i="6"/>
  <c r="R16" i="2" s="1"/>
  <c r="R21" i="14"/>
  <c r="Q15" i="3"/>
  <c r="R43" i="6"/>
  <c r="R10" i="5" s="1"/>
  <c r="R55" i="6" s="1"/>
  <c r="Q10" i="5"/>
  <c r="Q55" i="6" s="1"/>
  <c r="N8" i="2"/>
  <c r="O5" i="4"/>
  <c r="O24" i="4" s="1"/>
  <c r="O4" i="3"/>
  <c r="P6" i="5"/>
  <c r="E77" i="16" l="1"/>
  <c r="B78" i="16"/>
  <c r="N5" i="3"/>
  <c r="R15" i="3"/>
  <c r="R46" i="6"/>
  <c r="O8" i="2"/>
  <c r="O5" i="3"/>
  <c r="O34" i="2"/>
  <c r="P5" i="4"/>
  <c r="P4" i="3"/>
  <c r="Q6" i="5"/>
  <c r="B79" i="16" l="1"/>
  <c r="E78" i="16"/>
  <c r="R6" i="5"/>
  <c r="P24" i="4"/>
  <c r="P8" i="2"/>
  <c r="Q5" i="4"/>
  <c r="Q24" i="4" s="1"/>
  <c r="Q4" i="3"/>
  <c r="B80" i="16" l="1"/>
  <c r="E79" i="16"/>
  <c r="R4" i="3"/>
  <c r="R5" i="4"/>
  <c r="R8" i="2" s="1"/>
  <c r="Q8" i="2"/>
  <c r="Q5" i="3"/>
  <c r="Q34" i="2"/>
  <c r="P5" i="3"/>
  <c r="P34" i="2"/>
  <c r="E80" i="16" l="1"/>
  <c r="B81" i="16"/>
  <c r="R24" i="4"/>
  <c r="R5" i="3" s="1"/>
  <c r="D80" i="3"/>
  <c r="E80" i="3" s="1"/>
  <c r="F80" i="3" s="1"/>
  <c r="G80" i="3" s="1"/>
  <c r="H80" i="3" s="1"/>
  <c r="I80" i="3" s="1"/>
  <c r="J80" i="3" s="1"/>
  <c r="K80" i="3" s="1"/>
  <c r="L80" i="3" s="1"/>
  <c r="M80" i="3" s="1"/>
  <c r="N80" i="3" s="1"/>
  <c r="O80" i="3" s="1"/>
  <c r="P80" i="3" s="1"/>
  <c r="Q80" i="3" s="1"/>
  <c r="R80" i="3" s="1"/>
  <c r="E81" i="16" l="1"/>
  <c r="B82" i="16"/>
  <c r="R34" i="2"/>
  <c r="C54" i="6"/>
  <c r="C57" i="5"/>
  <c r="C21" i="2"/>
  <c r="B83" i="16" l="1"/>
  <c r="E82" i="16"/>
  <c r="C13" i="5"/>
  <c r="C14" i="5" s="1"/>
  <c r="C22" i="2" s="1"/>
  <c r="C52" i="2" s="1"/>
  <c r="C6" i="14"/>
  <c r="C10" i="4"/>
  <c r="D57" i="5"/>
  <c r="D54" i="6"/>
  <c r="D21" i="2"/>
  <c r="D52" i="5"/>
  <c r="D55" i="5" s="1"/>
  <c r="B84" i="16" l="1"/>
  <c r="E83" i="16"/>
  <c r="C11" i="4"/>
  <c r="C5" i="14" s="1"/>
  <c r="D13" i="5"/>
  <c r="D14" i="5" s="1"/>
  <c r="D22" i="2" s="1"/>
  <c r="D52" i="2" s="1"/>
  <c r="D6" i="14"/>
  <c r="D10" i="4"/>
  <c r="C12" i="3"/>
  <c r="C14" i="2"/>
  <c r="D16" i="3"/>
  <c r="D12" i="14"/>
  <c r="D10" i="14" s="1"/>
  <c r="E52" i="5"/>
  <c r="E55" i="5" s="1"/>
  <c r="E57" i="5"/>
  <c r="E54" i="6"/>
  <c r="E21" i="2"/>
  <c r="E84" i="16" l="1"/>
  <c r="B85" i="16"/>
  <c r="C13" i="4"/>
  <c r="C26" i="4" s="1"/>
  <c r="C37" i="2" s="1"/>
  <c r="C25" i="4"/>
  <c r="C8" i="3" s="1"/>
  <c r="C7" i="3"/>
  <c r="C13" i="3" s="1"/>
  <c r="D11" i="4"/>
  <c r="D5" i="14" s="1"/>
  <c r="E13" i="5"/>
  <c r="E14" i="5" s="1"/>
  <c r="E22" i="2" s="1"/>
  <c r="E52" i="2" s="1"/>
  <c r="E12" i="14"/>
  <c r="E10" i="14" s="1"/>
  <c r="E16" i="3"/>
  <c r="F54" i="6"/>
  <c r="F52" i="5"/>
  <c r="F55" i="5" s="1"/>
  <c r="F57" i="5"/>
  <c r="F21" i="2"/>
  <c r="D12" i="3"/>
  <c r="D14" i="2"/>
  <c r="E6" i="14"/>
  <c r="E10" i="4"/>
  <c r="E85" i="16" l="1"/>
  <c r="B86" i="16"/>
  <c r="C15" i="2"/>
  <c r="C35" i="2"/>
  <c r="D7" i="3"/>
  <c r="D13" i="3" s="1"/>
  <c r="D19" i="3" s="1"/>
  <c r="D25" i="4"/>
  <c r="D35" i="2" s="1"/>
  <c r="D13" i="4"/>
  <c r="D15" i="2" s="1"/>
  <c r="E11" i="4"/>
  <c r="E5" i="14" s="1"/>
  <c r="F13" i="5"/>
  <c r="F14" i="5" s="1"/>
  <c r="F22" i="2" s="1"/>
  <c r="F52" i="2" s="1"/>
  <c r="E12" i="3"/>
  <c r="E14" i="2"/>
  <c r="F6" i="14"/>
  <c r="F10" i="4"/>
  <c r="F16" i="3"/>
  <c r="F12" i="14"/>
  <c r="F10" i="14" s="1"/>
  <c r="G52" i="5"/>
  <c r="G55" i="5" s="1"/>
  <c r="G57" i="5"/>
  <c r="G54" i="6"/>
  <c r="G21" i="2"/>
  <c r="B87" i="16" l="1"/>
  <c r="E86" i="16"/>
  <c r="E13" i="4"/>
  <c r="E26" i="4" s="1"/>
  <c r="E37" i="2" s="1"/>
  <c r="D8" i="3"/>
  <c r="E25" i="4"/>
  <c r="E35" i="2" s="1"/>
  <c r="D26" i="4"/>
  <c r="D37" i="2" s="1"/>
  <c r="E7" i="3"/>
  <c r="E13" i="3" s="1"/>
  <c r="E19" i="3" s="1"/>
  <c r="F11" i="4"/>
  <c r="F5" i="14" s="1"/>
  <c r="G13" i="5"/>
  <c r="G14" i="5" s="1"/>
  <c r="G22" i="2" s="1"/>
  <c r="G52" i="2" s="1"/>
  <c r="G16" i="3"/>
  <c r="G12" i="14"/>
  <c r="G10" i="14" s="1"/>
  <c r="F12" i="3"/>
  <c r="F14" i="2"/>
  <c r="G6" i="14"/>
  <c r="G10" i="4"/>
  <c r="H57" i="5"/>
  <c r="H54" i="6"/>
  <c r="H52" i="5"/>
  <c r="H55" i="5" s="1"/>
  <c r="H21" i="2"/>
  <c r="E8" i="3" l="1"/>
  <c r="B88" i="16"/>
  <c r="E87" i="16"/>
  <c r="E15" i="2"/>
  <c r="F7" i="3"/>
  <c r="F13" i="3" s="1"/>
  <c r="F19" i="3" s="1"/>
  <c r="F25" i="4"/>
  <c r="F35" i="2" s="1"/>
  <c r="F13" i="4"/>
  <c r="F15" i="2" s="1"/>
  <c r="G11" i="4"/>
  <c r="G5" i="14" s="1"/>
  <c r="H13" i="5"/>
  <c r="H14" i="5" s="1"/>
  <c r="H22" i="2" s="1"/>
  <c r="H52" i="2" s="1"/>
  <c r="H6" i="14"/>
  <c r="H10" i="4"/>
  <c r="I52" i="5"/>
  <c r="I55" i="5" s="1"/>
  <c r="I57" i="5"/>
  <c r="I54" i="6"/>
  <c r="I21" i="2"/>
  <c r="G12" i="3"/>
  <c r="G14" i="2"/>
  <c r="H16" i="3"/>
  <c r="H12" i="14"/>
  <c r="H10" i="14" s="1"/>
  <c r="E88" i="16" l="1"/>
  <c r="B89" i="16"/>
  <c r="F26" i="4"/>
  <c r="F37" i="2" s="1"/>
  <c r="F8" i="3"/>
  <c r="G7" i="3"/>
  <c r="G13" i="3" s="1"/>
  <c r="G14" i="3" s="1"/>
  <c r="F14" i="3"/>
  <c r="G25" i="4"/>
  <c r="G8" i="3" s="1"/>
  <c r="G13" i="4"/>
  <c r="G15" i="2" s="1"/>
  <c r="H11" i="4"/>
  <c r="H5" i="14" s="1"/>
  <c r="I13" i="5"/>
  <c r="I14" i="5" s="1"/>
  <c r="I22" i="2" s="1"/>
  <c r="I52" i="2" s="1"/>
  <c r="I6" i="14"/>
  <c r="I10" i="4"/>
  <c r="I16" i="3"/>
  <c r="I12" i="14"/>
  <c r="I10" i="14" s="1"/>
  <c r="H14" i="2"/>
  <c r="H12" i="3"/>
  <c r="J52" i="5"/>
  <c r="J55" i="5" s="1"/>
  <c r="J57" i="5"/>
  <c r="J54" i="6"/>
  <c r="J21" i="2"/>
  <c r="E89" i="16" l="1"/>
  <c r="B90" i="16"/>
  <c r="G35" i="2"/>
  <c r="G26" i="4"/>
  <c r="G37" i="2" s="1"/>
  <c r="H25" i="4"/>
  <c r="H35" i="2" s="1"/>
  <c r="H7" i="3"/>
  <c r="H13" i="3" s="1"/>
  <c r="H14" i="3" s="1"/>
  <c r="G19" i="3"/>
  <c r="I11" i="4"/>
  <c r="I5" i="14" s="1"/>
  <c r="H13" i="4"/>
  <c r="H26" i="4" s="1"/>
  <c r="H37" i="2" s="1"/>
  <c r="J13" i="5"/>
  <c r="J14" i="5" s="1"/>
  <c r="J22" i="2" s="1"/>
  <c r="J52" i="2" s="1"/>
  <c r="J16" i="3"/>
  <c r="J12" i="14"/>
  <c r="J10" i="14" s="1"/>
  <c r="K52" i="5"/>
  <c r="K55" i="5" s="1"/>
  <c r="K54" i="6"/>
  <c r="K57" i="5"/>
  <c r="K21" i="2"/>
  <c r="I12" i="3"/>
  <c r="I14" i="2"/>
  <c r="J6" i="14"/>
  <c r="J10" i="4"/>
  <c r="B91" i="16" l="1"/>
  <c r="E90" i="16"/>
  <c r="H8" i="3"/>
  <c r="I13" i="4"/>
  <c r="I15" i="2" s="1"/>
  <c r="H15" i="2"/>
  <c r="I25" i="4"/>
  <c r="I8" i="3" s="1"/>
  <c r="I7" i="3"/>
  <c r="I13" i="3" s="1"/>
  <c r="J11" i="4"/>
  <c r="J5" i="14" s="1"/>
  <c r="H19" i="3"/>
  <c r="K13" i="5"/>
  <c r="K14" i="5" s="1"/>
  <c r="K22" i="2" s="1"/>
  <c r="K52" i="2" s="1"/>
  <c r="J12" i="3"/>
  <c r="J14" i="2"/>
  <c r="K6" i="14"/>
  <c r="K10" i="4"/>
  <c r="K16" i="3"/>
  <c r="K12" i="14"/>
  <c r="K10" i="14" s="1"/>
  <c r="L57" i="5"/>
  <c r="L52" i="5"/>
  <c r="L55" i="5" s="1"/>
  <c r="L54" i="6"/>
  <c r="L21" i="2"/>
  <c r="B92" i="16" l="1"/>
  <c r="E91" i="16"/>
  <c r="I35" i="2"/>
  <c r="J13" i="4"/>
  <c r="J26" i="4" s="1"/>
  <c r="J37" i="2" s="1"/>
  <c r="I26" i="4"/>
  <c r="I37" i="2" s="1"/>
  <c r="J25" i="4"/>
  <c r="J8" i="3" s="1"/>
  <c r="I14" i="3"/>
  <c r="I19" i="3"/>
  <c r="K11" i="4"/>
  <c r="K5" i="14" s="1"/>
  <c r="J7" i="3"/>
  <c r="J13" i="3" s="1"/>
  <c r="J14" i="3" s="1"/>
  <c r="L13" i="5"/>
  <c r="L14" i="5" s="1"/>
  <c r="L22" i="2" s="1"/>
  <c r="L52" i="2" s="1"/>
  <c r="M52" i="5"/>
  <c r="M55" i="5" s="1"/>
  <c r="M57" i="5"/>
  <c r="M54" i="6"/>
  <c r="M21" i="2"/>
  <c r="L16" i="3"/>
  <c r="L12" i="14"/>
  <c r="L10" i="14" s="1"/>
  <c r="K12" i="3"/>
  <c r="K14" i="2"/>
  <c r="L6" i="14"/>
  <c r="L10" i="4"/>
  <c r="E92" i="16" l="1"/>
  <c r="B93" i="16"/>
  <c r="J35" i="2"/>
  <c r="J15" i="2"/>
  <c r="K7" i="3"/>
  <c r="K13" i="3" s="1"/>
  <c r="K19" i="3" s="1"/>
  <c r="K25" i="4"/>
  <c r="K8" i="3" s="1"/>
  <c r="K13" i="4"/>
  <c r="K26" i="4" s="1"/>
  <c r="K37" i="2" s="1"/>
  <c r="L11" i="4"/>
  <c r="L5" i="14" s="1"/>
  <c r="J19" i="3"/>
  <c r="M13" i="5"/>
  <c r="M14" i="5" s="1"/>
  <c r="M22" i="2" s="1"/>
  <c r="M52" i="2" s="1"/>
  <c r="L14" i="2"/>
  <c r="L12" i="3"/>
  <c r="M6" i="14"/>
  <c r="M10" i="4"/>
  <c r="N52" i="5"/>
  <c r="N55" i="5" s="1"/>
  <c r="N57" i="5"/>
  <c r="N54" i="6"/>
  <c r="N21" i="2"/>
  <c r="M16" i="3"/>
  <c r="M12" i="14"/>
  <c r="M10" i="14" s="1"/>
  <c r="E93" i="16" l="1"/>
  <c r="B94" i="16"/>
  <c r="K35" i="2"/>
  <c r="K15" i="2"/>
  <c r="L7" i="3"/>
  <c r="L13" i="3" s="1"/>
  <c r="L25" i="4"/>
  <c r="L35" i="2" s="1"/>
  <c r="L13" i="4"/>
  <c r="L26" i="4" s="1"/>
  <c r="L37" i="2" s="1"/>
  <c r="M11" i="4"/>
  <c r="M5" i="14" s="1"/>
  <c r="K14" i="3"/>
  <c r="N13" i="5"/>
  <c r="N14" i="5" s="1"/>
  <c r="N22" i="2" s="1"/>
  <c r="N52" i="2" s="1"/>
  <c r="M12" i="3"/>
  <c r="M14" i="2"/>
  <c r="N6" i="14"/>
  <c r="N10" i="4"/>
  <c r="N16" i="3"/>
  <c r="N12" i="14"/>
  <c r="N10" i="14" s="1"/>
  <c r="O52" i="5"/>
  <c r="O55" i="5" s="1"/>
  <c r="O54" i="6"/>
  <c r="O57" i="5"/>
  <c r="O21" i="2"/>
  <c r="B95" i="16" l="1"/>
  <c r="E94" i="16"/>
  <c r="L15" i="2"/>
  <c r="L8" i="3"/>
  <c r="L19" i="3"/>
  <c r="L14" i="3"/>
  <c r="M7" i="3"/>
  <c r="M13" i="3" s="1"/>
  <c r="M25" i="4"/>
  <c r="M8" i="3" s="1"/>
  <c r="M13" i="4"/>
  <c r="M26" i="4" s="1"/>
  <c r="M37" i="2" s="1"/>
  <c r="N11" i="4"/>
  <c r="N5" i="14" s="1"/>
  <c r="O13" i="5"/>
  <c r="O14" i="5" s="1"/>
  <c r="O22" i="2" s="1"/>
  <c r="O52" i="2" s="1"/>
  <c r="O6" i="14"/>
  <c r="O10" i="4"/>
  <c r="O16" i="3"/>
  <c r="O12" i="14"/>
  <c r="O10" i="14" s="1"/>
  <c r="N12" i="3"/>
  <c r="N14" i="2"/>
  <c r="P57" i="5"/>
  <c r="P54" i="6"/>
  <c r="P52" i="5"/>
  <c r="P55" i="5" s="1"/>
  <c r="P21" i="2"/>
  <c r="B96" i="16" l="1"/>
  <c r="E95" i="16"/>
  <c r="M35" i="2"/>
  <c r="N13" i="4"/>
  <c r="N15" i="2" s="1"/>
  <c r="M19" i="3"/>
  <c r="M14" i="3"/>
  <c r="M15" i="2"/>
  <c r="N25" i="4"/>
  <c r="N8" i="3" s="1"/>
  <c r="N7" i="3"/>
  <c r="N13" i="3" s="1"/>
  <c r="O11" i="4"/>
  <c r="O5" i="14" s="1"/>
  <c r="P13" i="5"/>
  <c r="P14" i="5" s="1"/>
  <c r="P22" i="2" s="1"/>
  <c r="P52" i="2" s="1"/>
  <c r="P16" i="3"/>
  <c r="P12" i="14"/>
  <c r="P10" i="14" s="1"/>
  <c r="P6" i="14"/>
  <c r="P10" i="4"/>
  <c r="R52" i="5"/>
  <c r="R55" i="5" s="1"/>
  <c r="R57" i="5"/>
  <c r="R21" i="2"/>
  <c r="Q52" i="5"/>
  <c r="Q55" i="5" s="1"/>
  <c r="Q57" i="5"/>
  <c r="Q54" i="6"/>
  <c r="Q21" i="2"/>
  <c r="O12" i="3"/>
  <c r="O14" i="2"/>
  <c r="E96" i="16" l="1"/>
  <c r="B97" i="16"/>
  <c r="N26" i="4"/>
  <c r="N37" i="2" s="1"/>
  <c r="N35" i="2"/>
  <c r="O13" i="4"/>
  <c r="O26" i="4" s="1"/>
  <c r="O37" i="2" s="1"/>
  <c r="N19" i="3"/>
  <c r="N14" i="3"/>
  <c r="O25" i="4"/>
  <c r="O8" i="3" s="1"/>
  <c r="P11" i="4"/>
  <c r="P5" i="14" s="1"/>
  <c r="O7" i="3"/>
  <c r="O13" i="3" s="1"/>
  <c r="O19" i="3" s="1"/>
  <c r="R54" i="6"/>
  <c r="R13" i="5" s="1"/>
  <c r="R14" i="5" s="1"/>
  <c r="R22" i="2" s="1"/>
  <c r="R52" i="2" s="1"/>
  <c r="Q13" i="5"/>
  <c r="Q14" i="5" s="1"/>
  <c r="Q22" i="2" s="1"/>
  <c r="Q52" i="2" s="1"/>
  <c r="P12" i="3"/>
  <c r="P14" i="2"/>
  <c r="Q6" i="14"/>
  <c r="Q10" i="4"/>
  <c r="Q12" i="14"/>
  <c r="Q10" i="14" s="1"/>
  <c r="Q16" i="3"/>
  <c r="R16" i="3"/>
  <c r="R12" i="14"/>
  <c r="R10" i="14" s="1"/>
  <c r="R6" i="14"/>
  <c r="R10" i="4"/>
  <c r="E97" i="16" l="1"/>
  <c r="B98" i="16"/>
  <c r="O15" i="2"/>
  <c r="O35" i="2"/>
  <c r="P13" i="4"/>
  <c r="P26" i="4" s="1"/>
  <c r="P37" i="2" s="1"/>
  <c r="P25" i="4"/>
  <c r="P35" i="2" s="1"/>
  <c r="P7" i="3"/>
  <c r="P13" i="3" s="1"/>
  <c r="Q11" i="4"/>
  <c r="Q5" i="14" s="1"/>
  <c r="R11" i="4"/>
  <c r="R5" i="14" s="1"/>
  <c r="O14" i="3"/>
  <c r="Q12" i="3"/>
  <c r="Q14" i="2"/>
  <c r="R12" i="3"/>
  <c r="R14" i="2"/>
  <c r="B99" i="16" l="1"/>
  <c r="E98" i="16"/>
  <c r="R13" i="4"/>
  <c r="R15" i="2" s="1"/>
  <c r="P15" i="2"/>
  <c r="P8" i="3"/>
  <c r="Q13" i="4"/>
  <c r="Q15" i="2" s="1"/>
  <c r="Q25" i="4"/>
  <c r="Q35" i="2" s="1"/>
  <c r="P14" i="3"/>
  <c r="P19" i="3"/>
  <c r="Q7" i="3"/>
  <c r="Q13" i="3" s="1"/>
  <c r="R25" i="4"/>
  <c r="R35" i="2" s="1"/>
  <c r="R7" i="3"/>
  <c r="R13" i="3" s="1"/>
  <c r="B100" i="16" l="1"/>
  <c r="E99" i="16"/>
  <c r="R26" i="4"/>
  <c r="R37" i="2" s="1"/>
  <c r="Q26" i="4"/>
  <c r="Q37" i="2" s="1"/>
  <c r="Q8" i="3"/>
  <c r="R8" i="3"/>
  <c r="S8" i="3" s="1"/>
  <c r="S7" i="3" s="1"/>
  <c r="S10" i="3" s="1"/>
  <c r="S11" i="3" s="1"/>
  <c r="Q14" i="3"/>
  <c r="Q19" i="3"/>
  <c r="R14" i="3"/>
  <c r="R19" i="3"/>
  <c r="E100" i="16" l="1"/>
  <c r="B101" i="16"/>
  <c r="S14" i="3"/>
  <c r="E101" i="16" l="1"/>
  <c r="B102" i="16"/>
  <c r="B103" i="16" l="1"/>
  <c r="E102" i="16"/>
  <c r="B104" i="16" l="1"/>
  <c r="E103" i="16"/>
  <c r="E104" i="16" l="1"/>
  <c r="B105" i="16"/>
  <c r="E105" i="16" l="1"/>
  <c r="B106" i="16"/>
  <c r="B107" i="16" l="1"/>
  <c r="E106" i="16"/>
  <c r="B108" i="16" l="1"/>
  <c r="E107" i="16"/>
  <c r="E108" i="16" l="1"/>
  <c r="B109" i="16"/>
  <c r="E109" i="16" l="1"/>
  <c r="B110" i="16"/>
  <c r="B111" i="16" l="1"/>
  <c r="E110" i="16"/>
  <c r="B112" i="16" l="1"/>
  <c r="E111" i="16"/>
  <c r="E112" i="16" l="1"/>
  <c r="B113" i="16"/>
  <c r="E113" i="16" l="1"/>
  <c r="B114" i="16"/>
  <c r="B115" i="16" l="1"/>
  <c r="E114" i="16"/>
  <c r="B116" i="16" l="1"/>
  <c r="E115" i="16"/>
  <c r="E116" i="16" l="1"/>
  <c r="B117" i="16"/>
  <c r="E117" i="16" l="1"/>
  <c r="B118" i="16"/>
  <c r="B119" i="16" l="1"/>
  <c r="E118" i="16"/>
  <c r="B120" i="16" l="1"/>
  <c r="E119" i="16"/>
  <c r="E120" i="16" l="1"/>
  <c r="B121" i="16"/>
  <c r="E121" i="16" l="1"/>
  <c r="B122" i="16"/>
  <c r="B123" i="16" l="1"/>
  <c r="E122" i="16"/>
  <c r="B124" i="16" l="1"/>
  <c r="E123" i="16"/>
  <c r="E124" i="16" l="1"/>
  <c r="B125" i="16"/>
  <c r="E125" i="16" l="1"/>
  <c r="B126" i="16"/>
  <c r="B127" i="16" l="1"/>
  <c r="E126" i="16"/>
  <c r="B128" i="16" l="1"/>
  <c r="E127" i="16"/>
  <c r="E128" i="16" l="1"/>
  <c r="B129" i="16"/>
  <c r="E129" i="16" l="1"/>
  <c r="B130" i="16"/>
  <c r="B131" i="16" l="1"/>
  <c r="E130" i="16"/>
  <c r="B132" i="16" l="1"/>
  <c r="E131" i="16"/>
  <c r="E132" i="16" l="1"/>
  <c r="B133" i="16"/>
  <c r="E133" i="16" l="1"/>
  <c r="B134" i="16"/>
  <c r="B135" i="16" l="1"/>
  <c r="E134" i="16"/>
  <c r="B136" i="16" l="1"/>
  <c r="E135" i="16"/>
  <c r="E136" i="16" l="1"/>
  <c r="B137" i="16"/>
  <c r="E137" i="16" l="1"/>
  <c r="B138" i="16"/>
  <c r="B139" i="16" l="1"/>
  <c r="E138" i="16"/>
  <c r="B140" i="16" l="1"/>
  <c r="E139" i="16"/>
  <c r="E140" i="16" l="1"/>
  <c r="B141" i="16"/>
  <c r="E141" i="16" l="1"/>
  <c r="B142" i="16"/>
  <c r="B143" i="16" l="1"/>
  <c r="E142" i="16"/>
  <c r="B144" i="16" l="1"/>
  <c r="E143" i="16"/>
  <c r="E144" i="16" l="1"/>
  <c r="B145" i="16"/>
  <c r="E145" i="16" l="1"/>
  <c r="B146" i="16"/>
  <c r="B147" i="16" l="1"/>
  <c r="E146" i="16"/>
  <c r="B148" i="16" l="1"/>
  <c r="E147" i="16"/>
  <c r="E148" i="16" l="1"/>
  <c r="B149" i="16"/>
  <c r="E149" i="16" l="1"/>
  <c r="B150" i="16"/>
  <c r="B151" i="16" l="1"/>
  <c r="E150" i="16"/>
  <c r="B152" i="16" l="1"/>
  <c r="E151" i="16"/>
  <c r="E152" i="16" l="1"/>
  <c r="B153" i="16"/>
  <c r="E153" i="16" l="1"/>
  <c r="B154" i="16"/>
  <c r="B155" i="16" l="1"/>
  <c r="E154" i="16"/>
  <c r="B156" i="16" l="1"/>
  <c r="E155" i="16"/>
  <c r="E156" i="16" l="1"/>
  <c r="B157" i="16"/>
  <c r="E157" i="16" l="1"/>
  <c r="B158" i="16"/>
  <c r="B159" i="16" l="1"/>
  <c r="E158" i="16"/>
  <c r="B160" i="16" l="1"/>
  <c r="E159" i="16"/>
  <c r="E160" i="16" l="1"/>
  <c r="B161" i="16"/>
  <c r="E161" i="16" l="1"/>
  <c r="B162" i="16"/>
  <c r="B163" i="16" l="1"/>
  <c r="E162" i="16"/>
  <c r="B164" i="16" l="1"/>
  <c r="E163" i="16"/>
  <c r="E164" i="16" l="1"/>
  <c r="B165" i="16"/>
  <c r="E165" i="16" l="1"/>
  <c r="B166" i="16"/>
  <c r="B167" i="16" l="1"/>
  <c r="E166" i="16"/>
  <c r="B168" i="16" l="1"/>
  <c r="E167" i="16"/>
  <c r="E168" i="16" l="1"/>
  <c r="B169" i="16"/>
  <c r="E169" i="16" l="1"/>
  <c r="B170" i="16"/>
  <c r="B171" i="16" l="1"/>
  <c r="E170" i="16"/>
  <c r="B172" i="16" l="1"/>
  <c r="E171" i="16"/>
  <c r="E172" i="16" l="1"/>
  <c r="B173" i="16"/>
  <c r="E173" i="16" l="1"/>
  <c r="B174" i="16"/>
  <c r="B175" i="16" l="1"/>
  <c r="E174" i="16"/>
  <c r="B176" i="16" l="1"/>
  <c r="E175" i="16"/>
  <c r="E176" i="16" l="1"/>
  <c r="B177" i="16"/>
  <c r="E177" i="16" l="1"/>
  <c r="B178" i="16"/>
  <c r="B179" i="16" l="1"/>
  <c r="E178" i="16"/>
  <c r="B180" i="16" l="1"/>
  <c r="E179" i="16"/>
  <c r="E180" i="16" l="1"/>
  <c r="B181" i="16"/>
  <c r="E181" i="16" l="1"/>
  <c r="B182" i="16"/>
  <c r="B183" i="16" l="1"/>
  <c r="E182" i="16"/>
  <c r="B184" i="16" l="1"/>
  <c r="E183" i="16"/>
  <c r="E184" i="16" l="1"/>
  <c r="B185" i="16"/>
  <c r="E185" i="16" l="1"/>
  <c r="B186" i="16"/>
  <c r="B187" i="16" l="1"/>
  <c r="E186" i="16"/>
  <c r="B188" i="16" l="1"/>
  <c r="E187" i="16"/>
  <c r="E188" i="16" l="1"/>
  <c r="B189" i="16"/>
  <c r="E189" i="16" l="1"/>
  <c r="B190" i="16"/>
  <c r="B191" i="16" l="1"/>
  <c r="E190" i="16"/>
  <c r="B192" i="16" l="1"/>
  <c r="E191" i="16"/>
  <c r="E192" i="16" l="1"/>
  <c r="B193" i="16"/>
  <c r="E193" i="16" l="1"/>
  <c r="B194" i="16"/>
  <c r="B195" i="16" l="1"/>
  <c r="E194" i="16"/>
  <c r="B196" i="16" l="1"/>
  <c r="E195" i="16"/>
  <c r="E196" i="16" l="1"/>
  <c r="B197" i="16"/>
  <c r="E197" i="16" l="1"/>
  <c r="B198" i="16"/>
  <c r="B199" i="16" l="1"/>
  <c r="E198" i="16"/>
  <c r="B200" i="16" l="1"/>
  <c r="E199" i="16"/>
  <c r="E200" i="16" l="1"/>
  <c r="B201" i="16"/>
  <c r="E201" i="16" l="1"/>
  <c r="B202" i="16"/>
  <c r="B203" i="16" l="1"/>
  <c r="E202" i="16"/>
  <c r="B204" i="16" l="1"/>
  <c r="E203" i="16"/>
  <c r="E204" i="16" l="1"/>
  <c r="B205" i="16"/>
  <c r="E205" i="16" l="1"/>
  <c r="B206" i="16"/>
  <c r="B207" i="16" l="1"/>
  <c r="E206" i="16"/>
  <c r="B208" i="16" l="1"/>
  <c r="E207" i="16"/>
  <c r="E208" i="16" l="1"/>
  <c r="B209" i="16"/>
  <c r="E209" i="16" l="1"/>
  <c r="B210" i="16"/>
  <c r="B211" i="16" l="1"/>
  <c r="E210" i="16"/>
  <c r="B212" i="16" l="1"/>
  <c r="E211" i="16"/>
  <c r="E212" i="16" l="1"/>
  <c r="B213" i="16"/>
  <c r="E213" i="16" l="1"/>
  <c r="B214" i="16"/>
  <c r="B215" i="16" l="1"/>
  <c r="E214" i="16"/>
  <c r="B216" i="16" l="1"/>
  <c r="E215" i="16"/>
  <c r="E216" i="16" l="1"/>
  <c r="B217" i="16"/>
  <c r="E217" i="16" l="1"/>
  <c r="B218" i="16"/>
  <c r="B219" i="16" l="1"/>
  <c r="E218" i="16"/>
  <c r="B220" i="16" l="1"/>
  <c r="E219" i="16"/>
  <c r="E220" i="16" l="1"/>
  <c r="B221" i="16"/>
  <c r="E221" i="16" l="1"/>
  <c r="B222" i="16"/>
  <c r="B223" i="16" l="1"/>
  <c r="E222" i="16"/>
  <c r="B224" i="16" l="1"/>
  <c r="E223" i="16"/>
  <c r="E224" i="16" l="1"/>
  <c r="B225" i="16"/>
  <c r="E225" i="16" l="1"/>
  <c r="B226" i="16"/>
  <c r="B227" i="16" l="1"/>
  <c r="E226" i="16"/>
  <c r="B228" i="16" l="1"/>
  <c r="E227" i="16"/>
  <c r="E228" i="16" l="1"/>
  <c r="B229" i="16"/>
  <c r="E229" i="16" l="1"/>
  <c r="B230" i="16"/>
  <c r="B231" i="16" l="1"/>
  <c r="E230" i="16"/>
  <c r="B232" i="16" l="1"/>
  <c r="E231" i="16"/>
  <c r="E232" i="16" l="1"/>
  <c r="B233" i="16"/>
  <c r="E233" i="16" l="1"/>
  <c r="B234" i="16"/>
  <c r="B235" i="16" l="1"/>
  <c r="E234" i="16"/>
  <c r="B236" i="16" l="1"/>
  <c r="E235" i="16"/>
  <c r="E236" i="16" l="1"/>
  <c r="B237" i="16"/>
  <c r="E237" i="16" l="1"/>
  <c r="B238" i="16"/>
  <c r="B239" i="16" l="1"/>
  <c r="E238" i="16"/>
  <c r="B240" i="16" l="1"/>
  <c r="E239" i="16"/>
  <c r="E240" i="16" l="1"/>
  <c r="B241" i="16"/>
  <c r="E241" i="16" l="1"/>
  <c r="B242" i="16"/>
  <c r="B243" i="16" l="1"/>
  <c r="E242" i="16"/>
  <c r="B244" i="16" l="1"/>
  <c r="E243" i="16"/>
  <c r="E244" i="16" l="1"/>
  <c r="B245" i="16"/>
  <c r="E245" i="16" l="1"/>
  <c r="B246" i="16"/>
  <c r="B247" i="16" l="1"/>
  <c r="E246" i="16"/>
  <c r="B248" i="16" l="1"/>
  <c r="E247" i="16"/>
  <c r="E248" i="16" l="1"/>
  <c r="B249" i="16"/>
  <c r="E249" i="16" l="1"/>
  <c r="B250" i="16"/>
  <c r="B251" i="16" l="1"/>
  <c r="E250" i="16"/>
  <c r="B252" i="16" l="1"/>
  <c r="E251" i="16"/>
  <c r="E252" i="16" l="1"/>
  <c r="B253" i="16"/>
  <c r="E253" i="16" l="1"/>
  <c r="B254" i="16"/>
  <c r="B255" i="16" l="1"/>
  <c r="E254" i="16"/>
  <c r="B256" i="16" l="1"/>
  <c r="E255" i="16"/>
  <c r="E256" i="16" l="1"/>
  <c r="B257" i="16"/>
  <c r="E257" i="16" l="1"/>
  <c r="B258" i="16"/>
  <c r="B259" i="16" l="1"/>
  <c r="E258" i="16"/>
  <c r="B260" i="16" l="1"/>
  <c r="E259" i="16"/>
  <c r="E260" i="16" l="1"/>
  <c r="B261" i="16"/>
  <c r="E261" i="16" l="1"/>
  <c r="B262" i="16"/>
  <c r="B263" i="16" l="1"/>
  <c r="E262" i="16"/>
  <c r="B264" i="16" l="1"/>
  <c r="E263" i="16"/>
  <c r="E264" i="16" l="1"/>
  <c r="B265" i="16"/>
  <c r="E265" i="16" l="1"/>
  <c r="B266" i="16"/>
  <c r="B267" i="16" l="1"/>
  <c r="E266" i="16"/>
  <c r="B268" i="16" l="1"/>
  <c r="E267" i="16"/>
  <c r="E268" i="16" l="1"/>
  <c r="B269" i="16"/>
  <c r="E269" i="16" l="1"/>
  <c r="B270" i="16"/>
  <c r="B271" i="16" l="1"/>
  <c r="E270" i="16"/>
  <c r="B272" i="16" l="1"/>
  <c r="E271" i="16"/>
  <c r="B273" i="16" l="1"/>
  <c r="E272" i="16"/>
  <c r="B274" i="16" l="1"/>
  <c r="E273" i="16"/>
  <c r="B275" i="16" l="1"/>
  <c r="E274" i="16"/>
  <c r="B276" i="16" l="1"/>
  <c r="E275" i="16"/>
  <c r="B277" i="16" l="1"/>
  <c r="E276" i="16"/>
  <c r="B278" i="16" l="1"/>
  <c r="E277" i="16"/>
  <c r="B279" i="16" l="1"/>
  <c r="E278" i="16"/>
  <c r="B280" i="16" l="1"/>
  <c r="E279" i="16"/>
  <c r="B281" i="16" l="1"/>
  <c r="E280" i="16"/>
  <c r="B282" i="16" l="1"/>
  <c r="E281" i="16"/>
  <c r="B283" i="16" l="1"/>
  <c r="E282" i="16"/>
  <c r="B284" i="16" l="1"/>
  <c r="E283" i="16"/>
  <c r="B285" i="16" l="1"/>
  <c r="E284" i="16"/>
  <c r="B286" i="16" l="1"/>
  <c r="E285" i="16"/>
  <c r="B287" i="16" l="1"/>
  <c r="E286" i="16"/>
  <c r="B288" i="16" l="1"/>
  <c r="E287" i="16"/>
  <c r="B289" i="16" l="1"/>
  <c r="E288" i="16"/>
  <c r="B290" i="16" l="1"/>
  <c r="E289" i="16"/>
  <c r="B291" i="16" l="1"/>
  <c r="E290" i="16"/>
  <c r="B292" i="16" l="1"/>
  <c r="E291" i="16"/>
  <c r="B293" i="16" l="1"/>
  <c r="E292" i="16"/>
  <c r="B294" i="16" l="1"/>
  <c r="E293" i="16"/>
  <c r="B295" i="16" l="1"/>
  <c r="E294" i="16"/>
  <c r="B296" i="16" l="1"/>
  <c r="E295" i="16"/>
  <c r="B297" i="16" l="1"/>
  <c r="E296" i="16"/>
  <c r="B298" i="16" l="1"/>
  <c r="E297" i="16"/>
  <c r="B299" i="16" l="1"/>
  <c r="E298" i="16"/>
  <c r="B300" i="16" l="1"/>
  <c r="E299" i="16"/>
  <c r="B301" i="16" l="1"/>
  <c r="E300" i="16"/>
  <c r="B302" i="16" l="1"/>
  <c r="E301" i="16"/>
  <c r="B303" i="16" l="1"/>
  <c r="E302" i="16"/>
  <c r="B304" i="16" l="1"/>
  <c r="E303" i="16"/>
  <c r="B305" i="16" l="1"/>
  <c r="E304" i="16"/>
  <c r="B306" i="16" l="1"/>
  <c r="E305" i="16"/>
  <c r="B307" i="16" l="1"/>
  <c r="E306" i="16"/>
  <c r="B308" i="16" l="1"/>
  <c r="E307" i="16"/>
  <c r="B309" i="16" l="1"/>
  <c r="E308" i="16"/>
  <c r="B310" i="16" l="1"/>
  <c r="E309" i="16"/>
  <c r="B311" i="16" l="1"/>
  <c r="E310" i="16"/>
  <c r="B312" i="16" l="1"/>
  <c r="E311" i="16"/>
  <c r="B313" i="16" l="1"/>
  <c r="E312" i="16"/>
  <c r="B314" i="16" l="1"/>
  <c r="E313" i="16"/>
  <c r="B315" i="16" l="1"/>
  <c r="E314" i="16"/>
  <c r="B316" i="16" l="1"/>
  <c r="E315" i="16"/>
  <c r="B317" i="16" l="1"/>
  <c r="E316" i="16"/>
  <c r="B318" i="16" l="1"/>
  <c r="E317" i="16"/>
  <c r="B319" i="16" l="1"/>
  <c r="E318" i="16"/>
  <c r="B320" i="16" l="1"/>
  <c r="E319" i="16"/>
  <c r="B321" i="16" l="1"/>
  <c r="E320" i="16"/>
  <c r="B322" i="16" l="1"/>
  <c r="E321" i="16"/>
  <c r="B323" i="16" l="1"/>
  <c r="E322" i="16"/>
  <c r="B324" i="16" l="1"/>
  <c r="E323" i="16"/>
  <c r="B325" i="16" l="1"/>
  <c r="E324" i="16"/>
  <c r="B326" i="16" l="1"/>
  <c r="E325" i="16"/>
  <c r="B327" i="16" l="1"/>
  <c r="E326" i="16"/>
  <c r="B328" i="16" l="1"/>
  <c r="E327" i="16"/>
  <c r="B329" i="16" l="1"/>
  <c r="E328" i="16"/>
  <c r="B330" i="16" l="1"/>
  <c r="E329" i="16"/>
  <c r="B331" i="16" l="1"/>
  <c r="E330" i="16"/>
  <c r="B332" i="16" l="1"/>
  <c r="E331" i="16"/>
  <c r="B333" i="16" l="1"/>
  <c r="E332" i="16"/>
  <c r="B334" i="16" l="1"/>
  <c r="E333" i="16"/>
  <c r="B335" i="16" l="1"/>
  <c r="E334" i="16"/>
  <c r="B336" i="16" l="1"/>
  <c r="E335" i="16"/>
  <c r="B337" i="16" l="1"/>
  <c r="E336" i="16"/>
  <c r="B338" i="16" l="1"/>
  <c r="E337" i="16"/>
  <c r="B339" i="16" l="1"/>
  <c r="E338" i="16"/>
  <c r="B340" i="16" l="1"/>
  <c r="E339" i="16"/>
  <c r="B341" i="16" l="1"/>
  <c r="E340" i="16"/>
  <c r="B342" i="16" l="1"/>
  <c r="E341" i="16"/>
  <c r="B343" i="16" l="1"/>
  <c r="E342" i="16"/>
  <c r="B344" i="16" l="1"/>
  <c r="E343" i="16"/>
  <c r="B345" i="16" l="1"/>
  <c r="E344" i="16"/>
  <c r="B346" i="16" l="1"/>
  <c r="E345" i="16"/>
  <c r="B347" i="16" l="1"/>
  <c r="E346" i="16"/>
  <c r="B348" i="16" l="1"/>
  <c r="E347" i="16"/>
  <c r="B349" i="16" l="1"/>
  <c r="E348" i="16"/>
  <c r="B350" i="16" l="1"/>
  <c r="E349" i="16"/>
  <c r="B351" i="16" l="1"/>
  <c r="E350" i="16"/>
  <c r="B352" i="16" l="1"/>
  <c r="E351" i="16"/>
  <c r="B353" i="16" l="1"/>
  <c r="E352" i="16"/>
  <c r="B354" i="16" l="1"/>
  <c r="E353" i="16"/>
  <c r="B355" i="16" l="1"/>
  <c r="E354" i="16"/>
  <c r="B356" i="16" l="1"/>
  <c r="E355" i="16"/>
  <c r="B357" i="16" l="1"/>
  <c r="E356" i="16"/>
  <c r="B358" i="16" l="1"/>
  <c r="E357" i="16"/>
  <c r="B359" i="16" l="1"/>
  <c r="E358" i="16"/>
  <c r="B360" i="16" l="1"/>
  <c r="E359" i="16"/>
  <c r="B361" i="16" l="1"/>
  <c r="E360" i="16"/>
  <c r="E361" i="16" l="1"/>
  <c r="B362" i="16"/>
  <c r="E362" i="16" l="1"/>
  <c r="B363" i="16"/>
  <c r="B364" i="16" l="1"/>
  <c r="E363" i="16"/>
  <c r="B365" i="16" l="1"/>
  <c r="E364" i="16"/>
  <c r="E365" i="16" l="1"/>
  <c r="B366" i="16"/>
  <c r="E366" i="16" l="1"/>
  <c r="B367" i="16"/>
  <c r="B368" i="16" l="1"/>
  <c r="E367" i="16"/>
  <c r="B369" i="16" l="1"/>
  <c r="E368" i="16"/>
  <c r="E369" i="16" l="1"/>
  <c r="B370" i="16"/>
  <c r="E370" i="16" l="1"/>
  <c r="B371" i="16"/>
  <c r="B372" i="16" l="1"/>
  <c r="E371" i="16"/>
  <c r="B373" i="16" l="1"/>
  <c r="E372" i="16"/>
  <c r="E373" i="16" l="1"/>
  <c r="B374" i="16"/>
  <c r="E374" i="16" l="1"/>
  <c r="B375" i="16"/>
  <c r="B376" i="16" l="1"/>
  <c r="E375" i="16"/>
  <c r="B377" i="16" l="1"/>
  <c r="E376" i="16"/>
  <c r="E377" i="16" l="1"/>
  <c r="B378" i="16"/>
  <c r="E378" i="16" l="1"/>
  <c r="B379" i="16"/>
  <c r="B380" i="16" l="1"/>
  <c r="E379" i="16"/>
  <c r="B381" i="16" l="1"/>
  <c r="E380" i="16"/>
  <c r="E381" i="16" l="1"/>
  <c r="B382" i="16"/>
  <c r="E382" i="16" l="1"/>
  <c r="B383" i="16"/>
  <c r="B384" i="16" l="1"/>
  <c r="E383" i="16"/>
  <c r="B385" i="16" l="1"/>
  <c r="E384" i="16"/>
  <c r="E385" i="16" l="1"/>
  <c r="B386" i="16"/>
  <c r="E386" i="16" l="1"/>
  <c r="B387" i="16"/>
  <c r="B388" i="16" l="1"/>
  <c r="E387" i="16"/>
  <c r="B389" i="16" l="1"/>
  <c r="E388" i="16"/>
  <c r="E389" i="16" l="1"/>
  <c r="B390" i="16"/>
  <c r="E390" i="16" l="1"/>
  <c r="B391" i="16"/>
  <c r="B392" i="16" l="1"/>
  <c r="E391" i="16"/>
  <c r="B393" i="16" l="1"/>
  <c r="E392" i="16"/>
  <c r="E393" i="16" l="1"/>
  <c r="B394" i="16"/>
  <c r="E394" i="16" l="1"/>
  <c r="B395" i="16"/>
  <c r="B396" i="16" l="1"/>
  <c r="E395" i="16"/>
  <c r="B397" i="16" l="1"/>
  <c r="E396" i="16"/>
  <c r="E397" i="16" l="1"/>
  <c r="B398" i="16"/>
  <c r="E398" i="16" l="1"/>
  <c r="B399" i="16"/>
  <c r="B400" i="16" l="1"/>
  <c r="E399" i="16"/>
  <c r="B401" i="16" l="1"/>
  <c r="E400" i="16"/>
  <c r="E401" i="16" l="1"/>
  <c r="B402" i="16"/>
  <c r="E402" i="16" l="1"/>
  <c r="B403" i="16"/>
  <c r="B404" i="16" l="1"/>
  <c r="E403" i="16"/>
  <c r="B405" i="16" l="1"/>
  <c r="E404" i="16"/>
  <c r="E405" i="16" l="1"/>
  <c r="B406" i="16"/>
  <c r="E406" i="16" l="1"/>
  <c r="B407" i="16"/>
  <c r="B408" i="16" l="1"/>
  <c r="E407" i="16"/>
  <c r="B409" i="16" l="1"/>
  <c r="E408" i="16"/>
  <c r="E409" i="16" l="1"/>
  <c r="B410" i="16"/>
  <c r="E410" i="16" l="1"/>
  <c r="B411" i="16"/>
  <c r="B412" i="16" l="1"/>
  <c r="E411" i="16"/>
  <c r="B413" i="16" l="1"/>
  <c r="E412" i="16"/>
  <c r="E413" i="16" l="1"/>
  <c r="B414" i="16"/>
  <c r="E414" i="16" l="1"/>
  <c r="B415" i="16"/>
  <c r="B416" i="16" l="1"/>
  <c r="E415" i="16"/>
  <c r="B417" i="16" l="1"/>
  <c r="E416" i="16"/>
  <c r="E417" i="16" l="1"/>
  <c r="B418" i="16"/>
  <c r="E418" i="16" l="1"/>
  <c r="B419" i="16"/>
  <c r="B420" i="16" l="1"/>
  <c r="E419" i="16"/>
  <c r="B421" i="16" l="1"/>
  <c r="E420" i="16"/>
  <c r="E421" i="16" l="1"/>
  <c r="B422" i="16"/>
  <c r="E422" i="16" l="1"/>
  <c r="B423" i="16"/>
  <c r="B424" i="16" l="1"/>
  <c r="E423" i="16"/>
  <c r="B425" i="16" l="1"/>
  <c r="E424" i="16"/>
  <c r="E425" i="16" l="1"/>
  <c r="B426" i="16"/>
  <c r="E426" i="16" l="1"/>
  <c r="B427" i="16"/>
  <c r="B428" i="16" l="1"/>
  <c r="E427" i="16"/>
  <c r="B429" i="16" l="1"/>
  <c r="E428" i="16"/>
  <c r="E429" i="16" l="1"/>
  <c r="B430" i="16"/>
  <c r="E430" i="16" l="1"/>
  <c r="B431" i="16"/>
  <c r="B432" i="16" l="1"/>
  <c r="E431" i="16"/>
  <c r="B433" i="16" l="1"/>
  <c r="E432" i="16"/>
  <c r="E433" i="16" l="1"/>
  <c r="B434" i="16"/>
  <c r="E434" i="16" l="1"/>
  <c r="B435" i="16"/>
  <c r="B436" i="16" l="1"/>
  <c r="E435" i="16"/>
  <c r="B437" i="16" l="1"/>
  <c r="E436" i="16"/>
  <c r="E437" i="16" l="1"/>
  <c r="B438" i="16"/>
  <c r="E438" i="16" l="1"/>
  <c r="B439" i="16"/>
  <c r="B440" i="16" l="1"/>
  <c r="E439" i="16"/>
  <c r="B441" i="16" l="1"/>
  <c r="E440" i="16"/>
  <c r="E441" i="16" l="1"/>
  <c r="B442" i="16"/>
  <c r="E442" i="16" l="1"/>
  <c r="B443" i="16"/>
  <c r="B444" i="16" l="1"/>
  <c r="E443" i="16"/>
  <c r="B445" i="16" l="1"/>
  <c r="E444" i="16"/>
  <c r="E445" i="16" l="1"/>
  <c r="B446" i="16"/>
  <c r="E446" i="16" l="1"/>
  <c r="B447" i="16"/>
  <c r="B448" i="16" l="1"/>
  <c r="E447" i="16"/>
  <c r="B449" i="16" l="1"/>
  <c r="E448" i="16"/>
  <c r="E449" i="16" l="1"/>
  <c r="B450" i="16"/>
  <c r="E450" i="16" l="1"/>
  <c r="B451" i="16"/>
  <c r="B452" i="16" l="1"/>
  <c r="E451" i="16"/>
  <c r="B453" i="16" l="1"/>
  <c r="E452" i="16"/>
  <c r="E453" i="16" l="1"/>
  <c r="B454" i="16"/>
  <c r="E454" i="16" l="1"/>
  <c r="B455" i="16"/>
  <c r="B456" i="16" l="1"/>
  <c r="E455" i="16"/>
  <c r="B457" i="16" l="1"/>
  <c r="E456" i="16"/>
  <c r="E457" i="16" l="1"/>
  <c r="B458" i="16"/>
  <c r="E458" i="16" l="1"/>
  <c r="B459" i="16"/>
  <c r="B460" i="16" l="1"/>
  <c r="E459" i="16"/>
  <c r="B461" i="16" l="1"/>
  <c r="E460" i="16"/>
  <c r="E461" i="16" l="1"/>
  <c r="B462" i="16"/>
  <c r="E462" i="16" l="1"/>
  <c r="B463" i="16"/>
  <c r="B464" i="16" l="1"/>
  <c r="E463" i="16"/>
  <c r="B465" i="16" l="1"/>
  <c r="E464" i="16"/>
  <c r="E465" i="16" l="1"/>
  <c r="B466" i="16"/>
  <c r="E466" i="16" l="1"/>
  <c r="B467" i="16"/>
  <c r="B468" i="16" l="1"/>
  <c r="E467" i="16"/>
  <c r="B469" i="16" l="1"/>
  <c r="E468" i="16"/>
  <c r="E469" i="16" l="1"/>
  <c r="B470" i="16"/>
  <c r="E470" i="16" l="1"/>
  <c r="B471" i="16"/>
  <c r="B472" i="16" l="1"/>
  <c r="E471" i="16"/>
  <c r="B473" i="16" l="1"/>
  <c r="E472" i="16"/>
  <c r="E473" i="16" l="1"/>
  <c r="B474" i="16"/>
  <c r="E474" i="16" l="1"/>
  <c r="B475" i="16"/>
  <c r="B476" i="16" l="1"/>
  <c r="E475" i="16"/>
  <c r="B477" i="16" l="1"/>
  <c r="E476" i="16"/>
  <c r="E477" i="16" l="1"/>
  <c r="B478" i="16"/>
  <c r="E478" i="16" l="1"/>
  <c r="B479" i="16"/>
  <c r="B480" i="16" l="1"/>
  <c r="E479" i="16"/>
  <c r="B481" i="16" l="1"/>
  <c r="E480" i="16"/>
  <c r="E481" i="16" l="1"/>
  <c r="B482" i="16"/>
  <c r="E482" i="16" l="1"/>
  <c r="B483" i="16"/>
  <c r="B484" i="16" l="1"/>
  <c r="E483" i="16"/>
  <c r="B485" i="16" l="1"/>
  <c r="E484" i="16"/>
  <c r="E485" i="16" l="1"/>
  <c r="B486" i="16"/>
  <c r="E486" i="16" l="1"/>
  <c r="B487" i="16"/>
  <c r="B488" i="16" l="1"/>
  <c r="E487" i="16"/>
  <c r="B489" i="16" l="1"/>
  <c r="E488" i="16"/>
  <c r="E489" i="16" l="1"/>
  <c r="B490" i="16"/>
  <c r="E490" i="16" l="1"/>
  <c r="B491" i="16"/>
  <c r="B492" i="16" l="1"/>
  <c r="E491" i="16"/>
  <c r="B493" i="16" l="1"/>
  <c r="E492" i="16"/>
  <c r="E493" i="16" l="1"/>
  <c r="B494" i="16"/>
  <c r="E494" i="16" l="1"/>
  <c r="B495" i="16"/>
  <c r="B496" i="16" l="1"/>
  <c r="E495" i="16"/>
  <c r="B497" i="16" l="1"/>
  <c r="E496" i="16"/>
  <c r="E497" i="16" l="1"/>
  <c r="B498" i="16"/>
  <c r="E498" i="16" l="1"/>
  <c r="B499" i="16"/>
  <c r="B500" i="16" l="1"/>
  <c r="E499" i="16"/>
  <c r="B501" i="16" l="1"/>
  <c r="E500" i="16"/>
  <c r="E501" i="16" l="1"/>
  <c r="B502" i="16"/>
  <c r="E502" i="16" l="1"/>
  <c r="B503" i="16"/>
  <c r="B504" i="16" l="1"/>
  <c r="E503" i="16"/>
  <c r="B505" i="16" l="1"/>
  <c r="E504" i="16"/>
  <c r="E505" i="16" l="1"/>
  <c r="B506" i="16"/>
  <c r="E506" i="16" l="1"/>
  <c r="B507" i="16"/>
  <c r="B508" i="16" l="1"/>
  <c r="E507" i="16"/>
  <c r="B509" i="16" l="1"/>
  <c r="E508" i="16"/>
  <c r="E509" i="16" l="1"/>
  <c r="B510" i="16"/>
  <c r="E510" i="16" l="1"/>
  <c r="B511" i="16"/>
  <c r="B512" i="16" l="1"/>
  <c r="E511" i="16"/>
  <c r="B513" i="16" l="1"/>
  <c r="E512" i="16"/>
  <c r="E513" i="16" l="1"/>
  <c r="B514" i="16"/>
  <c r="E514" i="16" l="1"/>
  <c r="B515" i="16"/>
  <c r="B516" i="16" l="1"/>
  <c r="E515" i="16"/>
  <c r="B517" i="16" l="1"/>
  <c r="E516" i="16"/>
  <c r="E517" i="16" l="1"/>
  <c r="B518" i="16"/>
  <c r="E518" i="16" l="1"/>
  <c r="B519" i="16"/>
  <c r="B520" i="16" l="1"/>
  <c r="E519" i="16"/>
  <c r="B521" i="16" l="1"/>
  <c r="E520" i="16"/>
  <c r="E521" i="16" l="1"/>
  <c r="B522" i="16"/>
  <c r="E522" i="16" l="1"/>
  <c r="B523" i="16"/>
  <c r="B524" i="16" l="1"/>
  <c r="E523" i="16"/>
  <c r="B525" i="16" l="1"/>
  <c r="E524" i="16"/>
  <c r="E525" i="16" l="1"/>
  <c r="B526" i="16"/>
  <c r="E526" i="16" l="1"/>
  <c r="B527" i="16"/>
  <c r="B528" i="16" l="1"/>
  <c r="E527" i="16"/>
  <c r="B529" i="16" l="1"/>
  <c r="E528" i="16"/>
  <c r="E529" i="16" l="1"/>
  <c r="B530" i="16"/>
  <c r="E530" i="16" l="1"/>
  <c r="B531" i="16"/>
  <c r="B532" i="16" l="1"/>
  <c r="E531" i="16"/>
  <c r="B533" i="16" l="1"/>
  <c r="E532" i="16"/>
  <c r="E533" i="16" l="1"/>
  <c r="B534" i="16"/>
  <c r="E534" i="16" l="1"/>
  <c r="B535" i="16"/>
  <c r="B536" i="16" l="1"/>
  <c r="E535" i="16"/>
  <c r="B537" i="16" l="1"/>
  <c r="E536" i="16"/>
  <c r="E537" i="16" l="1"/>
  <c r="B538" i="16"/>
  <c r="E538" i="16" l="1"/>
  <c r="B539" i="16"/>
  <c r="B540" i="16" l="1"/>
  <c r="E539" i="16"/>
  <c r="B541" i="16" l="1"/>
  <c r="E540" i="16"/>
  <c r="E541" i="16" l="1"/>
  <c r="B542" i="16"/>
  <c r="E542" i="16" l="1"/>
  <c r="B543" i="16"/>
  <c r="B544" i="16" l="1"/>
  <c r="E543" i="16"/>
  <c r="B545" i="16" l="1"/>
  <c r="E544" i="16"/>
  <c r="B546" i="16" l="1"/>
  <c r="E545" i="16"/>
  <c r="B547" i="16" l="1"/>
  <c r="E546" i="16"/>
  <c r="B548" i="16" l="1"/>
  <c r="E547" i="16"/>
  <c r="B549" i="16" l="1"/>
  <c r="E548" i="16"/>
  <c r="B550" i="16" l="1"/>
  <c r="E549" i="16"/>
  <c r="B551" i="16" l="1"/>
  <c r="E550" i="16"/>
  <c r="B552" i="16" l="1"/>
  <c r="E551" i="16"/>
  <c r="B553" i="16" l="1"/>
  <c r="E552" i="16"/>
  <c r="B554" i="16" l="1"/>
  <c r="E553" i="16"/>
  <c r="B555" i="16" l="1"/>
  <c r="E554" i="16"/>
  <c r="B556" i="16" l="1"/>
  <c r="E555" i="16"/>
  <c r="B557" i="16" l="1"/>
  <c r="E556" i="16"/>
  <c r="B558" i="16" l="1"/>
  <c r="E557" i="16"/>
  <c r="B559" i="16" l="1"/>
  <c r="E558" i="16"/>
  <c r="B560" i="16" l="1"/>
  <c r="E559" i="16"/>
  <c r="B561" i="16" l="1"/>
  <c r="E560" i="16"/>
  <c r="B562" i="16" l="1"/>
  <c r="E561" i="16"/>
  <c r="B563" i="16" l="1"/>
  <c r="E562" i="16"/>
  <c r="B564" i="16" l="1"/>
  <c r="E563" i="16"/>
  <c r="B565" i="16" l="1"/>
  <c r="E564" i="16"/>
  <c r="B566" i="16" l="1"/>
  <c r="E565" i="16"/>
  <c r="B567" i="16" l="1"/>
  <c r="E566" i="16"/>
  <c r="B568" i="16" l="1"/>
  <c r="E567" i="16"/>
  <c r="B569" i="16" l="1"/>
  <c r="E568" i="16"/>
  <c r="B570" i="16" l="1"/>
  <c r="E569" i="16"/>
  <c r="B571" i="16" l="1"/>
  <c r="E570" i="16"/>
  <c r="B572" i="16" l="1"/>
  <c r="E571" i="16"/>
  <c r="B573" i="16" l="1"/>
  <c r="E572" i="16"/>
  <c r="B574" i="16" l="1"/>
  <c r="E573" i="16"/>
  <c r="B575" i="16" l="1"/>
  <c r="E574" i="16"/>
  <c r="B576" i="16" l="1"/>
  <c r="E575" i="16"/>
  <c r="B577" i="16" l="1"/>
  <c r="E576" i="16"/>
  <c r="B578" i="16" l="1"/>
  <c r="E577" i="16"/>
  <c r="B579" i="16" l="1"/>
  <c r="E578" i="16"/>
  <c r="B580" i="16" l="1"/>
  <c r="E579" i="16"/>
  <c r="B581" i="16" l="1"/>
  <c r="E580" i="16"/>
  <c r="B582" i="16" l="1"/>
  <c r="E581" i="16"/>
  <c r="B583" i="16" l="1"/>
  <c r="E582" i="16"/>
  <c r="B584" i="16" l="1"/>
  <c r="E583" i="16"/>
  <c r="B585" i="16" l="1"/>
  <c r="E584" i="16"/>
  <c r="B586" i="16" l="1"/>
  <c r="E585" i="16"/>
  <c r="B587" i="16" l="1"/>
  <c r="E586" i="16"/>
  <c r="B588" i="16" l="1"/>
  <c r="E587" i="16"/>
  <c r="B589" i="16" l="1"/>
  <c r="E588" i="16"/>
  <c r="B590" i="16" l="1"/>
  <c r="E589" i="16"/>
  <c r="B591" i="16" l="1"/>
  <c r="E590" i="16"/>
  <c r="B592" i="16" l="1"/>
  <c r="E591" i="16"/>
  <c r="B593" i="16" l="1"/>
  <c r="E592" i="16"/>
  <c r="B594" i="16" l="1"/>
  <c r="E593" i="16"/>
  <c r="E594" i="16" l="1"/>
  <c r="B595" i="16"/>
  <c r="B596" i="16" l="1"/>
  <c r="E595" i="16"/>
  <c r="B597" i="16" l="1"/>
  <c r="E596" i="16"/>
  <c r="E597" i="16" l="1"/>
  <c r="B598" i="16"/>
  <c r="E598" i="16" l="1"/>
  <c r="B599" i="16"/>
  <c r="B600" i="16" l="1"/>
  <c r="E599" i="16"/>
  <c r="B601" i="16" l="1"/>
  <c r="E600" i="16"/>
  <c r="E601" i="16" l="1"/>
  <c r="B602" i="16"/>
  <c r="E602" i="16" l="1"/>
  <c r="B603" i="16"/>
  <c r="B604" i="16" l="1"/>
  <c r="E603" i="16"/>
  <c r="B605" i="16" l="1"/>
  <c r="E604" i="16"/>
  <c r="E605" i="16" l="1"/>
  <c r="B606" i="16"/>
  <c r="E606" i="16" l="1"/>
  <c r="B607" i="16"/>
  <c r="B608" i="16" l="1"/>
  <c r="E607" i="16"/>
  <c r="B609" i="16" l="1"/>
  <c r="E608" i="16"/>
  <c r="E609" i="16" l="1"/>
  <c r="B610" i="16"/>
  <c r="E610" i="16" l="1"/>
  <c r="B611" i="16"/>
  <c r="B612" i="16" l="1"/>
  <c r="E611" i="16"/>
  <c r="B613" i="16" l="1"/>
  <c r="E612" i="16"/>
  <c r="E613" i="16" l="1"/>
  <c r="B614" i="16"/>
  <c r="E614" i="16" l="1"/>
  <c r="B615" i="16"/>
  <c r="B616" i="16" l="1"/>
  <c r="E615" i="16"/>
  <c r="B617" i="16" l="1"/>
  <c r="E616" i="16"/>
  <c r="E617" i="16" l="1"/>
  <c r="B618" i="16"/>
  <c r="E618" i="16" l="1"/>
  <c r="B619" i="16"/>
  <c r="B620" i="16" l="1"/>
  <c r="E619" i="16"/>
  <c r="B621" i="16" l="1"/>
  <c r="E620" i="16"/>
  <c r="E621" i="16" l="1"/>
  <c r="B622" i="16"/>
  <c r="E622" i="16" l="1"/>
  <c r="B623" i="16"/>
  <c r="B624" i="16" l="1"/>
  <c r="E623" i="16"/>
  <c r="B625" i="16" l="1"/>
  <c r="E624" i="16"/>
  <c r="E625" i="16" l="1"/>
  <c r="B626" i="16"/>
  <c r="E626" i="16" l="1"/>
  <c r="B627" i="16"/>
  <c r="B628" i="16" l="1"/>
  <c r="E627" i="16"/>
  <c r="B629" i="16" l="1"/>
  <c r="E628" i="16"/>
  <c r="E629" i="16" l="1"/>
  <c r="B630" i="16"/>
  <c r="E630" i="16" l="1"/>
  <c r="B631" i="16"/>
  <c r="B632" i="16" l="1"/>
  <c r="E631" i="16"/>
  <c r="B633" i="16" l="1"/>
  <c r="E632" i="16"/>
  <c r="E633" i="16" l="1"/>
  <c r="B634" i="16"/>
  <c r="E634" i="16" l="1"/>
  <c r="B635" i="16"/>
  <c r="B636" i="16" l="1"/>
  <c r="E635" i="16"/>
  <c r="B637" i="16" l="1"/>
  <c r="E636" i="16"/>
  <c r="E637" i="16" l="1"/>
  <c r="B638" i="16"/>
  <c r="E638" i="16" l="1"/>
  <c r="B639" i="16"/>
  <c r="B640" i="16" l="1"/>
  <c r="E639" i="16"/>
  <c r="B641" i="16" l="1"/>
  <c r="E640" i="16"/>
  <c r="E641" i="16" l="1"/>
  <c r="B642" i="16"/>
  <c r="E642" i="16" l="1"/>
  <c r="B643" i="16"/>
  <c r="B644" i="16" l="1"/>
  <c r="E643" i="16"/>
  <c r="B645" i="16" l="1"/>
  <c r="E644" i="16"/>
  <c r="E645" i="16" l="1"/>
  <c r="B646" i="16"/>
  <c r="E646" i="16" l="1"/>
  <c r="B647" i="16"/>
  <c r="B648" i="16" l="1"/>
  <c r="E647" i="16"/>
  <c r="B649" i="16" l="1"/>
  <c r="E648" i="16"/>
  <c r="E649" i="16" l="1"/>
  <c r="B650" i="16"/>
  <c r="E650" i="16" l="1"/>
  <c r="B651" i="16"/>
  <c r="B652" i="16" l="1"/>
  <c r="E651" i="16"/>
  <c r="B653" i="16" l="1"/>
  <c r="E652" i="16"/>
  <c r="E653" i="16" l="1"/>
  <c r="B654" i="16"/>
  <c r="E654" i="16" l="1"/>
  <c r="B655" i="16"/>
  <c r="B656" i="16" l="1"/>
  <c r="E655" i="16"/>
  <c r="B657" i="16" l="1"/>
  <c r="E656" i="16"/>
  <c r="E657" i="16" l="1"/>
  <c r="B658" i="16"/>
  <c r="E658" i="16" l="1"/>
  <c r="B659" i="16"/>
  <c r="B660" i="16" l="1"/>
  <c r="E659" i="16"/>
  <c r="B661" i="16" l="1"/>
  <c r="E660" i="16"/>
  <c r="E661" i="16" l="1"/>
  <c r="B662" i="16"/>
  <c r="E662" i="16" l="1"/>
  <c r="B663" i="16"/>
  <c r="B664" i="16" l="1"/>
  <c r="E663" i="16"/>
  <c r="B665" i="16" l="1"/>
  <c r="E664" i="16"/>
  <c r="E665" i="16" l="1"/>
  <c r="B666" i="16"/>
  <c r="E666" i="16" l="1"/>
  <c r="B667" i="16"/>
  <c r="B668" i="16" l="1"/>
  <c r="E667" i="16"/>
  <c r="B669" i="16" l="1"/>
  <c r="E668" i="16"/>
  <c r="E669" i="16" l="1"/>
  <c r="B670" i="16"/>
  <c r="E670" i="16" l="1"/>
  <c r="B671" i="16"/>
  <c r="B672" i="16" l="1"/>
  <c r="E671" i="16"/>
  <c r="B673" i="16" l="1"/>
  <c r="E672" i="16"/>
  <c r="E673" i="16" l="1"/>
  <c r="B674" i="16"/>
  <c r="E674" i="16" l="1"/>
  <c r="B675" i="16"/>
  <c r="B676" i="16" l="1"/>
  <c r="E675" i="16"/>
  <c r="B677" i="16" l="1"/>
  <c r="E676" i="16"/>
  <c r="E677" i="16" l="1"/>
  <c r="B678" i="16"/>
  <c r="E678" i="16" l="1"/>
  <c r="B679" i="16"/>
  <c r="B680" i="16" l="1"/>
  <c r="E679" i="16"/>
  <c r="B681" i="16" l="1"/>
  <c r="E680" i="16"/>
  <c r="E681" i="16" l="1"/>
  <c r="B682" i="16"/>
  <c r="E682" i="16" l="1"/>
  <c r="B683" i="16"/>
  <c r="B684" i="16" l="1"/>
  <c r="E683" i="16"/>
  <c r="B685" i="16" l="1"/>
  <c r="E684" i="16"/>
  <c r="E685" i="16" l="1"/>
  <c r="B686" i="16"/>
  <c r="E686" i="16" l="1"/>
  <c r="B687" i="16"/>
  <c r="B688" i="16" l="1"/>
  <c r="E687" i="16"/>
  <c r="B689" i="16" l="1"/>
  <c r="E688" i="16"/>
  <c r="E689" i="16" l="1"/>
  <c r="B690" i="16"/>
  <c r="E690" i="16" l="1"/>
  <c r="B691" i="16"/>
  <c r="B692" i="16" l="1"/>
  <c r="E691" i="16"/>
  <c r="B693" i="16" l="1"/>
  <c r="E692" i="16"/>
  <c r="E693" i="16" l="1"/>
  <c r="B694" i="16"/>
  <c r="E694" i="16" l="1"/>
  <c r="B695" i="16"/>
  <c r="B696" i="16" l="1"/>
  <c r="E695" i="16"/>
  <c r="B697" i="16" l="1"/>
  <c r="E696" i="16"/>
  <c r="E697" i="16" l="1"/>
  <c r="B698" i="16"/>
  <c r="E698" i="16" l="1"/>
  <c r="B699" i="16"/>
  <c r="B700" i="16" l="1"/>
  <c r="E699" i="16"/>
  <c r="B701" i="16" l="1"/>
  <c r="E700" i="16"/>
  <c r="E701" i="16" l="1"/>
  <c r="B702" i="16"/>
  <c r="E702" i="16" l="1"/>
  <c r="B703" i="16"/>
  <c r="B704" i="16" l="1"/>
  <c r="E703" i="16"/>
  <c r="B705" i="16" l="1"/>
  <c r="E704" i="16"/>
  <c r="E705" i="16" l="1"/>
  <c r="B706" i="16"/>
  <c r="E706" i="16" l="1"/>
  <c r="B707" i="16"/>
  <c r="B708" i="16" l="1"/>
  <c r="E707" i="16"/>
  <c r="B709" i="16" l="1"/>
  <c r="E708" i="16"/>
  <c r="E709" i="16" l="1"/>
  <c r="B710" i="16"/>
  <c r="E710" i="16" l="1"/>
  <c r="B711" i="16"/>
  <c r="B712" i="16" l="1"/>
  <c r="E711" i="16"/>
  <c r="B713" i="16" l="1"/>
  <c r="E712" i="16"/>
  <c r="E713" i="16" l="1"/>
  <c r="B714" i="16"/>
  <c r="E714" i="16" l="1"/>
  <c r="B715" i="16"/>
  <c r="B716" i="16" l="1"/>
  <c r="E715" i="16"/>
  <c r="B717" i="16" l="1"/>
  <c r="E716" i="16"/>
  <c r="E717" i="16" l="1"/>
  <c r="B718" i="16"/>
  <c r="E718" i="16" l="1"/>
  <c r="B719" i="16"/>
  <c r="B720" i="16" l="1"/>
  <c r="E719" i="16"/>
  <c r="B721" i="16" l="1"/>
  <c r="E720" i="16"/>
  <c r="E721" i="16" l="1"/>
  <c r="B722" i="16"/>
  <c r="E722" i="16" l="1"/>
  <c r="B723" i="16"/>
  <c r="B724" i="16" l="1"/>
  <c r="E723" i="16"/>
  <c r="B725" i="16" l="1"/>
  <c r="E724" i="16"/>
  <c r="E725" i="16" l="1"/>
  <c r="B726" i="16"/>
  <c r="E726" i="16" l="1"/>
  <c r="B727" i="16"/>
  <c r="B728" i="16" l="1"/>
  <c r="E727" i="16"/>
  <c r="B729" i="16" l="1"/>
  <c r="E728" i="16"/>
  <c r="E729" i="16" l="1"/>
  <c r="B730" i="16"/>
  <c r="E730" i="16" l="1"/>
  <c r="B731" i="16"/>
  <c r="B732" i="16" l="1"/>
  <c r="E731" i="16"/>
  <c r="B733" i="16" l="1"/>
  <c r="E732" i="16"/>
  <c r="E733" i="16" l="1"/>
  <c r="B734" i="16"/>
  <c r="E734" i="16" l="1"/>
  <c r="B735" i="16"/>
  <c r="B736" i="16" l="1"/>
  <c r="E735" i="16"/>
  <c r="B737" i="16" l="1"/>
  <c r="E736" i="16"/>
  <c r="E737" i="16" l="1"/>
  <c r="B738" i="16"/>
  <c r="E738" i="16" l="1"/>
  <c r="B739" i="16"/>
  <c r="B740" i="16" l="1"/>
  <c r="E739" i="16"/>
  <c r="B741" i="16" l="1"/>
  <c r="E740" i="16"/>
  <c r="E741" i="16" l="1"/>
  <c r="B742" i="16"/>
  <c r="E742" i="16" l="1"/>
  <c r="B743" i="16"/>
  <c r="B744" i="16" l="1"/>
  <c r="E743" i="16"/>
  <c r="B745" i="16" l="1"/>
  <c r="E744" i="16"/>
  <c r="E745" i="16" l="1"/>
  <c r="B746" i="16"/>
  <c r="E746" i="16" l="1"/>
  <c r="B747" i="16"/>
  <c r="B748" i="16" l="1"/>
  <c r="E747" i="16"/>
  <c r="B749" i="16" l="1"/>
  <c r="E748" i="16"/>
  <c r="E749" i="16" l="1"/>
  <c r="B750" i="16"/>
  <c r="E750" i="16" l="1"/>
  <c r="B751" i="16"/>
  <c r="B752" i="16" l="1"/>
  <c r="E751" i="16"/>
  <c r="B753" i="16" l="1"/>
  <c r="E752" i="16"/>
  <c r="E753" i="16" l="1"/>
  <c r="B754" i="16"/>
  <c r="E754" i="16" l="1"/>
  <c r="B755" i="16"/>
  <c r="B756" i="16" l="1"/>
  <c r="E755" i="16"/>
  <c r="B757" i="16" l="1"/>
  <c r="E756" i="16"/>
  <c r="E757" i="16" l="1"/>
  <c r="B758" i="16"/>
  <c r="E758" i="16" l="1"/>
  <c r="B759" i="16"/>
  <c r="B760" i="16" l="1"/>
  <c r="E759" i="16"/>
  <c r="B761" i="16" l="1"/>
  <c r="E760" i="16"/>
  <c r="E761" i="16" l="1"/>
  <c r="B762" i="16"/>
  <c r="E762" i="16" l="1"/>
  <c r="B763" i="16"/>
  <c r="B764" i="16" l="1"/>
  <c r="E763" i="16"/>
  <c r="B765" i="16" l="1"/>
  <c r="E764" i="16"/>
  <c r="E765" i="16" l="1"/>
  <c r="B766" i="16"/>
  <c r="E766" i="16" l="1"/>
  <c r="B767" i="16"/>
  <c r="B768" i="16" l="1"/>
  <c r="E767" i="16"/>
  <c r="B769" i="16" l="1"/>
  <c r="E768" i="16"/>
  <c r="B770" i="16" l="1"/>
  <c r="E769" i="16"/>
  <c r="B771" i="16" l="1"/>
  <c r="E770" i="16"/>
  <c r="B772" i="16" l="1"/>
  <c r="E771" i="16"/>
  <c r="B773" i="16" l="1"/>
  <c r="E772" i="16"/>
  <c r="B774" i="16" l="1"/>
  <c r="E773" i="16"/>
  <c r="B775" i="16" l="1"/>
  <c r="E774" i="16"/>
  <c r="B776" i="16" l="1"/>
  <c r="E775" i="16"/>
  <c r="B777" i="16" l="1"/>
  <c r="E776" i="16"/>
  <c r="B778" i="16" l="1"/>
  <c r="E777" i="16"/>
  <c r="B779" i="16" l="1"/>
  <c r="E778" i="16"/>
  <c r="B780" i="16" l="1"/>
  <c r="E779" i="16"/>
  <c r="B781" i="16" l="1"/>
  <c r="E780" i="16"/>
  <c r="B782" i="16" l="1"/>
  <c r="E781" i="16"/>
  <c r="B783" i="16" l="1"/>
  <c r="E782" i="16"/>
  <c r="B784" i="16" l="1"/>
  <c r="E783" i="16"/>
  <c r="B785" i="16" l="1"/>
  <c r="E784" i="16"/>
  <c r="B786" i="16" l="1"/>
  <c r="E785" i="16"/>
  <c r="B787" i="16" l="1"/>
  <c r="E786" i="16"/>
  <c r="B788" i="16" l="1"/>
  <c r="E787" i="16"/>
  <c r="B789" i="16" l="1"/>
  <c r="E788" i="16"/>
  <c r="B790" i="16" l="1"/>
  <c r="E789" i="16"/>
  <c r="B791" i="16" l="1"/>
  <c r="E790" i="16"/>
  <c r="B792" i="16" l="1"/>
  <c r="E791" i="16"/>
  <c r="B793" i="16" l="1"/>
  <c r="E792" i="16"/>
  <c r="B794" i="16" l="1"/>
  <c r="E793" i="16"/>
  <c r="B795" i="16" l="1"/>
  <c r="E794" i="16"/>
  <c r="B796" i="16" l="1"/>
  <c r="E795" i="16"/>
  <c r="B797" i="16" l="1"/>
  <c r="E796" i="16"/>
  <c r="B798" i="16" l="1"/>
  <c r="E797" i="16"/>
  <c r="B799" i="16" l="1"/>
  <c r="E798" i="16"/>
  <c r="B800" i="16" l="1"/>
  <c r="E799" i="16"/>
  <c r="B801" i="16" l="1"/>
  <c r="E800" i="16"/>
  <c r="B802" i="16" l="1"/>
  <c r="E801" i="16"/>
  <c r="B803" i="16" l="1"/>
  <c r="E802" i="16"/>
  <c r="B804" i="16" l="1"/>
  <c r="E803" i="16"/>
  <c r="B805" i="16" l="1"/>
  <c r="E804" i="16"/>
  <c r="B806" i="16" l="1"/>
  <c r="E805" i="16"/>
  <c r="B807" i="16" l="1"/>
  <c r="E806" i="16"/>
  <c r="B808" i="16" l="1"/>
  <c r="E807" i="16"/>
  <c r="B809" i="16" l="1"/>
  <c r="E808" i="16"/>
  <c r="B810" i="16" l="1"/>
  <c r="E809" i="16"/>
  <c r="B811" i="16" l="1"/>
  <c r="E810" i="16"/>
  <c r="B812" i="16" l="1"/>
  <c r="E811" i="16"/>
  <c r="B813" i="16" l="1"/>
  <c r="E812" i="16"/>
  <c r="B814" i="16" l="1"/>
  <c r="E813" i="16"/>
  <c r="B815" i="16" l="1"/>
  <c r="E814" i="16"/>
  <c r="B816" i="16" l="1"/>
  <c r="E815" i="16"/>
  <c r="B817" i="16" l="1"/>
  <c r="E816" i="16"/>
  <c r="B818" i="16" l="1"/>
  <c r="E817" i="16"/>
  <c r="B819" i="16" l="1"/>
  <c r="E818" i="16"/>
  <c r="B820" i="16" l="1"/>
  <c r="E819" i="16"/>
  <c r="B821" i="16" l="1"/>
  <c r="E820" i="16"/>
  <c r="B822" i="16" l="1"/>
  <c r="E821" i="16"/>
  <c r="B823" i="16" l="1"/>
  <c r="E822" i="16"/>
  <c r="B824" i="16" l="1"/>
  <c r="E823" i="16"/>
  <c r="B825" i="16" l="1"/>
  <c r="E824" i="16"/>
  <c r="B826" i="16" l="1"/>
  <c r="E825" i="16"/>
  <c r="B827" i="16" l="1"/>
  <c r="E826" i="16"/>
  <c r="B828" i="16" l="1"/>
  <c r="E827" i="16"/>
  <c r="B829" i="16" l="1"/>
  <c r="E828" i="16"/>
  <c r="B830" i="16" l="1"/>
  <c r="E829" i="16"/>
  <c r="B831" i="16" l="1"/>
  <c r="E830" i="16"/>
  <c r="B832" i="16" l="1"/>
  <c r="E831" i="16"/>
  <c r="B833" i="16" l="1"/>
  <c r="E832" i="16"/>
  <c r="B834" i="16" l="1"/>
  <c r="E833" i="16"/>
  <c r="B835" i="16" l="1"/>
  <c r="E834" i="16"/>
  <c r="B836" i="16" l="1"/>
  <c r="E835" i="16"/>
  <c r="B837" i="16" l="1"/>
  <c r="E836" i="16"/>
  <c r="B838" i="16" l="1"/>
  <c r="E837" i="16"/>
  <c r="B839" i="16" l="1"/>
  <c r="E838" i="16"/>
  <c r="B840" i="16" l="1"/>
  <c r="E839" i="16"/>
  <c r="B841" i="16" l="1"/>
  <c r="E840" i="16"/>
  <c r="E841" i="16" l="1"/>
  <c r="B842" i="16"/>
  <c r="E842" i="16" l="1"/>
  <c r="B843" i="16"/>
  <c r="E843" i="16" l="1"/>
  <c r="B844" i="16"/>
  <c r="B845" i="16" l="1"/>
  <c r="E844" i="16"/>
  <c r="E845" i="16" l="1"/>
  <c r="B846" i="16"/>
  <c r="E846" i="16" l="1"/>
  <c r="B847" i="16"/>
  <c r="B848" i="16" l="1"/>
  <c r="E847" i="16"/>
  <c r="B849" i="16" l="1"/>
  <c r="E848" i="16"/>
  <c r="E849" i="16" l="1"/>
  <c r="B850" i="16"/>
  <c r="E850" i="16" l="1"/>
  <c r="B851" i="16"/>
  <c r="B852" i="16" l="1"/>
  <c r="E851" i="16"/>
  <c r="B853" i="16" l="1"/>
  <c r="E852" i="16"/>
  <c r="E853" i="16" l="1"/>
  <c r="B854" i="16"/>
  <c r="E854" i="16" l="1"/>
  <c r="B855" i="16"/>
  <c r="B856" i="16" l="1"/>
  <c r="E855" i="16"/>
  <c r="B857" i="16" l="1"/>
  <c r="E856" i="16"/>
  <c r="E857" i="16" l="1"/>
  <c r="B858" i="16"/>
  <c r="E858" i="16" l="1"/>
  <c r="B859" i="16"/>
  <c r="B860" i="16" l="1"/>
  <c r="E859" i="16"/>
  <c r="B861" i="16" l="1"/>
  <c r="E860" i="16"/>
  <c r="E861" i="16" l="1"/>
  <c r="B862" i="16"/>
  <c r="E862" i="16" l="1"/>
  <c r="B863" i="16"/>
  <c r="B864" i="16" l="1"/>
  <c r="E863" i="16"/>
  <c r="B865" i="16" l="1"/>
  <c r="E864" i="16"/>
  <c r="E865" i="16" l="1"/>
  <c r="B866" i="16"/>
  <c r="E866" i="16" l="1"/>
  <c r="B867" i="16"/>
  <c r="B868" i="16" l="1"/>
  <c r="E867" i="16"/>
  <c r="B869" i="16" l="1"/>
  <c r="E868" i="16"/>
  <c r="E869" i="16" l="1"/>
  <c r="B870" i="16"/>
  <c r="E870" i="16" l="1"/>
  <c r="B871" i="16"/>
  <c r="B872" i="16" l="1"/>
  <c r="E871" i="16"/>
  <c r="B873" i="16" l="1"/>
  <c r="E872" i="16"/>
  <c r="E873" i="16" l="1"/>
  <c r="B874" i="16"/>
  <c r="E874" i="16" l="1"/>
  <c r="B875" i="16"/>
  <c r="B876" i="16" l="1"/>
  <c r="E875" i="16"/>
  <c r="B877" i="16" l="1"/>
  <c r="E876" i="16"/>
  <c r="E877" i="16" l="1"/>
  <c r="B878" i="16"/>
  <c r="E878" i="16" l="1"/>
  <c r="B879" i="16"/>
  <c r="B880" i="16" l="1"/>
  <c r="E879" i="16"/>
  <c r="B881" i="16" l="1"/>
  <c r="E880" i="16"/>
  <c r="E881" i="16" l="1"/>
  <c r="B882" i="16"/>
  <c r="E882" i="16" l="1"/>
  <c r="B883" i="16"/>
  <c r="B884" i="16" l="1"/>
  <c r="E883" i="16"/>
  <c r="B885" i="16" l="1"/>
  <c r="E884" i="16"/>
  <c r="E885" i="16" l="1"/>
  <c r="B886" i="16"/>
  <c r="E886" i="16" l="1"/>
  <c r="B887" i="16"/>
  <c r="B888" i="16" l="1"/>
  <c r="E887" i="16"/>
  <c r="B889" i="16" l="1"/>
  <c r="E888" i="16"/>
  <c r="E889" i="16" l="1"/>
  <c r="B890" i="16"/>
  <c r="E890" i="16" l="1"/>
  <c r="B891" i="16"/>
  <c r="B892" i="16" l="1"/>
  <c r="E891" i="16"/>
  <c r="B893" i="16" l="1"/>
  <c r="E892" i="16"/>
  <c r="E893" i="16" l="1"/>
  <c r="B894" i="16"/>
  <c r="E894" i="16" l="1"/>
  <c r="B895" i="16"/>
  <c r="B896" i="16" l="1"/>
  <c r="E895" i="16"/>
  <c r="B897" i="16" l="1"/>
  <c r="E896" i="16"/>
  <c r="E897" i="16" l="1"/>
  <c r="B898" i="16"/>
  <c r="E898" i="16" l="1"/>
  <c r="B899" i="16"/>
  <c r="B900" i="16" l="1"/>
  <c r="E899" i="16"/>
  <c r="B901" i="16" l="1"/>
  <c r="E900" i="16"/>
  <c r="E901" i="16" l="1"/>
  <c r="B902" i="16"/>
  <c r="E902" i="16" l="1"/>
  <c r="B903" i="16"/>
  <c r="B904" i="16" l="1"/>
  <c r="E903" i="16"/>
  <c r="B905" i="16" l="1"/>
  <c r="E904" i="16"/>
  <c r="E905" i="16" l="1"/>
  <c r="B906" i="16"/>
  <c r="E906" i="16" l="1"/>
  <c r="B907" i="16"/>
  <c r="B908" i="16" l="1"/>
  <c r="E907" i="16"/>
  <c r="B909" i="16" l="1"/>
  <c r="E908" i="16"/>
  <c r="E909" i="16" l="1"/>
  <c r="B910" i="16"/>
  <c r="E910" i="16" l="1"/>
  <c r="B911" i="16"/>
  <c r="B912" i="16" l="1"/>
  <c r="E911" i="16"/>
  <c r="B913" i="16" l="1"/>
  <c r="E912" i="16"/>
  <c r="E913" i="16" l="1"/>
  <c r="B914" i="16"/>
  <c r="E914" i="16" l="1"/>
  <c r="B915" i="16"/>
  <c r="B916" i="16" l="1"/>
  <c r="E915" i="16"/>
  <c r="B917" i="16" l="1"/>
  <c r="E916" i="16"/>
  <c r="E917" i="16" l="1"/>
  <c r="B918" i="16"/>
  <c r="E918" i="16" l="1"/>
  <c r="B919" i="16"/>
  <c r="B920" i="16" l="1"/>
  <c r="E919" i="16"/>
  <c r="B921" i="16" l="1"/>
  <c r="E920" i="16"/>
  <c r="E921" i="16" l="1"/>
  <c r="B922" i="16"/>
  <c r="E922" i="16" l="1"/>
  <c r="B923" i="16"/>
  <c r="B924" i="16" l="1"/>
  <c r="E923" i="16"/>
  <c r="B925" i="16" l="1"/>
  <c r="E924" i="16"/>
  <c r="E925" i="16" l="1"/>
  <c r="B926" i="16"/>
  <c r="E926" i="16" l="1"/>
  <c r="B927" i="16"/>
  <c r="B928" i="16" l="1"/>
  <c r="E927" i="16"/>
  <c r="B929" i="16" l="1"/>
  <c r="E928" i="16"/>
  <c r="E929" i="16" l="1"/>
  <c r="B930" i="16"/>
  <c r="E930" i="16" l="1"/>
  <c r="B931" i="16"/>
  <c r="B932" i="16" l="1"/>
  <c r="E931" i="16"/>
  <c r="B933" i="16" l="1"/>
  <c r="E932" i="16"/>
  <c r="E933" i="16" l="1"/>
  <c r="B934" i="16"/>
  <c r="E934" i="16" l="1"/>
  <c r="B935" i="16"/>
  <c r="B936" i="16" l="1"/>
  <c r="E935" i="16"/>
  <c r="B937" i="16" l="1"/>
  <c r="E936" i="16"/>
  <c r="E937" i="16" l="1"/>
  <c r="B938" i="16"/>
  <c r="E938" i="16" l="1"/>
  <c r="B939" i="16"/>
  <c r="B940" i="16" l="1"/>
  <c r="E939" i="16"/>
  <c r="B941" i="16" l="1"/>
  <c r="E940" i="16"/>
  <c r="E941" i="16" l="1"/>
  <c r="B942" i="16"/>
  <c r="E942" i="16" l="1"/>
  <c r="B943" i="16"/>
  <c r="B944" i="16" l="1"/>
  <c r="E943" i="16"/>
  <c r="B945" i="16" l="1"/>
  <c r="E944" i="16"/>
  <c r="E945" i="16" l="1"/>
  <c r="B946" i="16"/>
  <c r="E946" i="16" l="1"/>
  <c r="B947" i="16"/>
  <c r="B948" i="16" l="1"/>
  <c r="E947" i="16"/>
  <c r="B949" i="16" l="1"/>
  <c r="E948" i="16"/>
  <c r="E949" i="16" l="1"/>
  <c r="B950" i="16"/>
  <c r="E950" i="16" l="1"/>
  <c r="B951" i="16"/>
  <c r="B952" i="16" l="1"/>
  <c r="E951" i="16"/>
  <c r="B953" i="16" l="1"/>
  <c r="E952" i="16"/>
  <c r="E953" i="16" l="1"/>
  <c r="B954" i="16"/>
  <c r="E954" i="16" l="1"/>
  <c r="B955" i="16"/>
  <c r="B956" i="16" l="1"/>
  <c r="E955" i="16"/>
  <c r="B957" i="16" l="1"/>
  <c r="E956" i="16"/>
  <c r="E957" i="16" l="1"/>
  <c r="B958" i="16"/>
  <c r="E958" i="16" l="1"/>
  <c r="B959" i="16"/>
  <c r="B960" i="16" l="1"/>
  <c r="E959" i="16"/>
  <c r="B961" i="16" l="1"/>
  <c r="E960" i="16"/>
  <c r="E961" i="16" l="1"/>
  <c r="B962" i="16"/>
  <c r="E962" i="16" l="1"/>
  <c r="B963" i="16"/>
  <c r="B964" i="16" l="1"/>
  <c r="E963" i="16"/>
  <c r="B965" i="16" l="1"/>
  <c r="E964" i="16"/>
  <c r="E965" i="16" l="1"/>
  <c r="B966" i="16"/>
  <c r="E966" i="16" l="1"/>
  <c r="B967" i="16"/>
  <c r="B968" i="16" l="1"/>
  <c r="E967" i="16"/>
  <c r="B969" i="16" l="1"/>
  <c r="E968" i="16"/>
  <c r="E969" i="16" l="1"/>
  <c r="B970" i="16"/>
  <c r="E970" i="16" l="1"/>
  <c r="B971" i="16"/>
  <c r="B972" i="16" l="1"/>
  <c r="E971" i="16"/>
  <c r="B973" i="16" l="1"/>
  <c r="E972" i="16"/>
  <c r="E973" i="16" l="1"/>
  <c r="B974" i="16"/>
  <c r="E974" i="16" l="1"/>
  <c r="B975" i="16"/>
  <c r="B976" i="16" l="1"/>
  <c r="E975" i="16"/>
  <c r="B977" i="16" l="1"/>
  <c r="E976" i="16"/>
  <c r="E977" i="16" l="1"/>
  <c r="B978" i="16"/>
  <c r="E978" i="16" l="1"/>
  <c r="B979" i="16"/>
  <c r="B980" i="16" l="1"/>
  <c r="E979" i="16"/>
  <c r="B981" i="16" l="1"/>
  <c r="E980" i="16"/>
  <c r="E981" i="16" l="1"/>
  <c r="B982" i="16"/>
  <c r="E982" i="16" l="1"/>
  <c r="B983" i="16"/>
  <c r="B984" i="16" l="1"/>
  <c r="E983" i="16"/>
  <c r="B985" i="16" l="1"/>
  <c r="E984" i="16"/>
  <c r="E985" i="16" l="1"/>
  <c r="B986" i="16"/>
  <c r="E986" i="16" l="1"/>
  <c r="B987" i="16"/>
  <c r="B988" i="16" l="1"/>
  <c r="E987" i="16"/>
  <c r="B989" i="16" l="1"/>
  <c r="E988" i="16"/>
  <c r="E989" i="16" l="1"/>
  <c r="B990" i="16"/>
  <c r="E990" i="16" l="1"/>
  <c r="B991" i="16"/>
  <c r="B992" i="16" l="1"/>
  <c r="E991" i="16"/>
  <c r="B993" i="16" l="1"/>
  <c r="E992" i="16"/>
  <c r="E993" i="16" l="1"/>
  <c r="B994" i="16"/>
  <c r="E994" i="16" l="1"/>
  <c r="B995" i="16"/>
  <c r="B996" i="16" l="1"/>
  <c r="E995" i="16"/>
  <c r="B997" i="16" l="1"/>
  <c r="E996" i="16"/>
  <c r="E997" i="16" l="1"/>
  <c r="B998" i="16"/>
  <c r="E998" i="16" l="1"/>
  <c r="B999" i="16"/>
  <c r="B1000" i="16" l="1"/>
  <c r="E999" i="16"/>
  <c r="B1001" i="16" l="1"/>
  <c r="E1000" i="16"/>
  <c r="E1001" i="16" l="1"/>
  <c r="B1002" i="16"/>
  <c r="E1002" i="16" l="1"/>
  <c r="B1003" i="16"/>
  <c r="B1004" i="16" l="1"/>
  <c r="E1003" i="16"/>
  <c r="B1005" i="16" l="1"/>
  <c r="E1004" i="16"/>
  <c r="E1005" i="16" l="1"/>
  <c r="B1006" i="16"/>
  <c r="E1006" i="16" l="1"/>
  <c r="B1007" i="16"/>
  <c r="B1008" i="16" l="1"/>
  <c r="E1007" i="16"/>
  <c r="B1009" i="16" l="1"/>
  <c r="E1008" i="16"/>
  <c r="E1009" i="16" l="1"/>
  <c r="B1010" i="16"/>
  <c r="E1010" i="16" l="1"/>
  <c r="B1011" i="16"/>
  <c r="B1012" i="16" l="1"/>
  <c r="E1011" i="16"/>
  <c r="B1013" i="16" l="1"/>
  <c r="E1012" i="16"/>
  <c r="E1013" i="16" l="1"/>
  <c r="B1014" i="16"/>
  <c r="E1014" i="16" l="1"/>
  <c r="B1015" i="16"/>
  <c r="B1016" i="16" l="1"/>
  <c r="E1015" i="16"/>
  <c r="B1017" i="16" l="1"/>
  <c r="E1016" i="16"/>
  <c r="E1017" i="16" l="1"/>
  <c r="B1018" i="16"/>
  <c r="E1018" i="16" l="1"/>
  <c r="B1019" i="16"/>
  <c r="B1020" i="16" l="1"/>
  <c r="E1019" i="16"/>
  <c r="B1021" i="16" l="1"/>
  <c r="E1020" i="16"/>
  <c r="E1021" i="16" l="1"/>
  <c r="B1022" i="16"/>
  <c r="E1022" i="16" l="1"/>
  <c r="B1023" i="16"/>
  <c r="B1024" i="16" l="1"/>
  <c r="E1023" i="16"/>
  <c r="B1025" i="16" l="1"/>
  <c r="E1024" i="16"/>
  <c r="E1025" i="16" l="1"/>
  <c r="B1026" i="16"/>
  <c r="E1026" i="16" l="1"/>
  <c r="B1027" i="16"/>
  <c r="B1028" i="16" l="1"/>
  <c r="E1027" i="16"/>
  <c r="B1029" i="16" l="1"/>
  <c r="E1028" i="16"/>
  <c r="E1029" i="16" l="1"/>
  <c r="B1030" i="16"/>
  <c r="E1030" i="16" l="1"/>
  <c r="B1031" i="16"/>
  <c r="B1032" i="16" l="1"/>
  <c r="E1031" i="16"/>
  <c r="B1033" i="16" l="1"/>
  <c r="E1032" i="16"/>
  <c r="E1033" i="16" l="1"/>
  <c r="B1034" i="16"/>
  <c r="E1034" i="16" l="1"/>
  <c r="B1035" i="16"/>
  <c r="B1036" i="16" l="1"/>
  <c r="E1035" i="16"/>
  <c r="B1037" i="16" l="1"/>
  <c r="E1036" i="16"/>
  <c r="E1037" i="16" l="1"/>
  <c r="B1038" i="16"/>
  <c r="E1038" i="16" l="1"/>
  <c r="B1039" i="16"/>
  <c r="B1040" i="16" l="1"/>
  <c r="E1039" i="16"/>
  <c r="B1041" i="16" l="1"/>
  <c r="E1040" i="16"/>
  <c r="E1041" i="16" l="1"/>
  <c r="B1042" i="16"/>
  <c r="E1042" i="16" l="1"/>
  <c r="B1043" i="16"/>
  <c r="B1044" i="16" l="1"/>
  <c r="E1043" i="16"/>
  <c r="B1045" i="16" l="1"/>
  <c r="E1044" i="16"/>
  <c r="E1045" i="16" l="1"/>
  <c r="B1046" i="16"/>
  <c r="E1046" i="16" l="1"/>
  <c r="B1047" i="16"/>
  <c r="B1048" i="16" l="1"/>
  <c r="E1047" i="16"/>
  <c r="B1049" i="16" l="1"/>
  <c r="E1048" i="16"/>
  <c r="E1049" i="16" l="1"/>
  <c r="B1050" i="16"/>
  <c r="E1050" i="16" l="1"/>
  <c r="B1051" i="16"/>
  <c r="B1052" i="16" l="1"/>
  <c r="E1051" i="16"/>
  <c r="B1053" i="16" l="1"/>
  <c r="E1052" i="16"/>
  <c r="E1053" i="16" l="1"/>
  <c r="B1054" i="16"/>
  <c r="E1054" i="16" l="1"/>
  <c r="B1055" i="16"/>
  <c r="B1056" i="16" l="1"/>
  <c r="E1055" i="16"/>
  <c r="B1057" i="16" l="1"/>
  <c r="E1056" i="16"/>
  <c r="E1057" i="16" l="1"/>
  <c r="B1058" i="16"/>
  <c r="E1058" i="16" l="1"/>
  <c r="B1059" i="16"/>
  <c r="B1060" i="16" l="1"/>
  <c r="E1059" i="16"/>
  <c r="B1061" i="16" l="1"/>
  <c r="E1060" i="16"/>
  <c r="E1061" i="16" l="1"/>
  <c r="B1062" i="16"/>
  <c r="E1062" i="16" l="1"/>
  <c r="B1063" i="16"/>
  <c r="B1064" i="16" l="1"/>
  <c r="E1063" i="16"/>
  <c r="B1065" i="16" l="1"/>
  <c r="E1064" i="16"/>
  <c r="E1065" i="16" l="1"/>
  <c r="B1066" i="16"/>
  <c r="E1066" i="16" l="1"/>
  <c r="B1067" i="16"/>
  <c r="B1068" i="16" l="1"/>
  <c r="E1067" i="16"/>
  <c r="B1069" i="16" l="1"/>
  <c r="E1068" i="16"/>
  <c r="E1069" i="16" l="1"/>
  <c r="B1070" i="16"/>
  <c r="E1070" i="16" l="1"/>
  <c r="B1071" i="16"/>
  <c r="B1072" i="16" l="1"/>
  <c r="E1071" i="16"/>
  <c r="B1073" i="16" l="1"/>
  <c r="E1072" i="16"/>
  <c r="E1073" i="16" l="1"/>
  <c r="B1074" i="16"/>
  <c r="E1074" i="16" l="1"/>
  <c r="B1075" i="16"/>
  <c r="B1076" i="16" l="1"/>
  <c r="E1075" i="16"/>
  <c r="B1077" i="16" l="1"/>
  <c r="E1076" i="16"/>
  <c r="B1078" i="16" l="1"/>
  <c r="E1077" i="16"/>
  <c r="B1079" i="16" l="1"/>
  <c r="E1078" i="16"/>
  <c r="B1080" i="16" l="1"/>
  <c r="E1079" i="16"/>
  <c r="B1081" i="16" l="1"/>
  <c r="E1080" i="16"/>
  <c r="B1082" i="16" l="1"/>
  <c r="E1081" i="16"/>
  <c r="B1083" i="16" l="1"/>
  <c r="E1082" i="16"/>
  <c r="B1084" i="16" l="1"/>
  <c r="E1083" i="16"/>
  <c r="B1085" i="16" l="1"/>
  <c r="E1084" i="16"/>
  <c r="B1086" i="16" l="1"/>
  <c r="E1085" i="16"/>
  <c r="B1087" i="16" l="1"/>
  <c r="E1086" i="16"/>
  <c r="B1088" i="16" l="1"/>
  <c r="E1087" i="16"/>
  <c r="B1089" i="16" l="1"/>
  <c r="E1088" i="16"/>
  <c r="B1090" i="16" l="1"/>
  <c r="E1089" i="16"/>
  <c r="B1091" i="16" l="1"/>
  <c r="E1090" i="16"/>
  <c r="B1092" i="16" l="1"/>
  <c r="E1091" i="16"/>
  <c r="B1093" i="16" l="1"/>
  <c r="E1092" i="16"/>
  <c r="B1094" i="16" l="1"/>
  <c r="E1093" i="16"/>
  <c r="B1095" i="16" l="1"/>
  <c r="E1094" i="16"/>
  <c r="B1096" i="16" l="1"/>
  <c r="E1095" i="16"/>
  <c r="B1097" i="16" l="1"/>
  <c r="E1096" i="16"/>
  <c r="B1098" i="16" l="1"/>
  <c r="E1097" i="16"/>
  <c r="B1099" i="16" l="1"/>
  <c r="E1098" i="16"/>
  <c r="B1100" i="16" l="1"/>
  <c r="E1099" i="16"/>
  <c r="B1101" i="16" l="1"/>
  <c r="E1100" i="16"/>
  <c r="B1102" i="16" l="1"/>
  <c r="E1101" i="16"/>
  <c r="B1103" i="16" l="1"/>
  <c r="E1102" i="16"/>
  <c r="B1104" i="16" l="1"/>
  <c r="E1103" i="16"/>
  <c r="B1105" i="16" l="1"/>
  <c r="E1104" i="16"/>
  <c r="B1106" i="16" l="1"/>
  <c r="E1105" i="16"/>
  <c r="B1107" i="16" l="1"/>
  <c r="E1106" i="16"/>
  <c r="B1108" i="16" l="1"/>
  <c r="E1107" i="16"/>
  <c r="B1109" i="16" l="1"/>
  <c r="E1108" i="16"/>
  <c r="B1110" i="16" l="1"/>
  <c r="E1109" i="16"/>
  <c r="B1111" i="16" l="1"/>
  <c r="E1110" i="16"/>
  <c r="B1112" i="16" l="1"/>
  <c r="E1111" i="16"/>
  <c r="B1113" i="16" l="1"/>
  <c r="E1112" i="16"/>
  <c r="B1114" i="16" l="1"/>
  <c r="E1113" i="16"/>
  <c r="B1115" i="16" l="1"/>
  <c r="E1114" i="16"/>
  <c r="B1116" i="16" l="1"/>
  <c r="E1115" i="16"/>
  <c r="B1117" i="16" l="1"/>
  <c r="E1116" i="16"/>
  <c r="B1118" i="16" l="1"/>
  <c r="E1117" i="16"/>
  <c r="B1119" i="16" l="1"/>
  <c r="E1118" i="16"/>
  <c r="B1120" i="16" l="1"/>
  <c r="E1119" i="16"/>
  <c r="B1121" i="16" l="1"/>
  <c r="E1120" i="16"/>
  <c r="B1122" i="16" l="1"/>
  <c r="E1121" i="16"/>
  <c r="B1123" i="16" l="1"/>
  <c r="E1122" i="16"/>
  <c r="B1124" i="16" l="1"/>
  <c r="E1123" i="16"/>
  <c r="B1125" i="16" l="1"/>
  <c r="E1124" i="16"/>
  <c r="B1126" i="16" l="1"/>
  <c r="E1125" i="16"/>
  <c r="B1127" i="16" l="1"/>
  <c r="E1126" i="16"/>
  <c r="B1128" i="16" l="1"/>
  <c r="E1127" i="16"/>
  <c r="B1129" i="16" l="1"/>
  <c r="E1128" i="16"/>
  <c r="B1130" i="16" l="1"/>
  <c r="E1129" i="16"/>
  <c r="B1131" i="16" l="1"/>
  <c r="E1130" i="16"/>
  <c r="B1132" i="16" l="1"/>
  <c r="E1131" i="16"/>
  <c r="B1133" i="16" l="1"/>
  <c r="E1132" i="16"/>
  <c r="B1134" i="16" l="1"/>
  <c r="E1133" i="16"/>
  <c r="B1135" i="16" l="1"/>
  <c r="E1134" i="16"/>
  <c r="B1136" i="16" l="1"/>
  <c r="E1135" i="16"/>
  <c r="B1137" i="16" l="1"/>
  <c r="E1136" i="16"/>
  <c r="B1138" i="16" l="1"/>
  <c r="E1137" i="16"/>
  <c r="B1139" i="16" l="1"/>
  <c r="E1138" i="16"/>
  <c r="B1140" i="16" l="1"/>
  <c r="E1139" i="16"/>
  <c r="B1141" i="16" l="1"/>
  <c r="E1140" i="16"/>
  <c r="B1142" i="16" l="1"/>
  <c r="E1141" i="16"/>
  <c r="B1143" i="16" l="1"/>
  <c r="E1142" i="16"/>
  <c r="B1144" i="16" l="1"/>
  <c r="E1143" i="16"/>
  <c r="B1145" i="16" l="1"/>
  <c r="E1144" i="16"/>
  <c r="B1146" i="16" l="1"/>
  <c r="E1145" i="16"/>
  <c r="B1147" i="16" l="1"/>
  <c r="E1146" i="16"/>
  <c r="B1148" i="16" l="1"/>
  <c r="E1147" i="16"/>
  <c r="B1149" i="16" l="1"/>
  <c r="E1148" i="16"/>
  <c r="B1150" i="16" l="1"/>
  <c r="E1149" i="16"/>
  <c r="B1151" i="16" l="1"/>
  <c r="E1150" i="16"/>
  <c r="B1152" i="16" l="1"/>
  <c r="E1151" i="16"/>
  <c r="B1153" i="16" l="1"/>
  <c r="E1152" i="16"/>
  <c r="B1154" i="16" l="1"/>
  <c r="E1153" i="16"/>
  <c r="B1155" i="16" l="1"/>
  <c r="E1154" i="16"/>
  <c r="B1156" i="16" l="1"/>
  <c r="E1155" i="16"/>
  <c r="B1157" i="16" l="1"/>
  <c r="E1156" i="16"/>
  <c r="B1158" i="16" l="1"/>
  <c r="E1157" i="16"/>
  <c r="B1159" i="16" l="1"/>
  <c r="E1158" i="16"/>
  <c r="B1160" i="16" l="1"/>
  <c r="E1159" i="16"/>
  <c r="B1161" i="16" l="1"/>
  <c r="E1160" i="16"/>
  <c r="B1162" i="16" l="1"/>
  <c r="E1161" i="16"/>
  <c r="B1163" i="16" l="1"/>
  <c r="E1162" i="16"/>
  <c r="B1164" i="16" l="1"/>
  <c r="E1163" i="16"/>
  <c r="B1165" i="16" l="1"/>
  <c r="E1164" i="16"/>
  <c r="B1166" i="16" l="1"/>
  <c r="E1165" i="16"/>
  <c r="E1166" i="16" l="1"/>
  <c r="B1167" i="16"/>
  <c r="E1167" i="16" l="1"/>
  <c r="B1168" i="16"/>
  <c r="B1169" i="16" l="1"/>
  <c r="E1168" i="16"/>
  <c r="E1169" i="16" l="1"/>
  <c r="B1170" i="16"/>
  <c r="E1170" i="16" l="1"/>
  <c r="B1171" i="16"/>
  <c r="E1171" i="16" l="1"/>
  <c r="B1172" i="16"/>
  <c r="B1173" i="16" l="1"/>
  <c r="E1172" i="16"/>
  <c r="E1173" i="16" l="1"/>
  <c r="B1174" i="16"/>
  <c r="E1174" i="16" l="1"/>
  <c r="B1175" i="16"/>
  <c r="E1175" i="16" l="1"/>
  <c r="B1176" i="16"/>
  <c r="B1177" i="16" l="1"/>
  <c r="E1176" i="16"/>
  <c r="E1177" i="16" l="1"/>
  <c r="B1178" i="16"/>
  <c r="E1178" i="16" l="1"/>
  <c r="B1179" i="16"/>
  <c r="E1179" i="16" l="1"/>
  <c r="B1180" i="16"/>
  <c r="B1181" i="16" l="1"/>
  <c r="E1180" i="16"/>
  <c r="E1181" i="16" l="1"/>
  <c r="B1182" i="16"/>
  <c r="E1182" i="16" l="1"/>
  <c r="B1183" i="16"/>
  <c r="E1183" i="16" l="1"/>
  <c r="B1184" i="16"/>
  <c r="B1185" i="16" l="1"/>
  <c r="E1184" i="16"/>
  <c r="E1185" i="16" l="1"/>
  <c r="B1186" i="16"/>
  <c r="E1186" i="16" l="1"/>
  <c r="B1187" i="16"/>
  <c r="E1187" i="16" l="1"/>
  <c r="B1188" i="16"/>
  <c r="B1189" i="16" l="1"/>
  <c r="E1188" i="16"/>
  <c r="E1189" i="16" l="1"/>
  <c r="B1190" i="16"/>
  <c r="E1190" i="16" l="1"/>
  <c r="B1191" i="16"/>
  <c r="E1191" i="16" l="1"/>
  <c r="B1192" i="16"/>
  <c r="B1193" i="16" l="1"/>
  <c r="E1192" i="16"/>
  <c r="E1193" i="16" l="1"/>
  <c r="B1194" i="16"/>
  <c r="E1194" i="16" l="1"/>
  <c r="B1195" i="16"/>
  <c r="E1195" i="16" l="1"/>
  <c r="B1196" i="16"/>
  <c r="B1197" i="16" l="1"/>
  <c r="E1196" i="16"/>
  <c r="E1197" i="16" l="1"/>
  <c r="B1198" i="16"/>
  <c r="E1198" i="16" l="1"/>
  <c r="B1199" i="16"/>
  <c r="E1199" i="16" l="1"/>
  <c r="B1200" i="16"/>
  <c r="B1201" i="16" l="1"/>
  <c r="E1200" i="16"/>
  <c r="E1201" i="16" l="1"/>
  <c r="B1202" i="16"/>
  <c r="E1202" i="16" l="1"/>
  <c r="B1203" i="16"/>
  <c r="E1203" i="16" l="1"/>
  <c r="B1204" i="16"/>
  <c r="B1205" i="16" l="1"/>
  <c r="E1204" i="16"/>
  <c r="E1205" i="16" l="1"/>
  <c r="B1206" i="16"/>
  <c r="E1206" i="16" l="1"/>
  <c r="B1207" i="16"/>
  <c r="E1207" i="16" l="1"/>
  <c r="B1208" i="16"/>
  <c r="B1209" i="16" l="1"/>
  <c r="E1208" i="16"/>
  <c r="E1209" i="16" l="1"/>
  <c r="B1210" i="16"/>
  <c r="E1210" i="16" l="1"/>
  <c r="B1211" i="16"/>
  <c r="E1211" i="16" l="1"/>
  <c r="B1212" i="16"/>
  <c r="B1213" i="16" l="1"/>
  <c r="E1212" i="16"/>
  <c r="E1213" i="16" l="1"/>
  <c r="B1214" i="16"/>
  <c r="E1214" i="16" l="1"/>
  <c r="B1215" i="16"/>
  <c r="E1215" i="16" l="1"/>
  <c r="B1216" i="16"/>
  <c r="B1217" i="16" l="1"/>
  <c r="E1216" i="16"/>
  <c r="E1217" i="16" l="1"/>
  <c r="B1218" i="16"/>
  <c r="E1218" i="16" l="1"/>
  <c r="B1219" i="16"/>
  <c r="E1219" i="16" l="1"/>
  <c r="B1220" i="16"/>
  <c r="B1221" i="16" l="1"/>
  <c r="E1220" i="16"/>
  <c r="E1221" i="16" l="1"/>
  <c r="B1222" i="16"/>
  <c r="E1222" i="16" l="1"/>
  <c r="B1223" i="16"/>
  <c r="E1223" i="16" l="1"/>
  <c r="B1224" i="16"/>
  <c r="B1225" i="16" l="1"/>
  <c r="E1224" i="16"/>
  <c r="E1225" i="16" l="1"/>
  <c r="B1226" i="16"/>
  <c r="E1226" i="16" l="1"/>
  <c r="B1227" i="16"/>
  <c r="E1227" i="16" l="1"/>
  <c r="B1228" i="16"/>
  <c r="B1229" i="16" l="1"/>
  <c r="E1228" i="16"/>
  <c r="E1229" i="16" l="1"/>
  <c r="B1230" i="16"/>
  <c r="E1230" i="16" l="1"/>
  <c r="B1231" i="16"/>
  <c r="E1231" i="16" l="1"/>
  <c r="B1232" i="16"/>
  <c r="B1233" i="16" l="1"/>
  <c r="E1232" i="16"/>
  <c r="E1233" i="16" l="1"/>
  <c r="B1234" i="16"/>
  <c r="E1234" i="16" l="1"/>
  <c r="B1235" i="16"/>
  <c r="E1235" i="16" l="1"/>
  <c r="B1236" i="16"/>
  <c r="B1237" i="16" l="1"/>
  <c r="E1236" i="16"/>
  <c r="E1237" i="16" l="1"/>
  <c r="B1238" i="16"/>
  <c r="E1238" i="16" l="1"/>
  <c r="B1239" i="16"/>
  <c r="E1239" i="16" l="1"/>
  <c r="B1240" i="16"/>
  <c r="B1241" i="16" l="1"/>
  <c r="E1240" i="16"/>
  <c r="E1241" i="16" l="1"/>
  <c r="B1242" i="16"/>
  <c r="E1242" i="16" l="1"/>
  <c r="B1243" i="16"/>
  <c r="E1243" i="16" l="1"/>
  <c r="B1244" i="16"/>
  <c r="B1245" i="16" l="1"/>
  <c r="E1244" i="16"/>
  <c r="E1245" i="16" l="1"/>
  <c r="B1246" i="16"/>
  <c r="E1246" i="16" l="1"/>
  <c r="B1247" i="16"/>
  <c r="E1247" i="16" l="1"/>
  <c r="B1248" i="16"/>
  <c r="B1249" i="16" l="1"/>
  <c r="E1248" i="16"/>
  <c r="E1249" i="16" l="1"/>
  <c r="B1250" i="16"/>
  <c r="E1250" i="16" l="1"/>
  <c r="B1251" i="16"/>
  <c r="E1251" i="16" l="1"/>
  <c r="B1252" i="16"/>
  <c r="B1253" i="16" l="1"/>
  <c r="E1252" i="16"/>
  <c r="E1253" i="16" l="1"/>
  <c r="B1254" i="16"/>
  <c r="E1254" i="16" l="1"/>
  <c r="B1255" i="16"/>
  <c r="E1255" i="16" l="1"/>
  <c r="B1256" i="16"/>
  <c r="B1257" i="16" l="1"/>
  <c r="E1256" i="16"/>
  <c r="E1257" i="16" l="1"/>
  <c r="B1258" i="16"/>
  <c r="E1258" i="16" l="1"/>
  <c r="B1259" i="16"/>
  <c r="E1259" i="16" s="1"/>
  <c r="C5" i="16" s="1"/>
  <c r="M31" i="3" l="1"/>
  <c r="D31" i="3"/>
  <c r="D30" i="3" s="1"/>
  <c r="E31" i="3"/>
  <c r="E30" i="3" s="1"/>
  <c r="F31" i="3"/>
  <c r="F30" i="3" s="1"/>
  <c r="G31" i="3"/>
  <c r="G30" i="3" s="1"/>
  <c r="H31" i="3"/>
  <c r="H30" i="3" s="1"/>
  <c r="I31" i="3"/>
  <c r="I30" i="3" s="1"/>
  <c r="J31" i="3"/>
  <c r="J30" i="3" s="1"/>
  <c r="K31" i="3"/>
  <c r="K30" i="3" s="1"/>
  <c r="L31" i="3"/>
  <c r="L30" i="3" s="1"/>
  <c r="C31" i="3"/>
  <c r="C30" i="3" s="1"/>
  <c r="V3" i="2"/>
  <c r="C3" i="2" s="1"/>
  <c r="M30" i="3" l="1"/>
  <c r="N31" i="3"/>
  <c r="D3" i="2"/>
  <c r="C32" i="5"/>
  <c r="C29" i="14"/>
  <c r="N30" i="3" l="1"/>
  <c r="O31" i="3"/>
  <c r="D29" i="14"/>
  <c r="E3" i="2"/>
  <c r="E29" i="14" s="1"/>
  <c r="D32" i="5"/>
  <c r="P31" i="3" l="1"/>
  <c r="O30" i="3"/>
  <c r="F3" i="2"/>
  <c r="E32" i="5"/>
  <c r="Q31" i="3" l="1"/>
  <c r="P30" i="3"/>
  <c r="G3" i="2"/>
  <c r="F29" i="14"/>
  <c r="F32" i="5"/>
  <c r="R31" i="3" l="1"/>
  <c r="R30" i="3" s="1"/>
  <c r="Q30" i="3"/>
  <c r="G29" i="14"/>
  <c r="H3" i="2"/>
  <c r="G32" i="5"/>
  <c r="I3" i="2" l="1"/>
  <c r="I29" i="14" s="1"/>
  <c r="H29" i="14"/>
  <c r="H32" i="5"/>
  <c r="J3" i="2" l="1"/>
  <c r="J29" i="14" s="1"/>
  <c r="I32" i="5"/>
  <c r="K3" i="2" l="1"/>
  <c r="L3" i="2" s="1"/>
  <c r="J32" i="5"/>
  <c r="K29" i="14" l="1"/>
  <c r="L29" i="14"/>
  <c r="M3" i="2"/>
  <c r="K32" i="5"/>
  <c r="M29" i="14" l="1"/>
  <c r="N3" i="2"/>
  <c r="L32" i="5"/>
  <c r="N29" i="14" l="1"/>
  <c r="O3" i="2"/>
  <c r="M32" i="5"/>
  <c r="P3" i="2" l="1"/>
  <c r="O29" i="14"/>
  <c r="N32" i="5"/>
  <c r="P29" i="14" l="1"/>
  <c r="Q3" i="2"/>
  <c r="O32" i="5"/>
  <c r="Q29" i="14" l="1"/>
  <c r="R3" i="2"/>
  <c r="R29" i="14" s="1"/>
  <c r="P32" i="5"/>
  <c r="Q32" i="5" l="1"/>
  <c r="R32" i="5" l="1"/>
  <c r="O53" i="2"/>
  <c r="O11" i="2"/>
  <c r="M36" i="14"/>
  <c r="M15" i="14"/>
  <c r="M8" i="14"/>
  <c r="I32" i="14"/>
  <c r="I16" i="4"/>
  <c r="I9" i="7"/>
  <c r="F46" i="2"/>
  <c r="F42" i="2"/>
  <c r="F24" i="2"/>
  <c r="F25" i="2"/>
  <c r="G28" i="3"/>
  <c r="G34" i="3"/>
  <c r="G40" i="3"/>
  <c r="R56" i="2"/>
  <c r="R10" i="2"/>
  <c r="R28" i="3"/>
  <c r="R34" i="3"/>
  <c r="R40" i="3"/>
  <c r="H58" i="3"/>
  <c r="J50" i="2"/>
  <c r="J13" i="2"/>
  <c r="J49" i="2"/>
  <c r="J36" i="14"/>
  <c r="J15" i="14"/>
  <c r="J8" i="14"/>
  <c r="M33" i="14"/>
  <c r="M31" i="14"/>
  <c r="M7" i="7"/>
  <c r="M5" i="7"/>
  <c r="M39" i="14"/>
  <c r="N64" i="2"/>
  <c r="N63" i="2"/>
  <c r="O22" i="14"/>
  <c r="O24" i="14"/>
  <c r="K40" i="3"/>
  <c r="K34" i="3"/>
  <c r="K28" i="3"/>
  <c r="E36" i="14"/>
  <c r="E15" i="14"/>
  <c r="E8" i="14"/>
  <c r="L46" i="2"/>
  <c r="L42" i="2"/>
  <c r="L24" i="2"/>
  <c r="L25" i="2"/>
  <c r="N58" i="3"/>
  <c r="I46" i="2"/>
  <c r="I42" i="2"/>
  <c r="I24" i="2"/>
  <c r="I25" i="2"/>
  <c r="D65" i="3"/>
  <c r="C65" i="3"/>
  <c r="S53" i="3"/>
  <c r="H64" i="2"/>
  <c r="H63" i="2"/>
  <c r="L54" i="3"/>
  <c r="L17" i="3"/>
  <c r="L53" i="3"/>
  <c r="R13" i="7"/>
  <c r="Q46" i="2"/>
  <c r="Q42" i="2"/>
  <c r="Q24" i="2"/>
  <c r="Q25" i="2"/>
  <c r="O10" i="2"/>
  <c r="O56" i="2"/>
  <c r="L32" i="14"/>
  <c r="L16" i="4"/>
  <c r="L9" i="7"/>
  <c r="K43" i="2"/>
  <c r="K23" i="2"/>
  <c r="N36" i="14"/>
  <c r="N15" i="14"/>
  <c r="N8" i="14"/>
  <c r="N53" i="3"/>
  <c r="N10" i="3"/>
  <c r="N11" i="3"/>
  <c r="N17" i="3"/>
  <c r="N54" i="3"/>
  <c r="R64" i="2"/>
  <c r="R63" i="2"/>
  <c r="G33" i="14"/>
  <c r="G31" i="14"/>
  <c r="G7" i="7"/>
  <c r="G5" i="7"/>
  <c r="G39" i="14"/>
  <c r="L53" i="2"/>
  <c r="L11" i="2"/>
  <c r="D42" i="2"/>
  <c r="D24" i="2"/>
  <c r="D25" i="2"/>
  <c r="G61" i="2"/>
  <c r="G79" i="3"/>
  <c r="G82" i="3"/>
  <c r="M50" i="2"/>
  <c r="M13" i="2"/>
  <c r="M49" i="2"/>
  <c r="D32" i="14"/>
  <c r="D16" i="4"/>
  <c r="D9" i="7"/>
  <c r="G13" i="7"/>
  <c r="G56" i="2"/>
  <c r="G10" i="2"/>
  <c r="F33" i="14"/>
  <c r="F31" i="14"/>
  <c r="F7" i="7"/>
  <c r="F5" i="7"/>
  <c r="F39" i="14"/>
  <c r="Q32" i="14"/>
  <c r="Q16" i="4"/>
  <c r="Q9" i="7"/>
  <c r="I36" i="2"/>
  <c r="I27" i="4"/>
  <c r="Q24" i="14"/>
  <c r="Q22" i="14"/>
  <c r="S57" i="3"/>
  <c r="R57" i="3"/>
  <c r="J34" i="5"/>
  <c r="J75" i="3"/>
  <c r="H24" i="14"/>
  <c r="H22" i="14"/>
  <c r="J44" i="2"/>
  <c r="J74" i="3"/>
  <c r="J23" i="5"/>
  <c r="J28" i="5"/>
  <c r="J45" i="2"/>
  <c r="H22" i="3"/>
  <c r="Q13" i="7"/>
  <c r="N36" i="2"/>
  <c r="N27" i="4"/>
  <c r="R53" i="2"/>
  <c r="R11" i="2"/>
  <c r="C53" i="2"/>
  <c r="C11" i="2"/>
  <c r="N19" i="4"/>
  <c r="N12" i="2"/>
  <c r="L57" i="3"/>
  <c r="R8" i="14"/>
  <c r="R15" i="14"/>
  <c r="R36" i="14"/>
  <c r="S36" i="3"/>
  <c r="R36" i="3"/>
  <c r="H53" i="3"/>
  <c r="H10" i="3"/>
  <c r="H11" i="3"/>
  <c r="H17" i="3"/>
  <c r="H54" i="3"/>
  <c r="L44" i="2"/>
  <c r="L45" i="2"/>
  <c r="L23" i="5"/>
  <c r="L28" i="5"/>
  <c r="L74" i="3"/>
  <c r="F41" i="5"/>
  <c r="F39" i="5"/>
  <c r="F29" i="2"/>
  <c r="N28" i="2"/>
  <c r="N39" i="3"/>
  <c r="L36" i="2"/>
  <c r="L27" i="4"/>
  <c r="R50" i="2"/>
  <c r="R13" i="2"/>
  <c r="R49" i="2"/>
  <c r="E50" i="2"/>
  <c r="E13" i="2"/>
  <c r="E49" i="2"/>
  <c r="M39" i="3"/>
  <c r="M28" i="2"/>
  <c r="I24" i="14"/>
  <c r="I22" i="14"/>
  <c r="R61" i="2"/>
  <c r="R73" i="3"/>
  <c r="R76" i="3"/>
  <c r="R79" i="3"/>
  <c r="R82" i="3"/>
  <c r="O45" i="2"/>
  <c r="O74" i="3"/>
  <c r="O23" i="5"/>
  <c r="O28" i="5"/>
  <c r="O44" i="2"/>
  <c r="N74" i="3"/>
  <c r="N44" i="2"/>
  <c r="N23" i="5"/>
  <c r="N28" i="5"/>
  <c r="N45" i="2"/>
  <c r="I33" i="14"/>
  <c r="I31" i="14"/>
  <c r="I39" i="14"/>
  <c r="I5" i="7"/>
  <c r="I7" i="7"/>
  <c r="M12" i="2"/>
  <c r="E53" i="2"/>
  <c r="E11" i="2"/>
  <c r="R58" i="3"/>
  <c r="K53" i="3"/>
  <c r="K17" i="3"/>
  <c r="K54" i="3"/>
  <c r="E33" i="14"/>
  <c r="E31" i="14"/>
  <c r="E39" i="14"/>
  <c r="E5" i="7"/>
  <c r="E7" i="7"/>
  <c r="L49" i="2"/>
  <c r="L13" i="2"/>
  <c r="L50" i="2"/>
  <c r="H13" i="7"/>
  <c r="E41" i="5"/>
  <c r="E39" i="5"/>
  <c r="E29" i="2"/>
  <c r="M74" i="3"/>
  <c r="M44" i="2"/>
  <c r="M23" i="5"/>
  <c r="M28" i="5"/>
  <c r="M45" i="2"/>
  <c r="F50" i="2"/>
  <c r="F13" i="2"/>
  <c r="F49" i="2"/>
  <c r="R46" i="2"/>
  <c r="R25" i="2"/>
  <c r="R24" i="2"/>
  <c r="R42" i="2"/>
  <c r="K44" i="2"/>
  <c r="K45" i="2"/>
  <c r="K23" i="5"/>
  <c r="K28" i="5"/>
  <c r="K74" i="3"/>
  <c r="C45" i="2"/>
  <c r="C74" i="3"/>
  <c r="C23" i="5"/>
  <c r="C28" i="5"/>
  <c r="C44" i="2"/>
  <c r="M29" i="2"/>
  <c r="M36" i="5"/>
  <c r="M39" i="5"/>
  <c r="M41" i="5"/>
  <c r="H38" i="3"/>
  <c r="H40" i="3"/>
  <c r="H34" i="3"/>
  <c r="H28" i="3"/>
  <c r="F54" i="3"/>
  <c r="F17" i="3"/>
  <c r="F53" i="3"/>
  <c r="G53" i="3"/>
  <c r="G17" i="3"/>
  <c r="G54" i="3"/>
  <c r="P53" i="3"/>
  <c r="P17" i="3"/>
  <c r="P54" i="3"/>
  <c r="F20" i="2"/>
  <c r="F36" i="3"/>
  <c r="M24" i="14"/>
  <c r="M22" i="14"/>
  <c r="F45" i="2"/>
  <c r="F44" i="2"/>
  <c r="F23" i="5"/>
  <c r="F28" i="5"/>
  <c r="F74" i="3"/>
  <c r="G74" i="3"/>
  <c r="G45" i="2"/>
  <c r="G23" i="5"/>
  <c r="G28" i="5"/>
  <c r="G44" i="2"/>
  <c r="R12" i="2"/>
  <c r="I74" i="3"/>
  <c r="I45" i="2"/>
  <c r="I23" i="5"/>
  <c r="I28" i="5"/>
  <c r="I44" i="2"/>
  <c r="I39" i="3"/>
  <c r="I28" i="2"/>
  <c r="C24" i="14"/>
  <c r="C22" i="14"/>
  <c r="Q64" i="2"/>
  <c r="Q63" i="2"/>
  <c r="M53" i="3"/>
  <c r="M17" i="3"/>
  <c r="M54" i="3"/>
  <c r="P28" i="3"/>
  <c r="P34" i="3"/>
  <c r="P40" i="3"/>
  <c r="L56" i="2"/>
  <c r="L10" i="2"/>
  <c r="M13" i="7"/>
  <c r="I13" i="7"/>
  <c r="E13" i="7"/>
  <c r="L10" i="3"/>
  <c r="L11" i="3"/>
  <c r="L58" i="3"/>
  <c r="N11" i="2"/>
  <c r="N53" i="2"/>
  <c r="F57" i="3"/>
  <c r="I34" i="5"/>
  <c r="I75" i="3"/>
  <c r="I49" i="2"/>
  <c r="I21" i="4"/>
  <c r="I13" i="2"/>
  <c r="I50" i="2"/>
  <c r="H74" i="3"/>
  <c r="H45" i="2"/>
  <c r="H23" i="5"/>
  <c r="H28" i="5"/>
  <c r="H44" i="2"/>
  <c r="E22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F28" i="2"/>
  <c r="F36" i="5"/>
  <c r="F39" i="3"/>
  <c r="Q23" i="2"/>
  <c r="Q43" i="2"/>
  <c r="N56" i="2"/>
  <c r="N10" i="2"/>
  <c r="H36" i="3"/>
  <c r="H20" i="2"/>
  <c r="L75" i="3"/>
  <c r="L21" i="4"/>
  <c r="L34" i="5"/>
  <c r="N29" i="2"/>
  <c r="N36" i="5"/>
  <c r="N39" i="5"/>
  <c r="N41" i="5"/>
  <c r="R45" i="2"/>
  <c r="R44" i="2"/>
  <c r="R23" i="5"/>
  <c r="R28" i="5"/>
  <c r="R74" i="3"/>
  <c r="F10" i="3"/>
  <c r="F11" i="3"/>
  <c r="F58" i="3"/>
  <c r="E39" i="3"/>
  <c r="E36" i="5"/>
  <c r="E28" i="2"/>
  <c r="L13" i="7"/>
  <c r="J21" i="4"/>
  <c r="J27" i="4"/>
  <c r="J36" i="2"/>
  <c r="R20" i="2"/>
  <c r="R16" i="7"/>
  <c r="E24" i="14"/>
  <c r="E22" i="14"/>
  <c r="P44" i="2"/>
  <c r="P74" i="3"/>
  <c r="P23" i="5"/>
  <c r="P28" i="5"/>
  <c r="P45" i="2"/>
  <c r="K38" i="3"/>
  <c r="K22" i="3"/>
  <c r="I41" i="5"/>
  <c r="I36" i="5"/>
  <c r="I39" i="5"/>
  <c r="I29" i="2"/>
  <c r="R54" i="3"/>
  <c r="R19" i="4"/>
  <c r="R10" i="3"/>
  <c r="R11" i="3"/>
  <c r="R17" i="3"/>
  <c r="R53" i="3"/>
  <c r="F64" i="2"/>
  <c r="F63" i="2"/>
  <c r="P43" i="2"/>
  <c r="P23" i="2"/>
  <c r="J40" i="3"/>
  <c r="J34" i="3"/>
  <c r="J28" i="3"/>
  <c r="P53" i="2"/>
  <c r="P11" i="2"/>
  <c r="M9" i="7"/>
  <c r="M16" i="4"/>
  <c r="M32" i="14"/>
  <c r="I10" i="2"/>
  <c r="I56" i="2"/>
  <c r="J13" i="7"/>
  <c r="Q56" i="2"/>
  <c r="Q10" i="2"/>
  <c r="D53" i="2"/>
  <c r="D11" i="2"/>
  <c r="N32" i="14"/>
  <c r="N16" i="4"/>
  <c r="N9" i="7"/>
  <c r="O58" i="3"/>
  <c r="F24" i="14"/>
  <c r="F22" i="14"/>
  <c r="K46" i="2"/>
  <c r="K42" i="2"/>
  <c r="K24" i="2"/>
  <c r="K25" i="2"/>
  <c r="P24" i="14"/>
  <c r="P22" i="14"/>
  <c r="F13" i="7"/>
  <c r="F56" i="2"/>
  <c r="F10" i="2"/>
  <c r="K33" i="14"/>
  <c r="K31" i="14"/>
  <c r="K7" i="7"/>
  <c r="K5" i="7"/>
  <c r="K39" i="14"/>
  <c r="P12" i="2"/>
  <c r="F12" i="2"/>
  <c r="C36" i="2"/>
  <c r="C27" i="4"/>
  <c r="N43" i="2"/>
  <c r="N23" i="2"/>
  <c r="K56" i="2"/>
  <c r="K10" i="2"/>
  <c r="P33" i="14"/>
  <c r="P31" i="14"/>
  <c r="P7" i="7"/>
  <c r="P5" i="7"/>
  <c r="P39" i="14"/>
  <c r="C72" i="2"/>
  <c r="C69" i="3"/>
  <c r="F53" i="2"/>
  <c r="F11" i="2"/>
  <c r="N33" i="14"/>
  <c r="N31" i="14"/>
  <c r="N7" i="7"/>
  <c r="N5" i="7"/>
  <c r="N39" i="14"/>
  <c r="O43" i="2"/>
  <c r="O23" i="2"/>
  <c r="L64" i="2"/>
  <c r="L63" i="2"/>
  <c r="G43" i="2"/>
  <c r="G23" i="2"/>
  <c r="L43" i="2"/>
  <c r="L23" i="2"/>
  <c r="J56" i="2"/>
  <c r="J10" i="2"/>
  <c r="H36" i="14"/>
  <c r="H15" i="14"/>
  <c r="H8" i="14"/>
  <c r="I20" i="2"/>
  <c r="I36" i="3"/>
  <c r="G36" i="2"/>
  <c r="G27" i="4"/>
  <c r="D40" i="3"/>
  <c r="D34" i="3"/>
  <c r="D28" i="3"/>
  <c r="J38" i="3"/>
  <c r="J22" i="3"/>
  <c r="D24" i="14"/>
  <c r="D22" i="14"/>
  <c r="L40" i="3"/>
  <c r="L34" i="3"/>
  <c r="L28" i="3"/>
  <c r="M10" i="2"/>
  <c r="M56" i="2"/>
  <c r="P32" i="14"/>
  <c r="P16" i="4"/>
  <c r="P9" i="7"/>
  <c r="J53" i="2"/>
  <c r="J11" i="2"/>
  <c r="H43" i="2"/>
  <c r="H23" i="2"/>
  <c r="J64" i="2"/>
  <c r="J63" i="2"/>
  <c r="M43" i="2"/>
  <c r="M23" i="2"/>
  <c r="O28" i="2"/>
  <c r="O39" i="3"/>
  <c r="M25" i="2"/>
  <c r="M24" i="2"/>
  <c r="M42" i="2"/>
  <c r="M46" i="2"/>
  <c r="G22" i="14"/>
  <c r="G24" i="14"/>
  <c r="C22" i="3"/>
  <c r="E12" i="2"/>
  <c r="J25" i="2"/>
  <c r="J24" i="2"/>
  <c r="J42" i="2"/>
  <c r="J46" i="2"/>
  <c r="K9" i="7"/>
  <c r="K16" i="4"/>
  <c r="K32" i="14"/>
  <c r="F9" i="7"/>
  <c r="F16" i="4"/>
  <c r="F32" i="14"/>
  <c r="K4" i="16"/>
  <c r="K9" i="16"/>
  <c r="C28" i="3"/>
  <c r="C38" i="3"/>
  <c r="C40" i="3"/>
  <c r="C34" i="3"/>
  <c r="D36" i="14"/>
  <c r="D15" i="14"/>
  <c r="D8" i="14"/>
  <c r="G36" i="14"/>
  <c r="G15" i="14"/>
  <c r="G8" i="14"/>
  <c r="L8" i="14"/>
  <c r="L15" i="14"/>
  <c r="L36" i="14"/>
  <c r="K36" i="2"/>
  <c r="K27" i="4"/>
  <c r="P10" i="3"/>
  <c r="P11" i="3"/>
  <c r="P58" i="3"/>
  <c r="Q36" i="2"/>
  <c r="Q27" i="4"/>
  <c r="F22" i="3"/>
  <c r="S28" i="3"/>
  <c r="S34" i="3"/>
  <c r="S40" i="3"/>
  <c r="R33" i="14"/>
  <c r="R31" i="14"/>
  <c r="R7" i="7"/>
  <c r="R5" i="7"/>
  <c r="R39" i="14"/>
  <c r="N57" i="3"/>
  <c r="G49" i="2"/>
  <c r="G13" i="2"/>
  <c r="G50" i="2"/>
  <c r="E64" i="2"/>
  <c r="E63" i="2"/>
  <c r="P13" i="7"/>
  <c r="L22" i="14"/>
  <c r="L24" i="14"/>
  <c r="I43" i="2"/>
  <c r="I23" i="2"/>
  <c r="C33" i="14"/>
  <c r="C31" i="14"/>
  <c r="I57" i="3"/>
  <c r="E9" i="7"/>
  <c r="E16" i="4"/>
  <c r="E32" i="14"/>
  <c r="J54" i="3"/>
  <c r="J17" i="3"/>
  <c r="J53" i="3"/>
  <c r="K49" i="2"/>
  <c r="K13" i="2"/>
  <c r="K50" i="2"/>
  <c r="O57" i="3"/>
  <c r="O82" i="3"/>
  <c r="O79" i="3"/>
  <c r="O61" i="2"/>
  <c r="D58" i="3"/>
  <c r="M82" i="3"/>
  <c r="M79" i="3"/>
  <c r="M61" i="2"/>
  <c r="G8" i="5"/>
  <c r="G16" i="5"/>
  <c r="G73" i="3"/>
  <c r="G76" i="3"/>
  <c r="G63" i="2"/>
  <c r="G64" i="2"/>
  <c r="H36" i="2"/>
  <c r="H27" i="4"/>
  <c r="C49" i="2"/>
  <c r="C13" i="2"/>
  <c r="C50" i="2"/>
  <c r="C57" i="3"/>
  <c r="S61" i="3"/>
  <c r="S60" i="3"/>
  <c r="Q29" i="2"/>
  <c r="Q39" i="5"/>
  <c r="Q41" i="5"/>
  <c r="R34" i="5"/>
  <c r="R75" i="3"/>
  <c r="E25" i="2"/>
  <c r="E24" i="2"/>
  <c r="E42" i="2"/>
  <c r="Q53" i="2"/>
  <c r="Q11" i="2"/>
  <c r="D56" i="2"/>
  <c r="D10" i="2"/>
  <c r="D66" i="3"/>
  <c r="D64" i="3"/>
  <c r="M20" i="2"/>
  <c r="M36" i="3"/>
  <c r="G11" i="2"/>
  <c r="G53" i="2"/>
  <c r="K21" i="5"/>
  <c r="K57" i="3"/>
  <c r="H57" i="3"/>
  <c r="L33" i="14"/>
  <c r="L31" i="14"/>
  <c r="L7" i="7"/>
  <c r="L5" i="7"/>
  <c r="L39" i="14"/>
  <c r="C58" i="3"/>
  <c r="S58" i="3"/>
  <c r="S15" i="3"/>
  <c r="S17" i="3"/>
  <c r="S54" i="3"/>
  <c r="C32" i="14"/>
  <c r="C16" i="4"/>
  <c r="C9" i="7"/>
  <c r="O50" i="2"/>
  <c r="O13" i="2"/>
  <c r="O49" i="2"/>
  <c r="J24" i="14"/>
  <c r="J22" i="14"/>
  <c r="R22" i="14"/>
  <c r="R24" i="14"/>
  <c r="C21" i="5"/>
  <c r="C25" i="2"/>
  <c r="C24" i="2"/>
  <c r="C42" i="2"/>
  <c r="M11" i="2"/>
  <c r="M53" i="2"/>
  <c r="E57" i="3"/>
  <c r="H82" i="3"/>
  <c r="H8" i="5"/>
  <c r="H16" i="5"/>
  <c r="H73" i="3"/>
  <c r="H76" i="3"/>
  <c r="H79" i="3"/>
  <c r="H61" i="2"/>
  <c r="D53" i="3"/>
  <c r="D10" i="3"/>
  <c r="D11" i="3"/>
  <c r="D17" i="3"/>
  <c r="D54" i="3"/>
  <c r="I61" i="2"/>
  <c r="I79" i="3"/>
  <c r="I82" i="3"/>
  <c r="O22" i="3"/>
  <c r="N22" i="3"/>
  <c r="D75" i="3"/>
  <c r="D34" i="5"/>
  <c r="C75" i="3"/>
  <c r="O8" i="5"/>
  <c r="O16" i="5"/>
  <c r="O73" i="3"/>
  <c r="O76" i="3"/>
  <c r="O63" i="2"/>
  <c r="O64" i="2"/>
  <c r="P36" i="2"/>
  <c r="P27" i="4"/>
  <c r="D27" i="4"/>
  <c r="D36" i="2"/>
  <c r="P39" i="3"/>
  <c r="P28" i="2"/>
  <c r="G12" i="2"/>
  <c r="E43" i="2"/>
  <c r="E23" i="2"/>
  <c r="Q16" i="7"/>
  <c r="R14" i="7"/>
  <c r="R15" i="7"/>
  <c r="R15" i="4"/>
  <c r="R17" i="4"/>
  <c r="R21" i="4"/>
  <c r="R27" i="4"/>
  <c r="R36" i="2"/>
  <c r="D39" i="14"/>
  <c r="D5" i="7"/>
  <c r="D7" i="7"/>
  <c r="D31" i="14"/>
  <c r="D33" i="14"/>
  <c r="M19" i="4"/>
  <c r="M10" i="3"/>
  <c r="M11" i="3"/>
  <c r="M58" i="3"/>
  <c r="M64" i="2"/>
  <c r="M8" i="5"/>
  <c r="M16" i="5"/>
  <c r="M73" i="3"/>
  <c r="M76" i="3"/>
  <c r="M63" i="2"/>
  <c r="I64" i="2"/>
  <c r="I8" i="5"/>
  <c r="I16" i="5"/>
  <c r="I73" i="3"/>
  <c r="I76" i="3"/>
  <c r="I63" i="2"/>
  <c r="I58" i="3"/>
  <c r="H28" i="2"/>
  <c r="H39" i="3"/>
  <c r="C43" i="2"/>
  <c r="C23" i="2"/>
  <c r="K34" i="5"/>
  <c r="K21" i="4"/>
  <c r="K75" i="3"/>
  <c r="F21" i="5"/>
  <c r="F38" i="3"/>
  <c r="F40" i="3"/>
  <c r="F34" i="3"/>
  <c r="F28" i="3"/>
  <c r="S38" i="3"/>
  <c r="S22" i="3"/>
  <c r="I53" i="2"/>
  <c r="I11" i="2"/>
  <c r="K36" i="3"/>
  <c r="K20" i="2"/>
  <c r="E28" i="3"/>
  <c r="E34" i="3"/>
  <c r="E38" i="3"/>
  <c r="E40" i="3"/>
  <c r="Q57" i="3"/>
  <c r="O41" i="5"/>
  <c r="O36" i="5"/>
  <c r="O39" i="5"/>
  <c r="O29" i="2"/>
  <c r="N13" i="7"/>
  <c r="N61" i="2"/>
  <c r="N8" i="5"/>
  <c r="N16" i="5"/>
  <c r="N73" i="3"/>
  <c r="N76" i="3"/>
  <c r="N79" i="3"/>
  <c r="N82" i="3"/>
  <c r="I22" i="3"/>
  <c r="Q12" i="2"/>
  <c r="D68" i="3"/>
  <c r="O9" i="7"/>
  <c r="O16" i="4"/>
  <c r="O32" i="14"/>
  <c r="I12" i="2"/>
  <c r="G57" i="3"/>
  <c r="E34" i="5"/>
  <c r="E75" i="3"/>
  <c r="C13" i="7"/>
  <c r="H21" i="5"/>
  <c r="H25" i="2"/>
  <c r="H24" i="2"/>
  <c r="H42" i="2"/>
  <c r="H46" i="2"/>
  <c r="N22" i="14"/>
  <c r="N24" i="14"/>
  <c r="N34" i="5"/>
  <c r="N75" i="3"/>
  <c r="C12" i="2"/>
  <c r="H29" i="2"/>
  <c r="H36" i="5"/>
  <c r="H39" i="5"/>
  <c r="H41" i="5"/>
  <c r="I54" i="3"/>
  <c r="I10" i="3"/>
  <c r="I11" i="3"/>
  <c r="I17" i="3"/>
  <c r="I53" i="3"/>
  <c r="G19" i="4"/>
  <c r="G10" i="3"/>
  <c r="G11" i="3"/>
  <c r="G58" i="3"/>
  <c r="P63" i="2"/>
  <c r="P64" i="2"/>
  <c r="J29" i="2"/>
  <c r="J39" i="5"/>
  <c r="J41" i="5"/>
  <c r="K12" i="2"/>
  <c r="P38" i="3"/>
  <c r="P22" i="3"/>
  <c r="H19" i="4"/>
  <c r="H12" i="2"/>
  <c r="R8" i="7"/>
  <c r="R21" i="5"/>
  <c r="R38" i="3"/>
  <c r="R22" i="3"/>
  <c r="G34" i="5"/>
  <c r="F16" i="7"/>
  <c r="G14" i="7"/>
  <c r="G15" i="7"/>
  <c r="G15" i="4"/>
  <c r="G17" i="4"/>
  <c r="G21" i="4"/>
  <c r="G75" i="3"/>
  <c r="N25" i="2"/>
  <c r="N24" i="2"/>
  <c r="N42" i="2"/>
  <c r="N46" i="2"/>
  <c r="Q36" i="3"/>
  <c r="Q20" i="2"/>
  <c r="J10" i="3"/>
  <c r="J11" i="3"/>
  <c r="J58" i="3"/>
  <c r="K11" i="2"/>
  <c r="K53" i="2"/>
  <c r="Q82" i="3"/>
  <c r="Q5" i="5"/>
  <c r="Q8" i="5"/>
  <c r="Q16" i="5"/>
  <c r="Q73" i="3"/>
  <c r="Q76" i="3"/>
  <c r="Q79" i="3"/>
  <c r="Q61" i="2"/>
  <c r="D44" i="2"/>
  <c r="D74" i="3"/>
  <c r="D23" i="5"/>
  <c r="D28" i="5"/>
  <c r="D45" i="2"/>
  <c r="G29" i="2"/>
  <c r="G39" i="5"/>
  <c r="G41" i="5"/>
  <c r="J23" i="2"/>
  <c r="J43" i="2"/>
  <c r="E74" i="3"/>
  <c r="E45" i="2"/>
  <c r="E21" i="5"/>
  <c r="E23" i="5"/>
  <c r="E28" i="5"/>
  <c r="E44" i="2"/>
  <c r="C28" i="2"/>
  <c r="C39" i="3"/>
  <c r="M34" i="5"/>
  <c r="M75" i="3"/>
  <c r="M22" i="3"/>
  <c r="R32" i="14"/>
  <c r="R16" i="4"/>
  <c r="R6" i="7"/>
  <c r="R9" i="7"/>
  <c r="K8" i="14"/>
  <c r="K15" i="14"/>
  <c r="K36" i="14"/>
  <c r="O38" i="3"/>
  <c r="O40" i="3"/>
  <c r="O34" i="3"/>
  <c r="O28" i="3"/>
  <c r="C64" i="3"/>
  <c r="C66" i="3"/>
  <c r="C71" i="2"/>
  <c r="O13" i="7"/>
  <c r="N21" i="5"/>
  <c r="N38" i="3"/>
  <c r="N40" i="3"/>
  <c r="N34" i="3"/>
  <c r="N28" i="3"/>
  <c r="Q28" i="2"/>
  <c r="Q36" i="5"/>
  <c r="Q39" i="3"/>
  <c r="C68" i="3"/>
  <c r="C70" i="2"/>
  <c r="P10" i="2"/>
  <c r="P56" i="2"/>
  <c r="E21" i="4"/>
  <c r="E27" i="4"/>
  <c r="E36" i="2"/>
  <c r="D82" i="3"/>
  <c r="D79" i="3"/>
  <c r="D61" i="2"/>
  <c r="D39" i="3"/>
  <c r="D28" i="2"/>
  <c r="E10" i="2"/>
  <c r="E56" i="2"/>
  <c r="N50" i="2"/>
  <c r="M5" i="5"/>
  <c r="M16" i="7"/>
  <c r="N14" i="7"/>
  <c r="N15" i="7"/>
  <c r="N15" i="4"/>
  <c r="N17" i="4"/>
  <c r="N21" i="4"/>
  <c r="N13" i="2"/>
  <c r="N49" i="2"/>
  <c r="P57" i="3"/>
  <c r="K24" i="14"/>
  <c r="K22" i="14"/>
  <c r="J16" i="7"/>
  <c r="K14" i="7"/>
  <c r="K15" i="7"/>
  <c r="K15" i="4"/>
  <c r="K17" i="4"/>
  <c r="K19" i="4"/>
  <c r="K10" i="3"/>
  <c r="K11" i="3"/>
  <c r="K58" i="3"/>
  <c r="J39" i="3"/>
  <c r="J36" i="5"/>
  <c r="J28" i="2"/>
  <c r="O33" i="14"/>
  <c r="O39" i="14"/>
  <c r="O5" i="7"/>
  <c r="O7" i="7"/>
  <c r="O31" i="14"/>
  <c r="L41" i="5"/>
  <c r="L39" i="5"/>
  <c r="L29" i="2"/>
  <c r="C10" i="3"/>
  <c r="C11" i="3"/>
  <c r="C17" i="3"/>
  <c r="C53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O46" i="2"/>
  <c r="O21" i="5"/>
  <c r="O25" i="2"/>
  <c r="O24" i="2"/>
  <c r="O42" i="2"/>
  <c r="H53" i="2"/>
  <c r="H11" i="2"/>
  <c r="F75" i="3"/>
  <c r="F34" i="5"/>
  <c r="P36" i="3"/>
  <c r="P20" i="2"/>
  <c r="O34" i="5"/>
  <c r="O75" i="3"/>
  <c r="P36" i="14"/>
  <c r="P19" i="4"/>
  <c r="P8" i="14"/>
  <c r="P15" i="14"/>
  <c r="F36" i="14"/>
  <c r="F19" i="4"/>
  <c r="F8" i="14"/>
  <c r="F15" i="14"/>
  <c r="Q74" i="3"/>
  <c r="Q45" i="2"/>
  <c r="Q23" i="5"/>
  <c r="Q28" i="5"/>
  <c r="Q44" i="2"/>
  <c r="G39" i="3"/>
  <c r="G36" i="5"/>
  <c r="G28" i="2"/>
  <c r="P41" i="5"/>
  <c r="P36" i="5"/>
  <c r="P39" i="5"/>
  <c r="P29" i="2"/>
  <c r="F82" i="3"/>
  <c r="F73" i="3"/>
  <c r="F76" i="3"/>
  <c r="F79" i="3"/>
  <c r="F61" i="2"/>
  <c r="O36" i="14"/>
  <c r="O15" i="14"/>
  <c r="O8" i="14"/>
  <c r="R29" i="2"/>
  <c r="R39" i="5"/>
  <c r="R41" i="5"/>
  <c r="D73" i="3"/>
  <c r="D76" i="3"/>
  <c r="D63" i="2"/>
  <c r="D64" i="2"/>
  <c r="K29" i="2"/>
  <c r="K39" i="5"/>
  <c r="K41" i="5"/>
  <c r="H50" i="2"/>
  <c r="H13" i="2"/>
  <c r="H49" i="2"/>
  <c r="L20" i="2"/>
  <c r="L36" i="3"/>
  <c r="M57" i="3"/>
  <c r="C29" i="2"/>
  <c r="C36" i="5"/>
  <c r="C39" i="5"/>
  <c r="C41" i="5"/>
  <c r="L16" i="7"/>
  <c r="M14" i="7"/>
  <c r="M15" i="7"/>
  <c r="M15" i="4"/>
  <c r="M17" i="4"/>
  <c r="M21" i="4"/>
  <c r="M27" i="4"/>
  <c r="M36" i="2"/>
  <c r="D13" i="7"/>
  <c r="J39" i="14"/>
  <c r="J5" i="7"/>
  <c r="J7" i="7"/>
  <c r="J31" i="14"/>
  <c r="J33" i="14"/>
  <c r="I21" i="5"/>
  <c r="I38" i="3"/>
  <c r="I40" i="3"/>
  <c r="I34" i="3"/>
  <c r="I28" i="3"/>
  <c r="P34" i="5"/>
  <c r="P75" i="3"/>
  <c r="J61" i="2"/>
  <c r="J8" i="5"/>
  <c r="J16" i="5"/>
  <c r="J73" i="3"/>
  <c r="J76" i="3"/>
  <c r="J79" i="3"/>
  <c r="J82" i="3"/>
  <c r="E53" i="3"/>
  <c r="E17" i="3"/>
  <c r="E54" i="3"/>
  <c r="D19" i="4"/>
  <c r="D12" i="2"/>
  <c r="Q8" i="14"/>
  <c r="Q15" i="14"/>
  <c r="Q36" i="14"/>
  <c r="J21" i="5"/>
  <c r="J57" i="3"/>
  <c r="K82" i="3"/>
  <c r="K79" i="3"/>
  <c r="K61" i="2"/>
  <c r="P50" i="2"/>
  <c r="O16" i="7"/>
  <c r="P14" i="7"/>
  <c r="P15" i="7"/>
  <c r="P15" i="4"/>
  <c r="P17" i="4"/>
  <c r="P21" i="4"/>
  <c r="P13" i="2"/>
  <c r="P49" i="2"/>
  <c r="K64" i="2"/>
  <c r="K8" i="5"/>
  <c r="K16" i="5"/>
  <c r="K73" i="3"/>
  <c r="K76" i="3"/>
  <c r="K63" i="2"/>
  <c r="H5" i="5"/>
  <c r="H16" i="7"/>
  <c r="I14" i="7"/>
  <c r="I15" i="7"/>
  <c r="I15" i="4"/>
  <c r="I17" i="4"/>
  <c r="I19" i="4"/>
  <c r="I8" i="14"/>
  <c r="I15" i="14"/>
  <c r="I36" i="14"/>
  <c r="C61" i="2"/>
  <c r="C85" i="3"/>
  <c r="Q50" i="2"/>
  <c r="Q13" i="2"/>
  <c r="Q49" i="2"/>
  <c r="D29" i="2"/>
  <c r="D36" i="5"/>
  <c r="D39" i="5"/>
  <c r="D41" i="5"/>
  <c r="P46" i="2"/>
  <c r="P21" i="5"/>
  <c r="P25" i="2"/>
  <c r="P24" i="2"/>
  <c r="P42" i="2"/>
  <c r="H39" i="14"/>
  <c r="H5" i="7"/>
  <c r="H7" i="7"/>
  <c r="H31" i="14"/>
  <c r="H33" i="14"/>
  <c r="O21" i="4"/>
  <c r="O27" i="4"/>
  <c r="O36" i="2"/>
  <c r="J9" i="7"/>
  <c r="J16" i="4"/>
  <c r="J32" i="14"/>
  <c r="Q40" i="3"/>
  <c r="Q34" i="3"/>
  <c r="Q28" i="3"/>
  <c r="S39" i="3"/>
  <c r="R39" i="3"/>
  <c r="P61" i="2"/>
  <c r="P8" i="5"/>
  <c r="P16" i="5"/>
  <c r="P73" i="3"/>
  <c r="P76" i="3"/>
  <c r="P79" i="3"/>
  <c r="P82" i="3"/>
  <c r="Q53" i="3"/>
  <c r="Q17" i="3"/>
  <c r="Q54" i="3"/>
  <c r="Q37" i="14"/>
  <c r="R35" i="14"/>
  <c r="R37" i="14"/>
  <c r="R5" i="5"/>
  <c r="R8" i="5"/>
  <c r="R16" i="5"/>
  <c r="R23" i="2"/>
  <c r="R43" i="2"/>
  <c r="O54" i="3"/>
  <c r="O10" i="3"/>
  <c r="O11" i="3"/>
  <c r="O17" i="3"/>
  <c r="O53" i="3"/>
  <c r="G38" i="3"/>
  <c r="G22" i="3"/>
  <c r="D57" i="3"/>
  <c r="C20" i="2"/>
  <c r="C36" i="3"/>
  <c r="L9" i="16"/>
  <c r="L39" i="3"/>
  <c r="L36" i="5"/>
  <c r="L28" i="2"/>
  <c r="Q19" i="4"/>
  <c r="Q10" i="3"/>
  <c r="Q11" i="3"/>
  <c r="Q58" i="3"/>
  <c r="G20" i="2"/>
  <c r="G36" i="3"/>
  <c r="L21" i="5"/>
  <c r="L38" i="3"/>
  <c r="L22" i="3"/>
  <c r="H10" i="2"/>
  <c r="H56" i="2"/>
  <c r="E36" i="3"/>
  <c r="E20" i="2"/>
  <c r="E16" i="7"/>
  <c r="F14" i="7"/>
  <c r="F15" i="7"/>
  <c r="F15" i="4"/>
  <c r="F17" i="4"/>
  <c r="F21" i="4"/>
  <c r="F27" i="4"/>
  <c r="F36" i="2"/>
  <c r="Q35" i="14"/>
  <c r="Q39" i="14"/>
  <c r="Q5" i="7"/>
  <c r="Q7" i="7"/>
  <c r="Q31" i="14"/>
  <c r="Q33" i="14"/>
  <c r="G9" i="7"/>
  <c r="G16" i="4"/>
  <c r="G32" i="14"/>
  <c r="I5" i="5"/>
  <c r="I16" i="7"/>
  <c r="J14" i="7"/>
  <c r="J15" i="7"/>
  <c r="J15" i="4"/>
  <c r="J17" i="4"/>
  <c r="J19" i="4"/>
  <c r="J12" i="2"/>
  <c r="N6" i="7"/>
  <c r="N8" i="7"/>
  <c r="O6" i="7"/>
  <c r="O8" i="7"/>
  <c r="P6" i="7"/>
  <c r="P8" i="7"/>
  <c r="Q6" i="7"/>
  <c r="Q8" i="7"/>
  <c r="Q21" i="5"/>
  <c r="Q38" i="3"/>
  <c r="Q22" i="3"/>
  <c r="C10" i="2"/>
  <c r="C56" i="2"/>
  <c r="E82" i="3"/>
  <c r="E5" i="5"/>
  <c r="E8" i="5"/>
  <c r="E16" i="5"/>
  <c r="E73" i="3"/>
  <c r="E76" i="3"/>
  <c r="E79" i="3"/>
  <c r="E61" i="2"/>
  <c r="J36" i="3"/>
  <c r="J5" i="5"/>
  <c r="J20" i="2"/>
  <c r="Q75" i="3"/>
  <c r="P35" i="14"/>
  <c r="P37" i="14"/>
  <c r="P5" i="5"/>
  <c r="P16" i="7"/>
  <c r="Q14" i="7"/>
  <c r="Q15" i="7"/>
  <c r="Q15" i="4"/>
  <c r="Q17" i="4"/>
  <c r="Q21" i="4"/>
  <c r="Q34" i="5"/>
  <c r="F5" i="5"/>
  <c r="F8" i="5"/>
  <c r="F16" i="5"/>
  <c r="F23" i="2"/>
  <c r="F43" i="2"/>
  <c r="N36" i="3"/>
  <c r="N20" i="2"/>
  <c r="L33" i="5"/>
  <c r="M33" i="5"/>
  <c r="N33" i="5"/>
  <c r="O33" i="5"/>
  <c r="P33" i="5"/>
  <c r="Q33" i="5"/>
  <c r="R33" i="5"/>
  <c r="R36" i="5"/>
  <c r="R28" i="2"/>
  <c r="N5" i="5"/>
  <c r="N16" i="7"/>
  <c r="O14" i="7"/>
  <c r="O15" i="7"/>
  <c r="O15" i="4"/>
  <c r="O17" i="4"/>
  <c r="O19" i="4"/>
  <c r="O12" i="2"/>
  <c r="K28" i="2"/>
  <c r="C21" i="4"/>
  <c r="C34" i="5"/>
  <c r="D33" i="5"/>
  <c r="E33" i="5"/>
  <c r="F33" i="5"/>
  <c r="G33" i="5"/>
  <c r="H33" i="5"/>
  <c r="I33" i="5"/>
  <c r="J33" i="5"/>
  <c r="K33" i="5"/>
  <c r="K36" i="5"/>
  <c r="K39" i="3"/>
  <c r="H75" i="3"/>
  <c r="G5" i="5"/>
  <c r="G16" i="7"/>
  <c r="H14" i="7"/>
  <c r="H15" i="7"/>
  <c r="H15" i="4"/>
  <c r="H17" i="4"/>
  <c r="H21" i="4"/>
  <c r="H34" i="5"/>
  <c r="L61" i="2"/>
  <c r="L5" i="5"/>
  <c r="L8" i="5"/>
  <c r="L16" i="5"/>
  <c r="L73" i="3"/>
  <c r="L76" i="3"/>
  <c r="L79" i="3"/>
  <c r="L82" i="3"/>
  <c r="O20" i="2"/>
  <c r="L35" i="14"/>
  <c r="L37" i="14"/>
  <c r="M35" i="14"/>
  <c r="M37" i="14"/>
  <c r="N35" i="14"/>
  <c r="N37" i="14"/>
  <c r="O35" i="14"/>
  <c r="O37" i="14"/>
  <c r="O5" i="5"/>
  <c r="O36" i="3"/>
  <c r="D21" i="5"/>
  <c r="D38" i="3"/>
  <c r="D22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H8" i="7"/>
  <c r="I6" i="7"/>
  <c r="I8" i="7"/>
  <c r="J6" i="7"/>
  <c r="J8" i="7"/>
  <c r="K6" i="7"/>
  <c r="K8" i="7"/>
  <c r="L6" i="7"/>
  <c r="L8" i="7"/>
  <c r="M6" i="7"/>
  <c r="M8" i="7"/>
  <c r="M21" i="5"/>
  <c r="M38" i="3"/>
  <c r="M40" i="3"/>
  <c r="M34" i="3"/>
  <c r="M28" i="3"/>
  <c r="C63" i="2"/>
  <c r="D20" i="2"/>
  <c r="D36" i="3"/>
  <c r="D8" i="5"/>
  <c r="D16" i="5"/>
  <c r="D23" i="2"/>
  <c r="D43" i="2"/>
  <c r="D5" i="5"/>
  <c r="D16" i="7"/>
  <c r="E14" i="7"/>
  <c r="E15" i="7"/>
  <c r="E15" i="4"/>
  <c r="E17" i="4"/>
  <c r="E19" i="4"/>
  <c r="E10" i="3"/>
  <c r="E11" i="3"/>
  <c r="E58" i="3"/>
  <c r="G21" i="5"/>
  <c r="G25" i="2"/>
  <c r="G24" i="2"/>
  <c r="G42" i="2"/>
  <c r="G46" i="2"/>
  <c r="C8" i="5"/>
  <c r="C16" i="5"/>
  <c r="C73" i="3"/>
  <c r="C76" i="3"/>
  <c r="C79" i="3"/>
  <c r="C84" i="3"/>
  <c r="C66" i="2"/>
  <c r="K13" i="7"/>
  <c r="D50" i="2"/>
  <c r="D14" i="7"/>
  <c r="D15" i="7"/>
  <c r="D15" i="4"/>
  <c r="D17" i="4"/>
  <c r="D21" i="4"/>
  <c r="D13" i="2"/>
  <c r="D49" i="2"/>
  <c r="D35" i="14"/>
  <c r="D37" i="14"/>
  <c r="E35" i="14"/>
  <c r="E37" i="14"/>
  <c r="F35" i="14"/>
  <c r="F37" i="14"/>
  <c r="G35" i="14"/>
  <c r="G37" i="14"/>
  <c r="H35" i="14"/>
  <c r="H37" i="14"/>
  <c r="I35" i="14"/>
  <c r="I37" i="14"/>
  <c r="J35" i="14"/>
  <c r="J37" i="14"/>
  <c r="K35" i="14"/>
  <c r="K37" i="14"/>
  <c r="K5" i="5"/>
  <c r="K16" i="7"/>
  <c r="L14" i="7"/>
  <c r="L15" i="7"/>
  <c r="L15" i="4"/>
  <c r="L17" i="4"/>
  <c r="L19" i="4"/>
  <c r="L12" i="2"/>
  <c r="C36" i="14"/>
  <c r="C37" i="14"/>
  <c r="C5" i="5"/>
  <c r="C16" i="7"/>
  <c r="C15" i="7"/>
  <c r="C15" i="4"/>
  <c r="C17" i="4"/>
  <c r="C19" i="4"/>
  <c r="C8" i="14"/>
  <c r="C15" i="14"/>
  <c r="C39" i="14"/>
  <c r="C5" i="7"/>
  <c r="C7" i="7"/>
  <c r="C8" i="7"/>
  <c r="D6" i="7"/>
  <c r="D8" i="7"/>
  <c r="E6" i="7"/>
  <c r="E8" i="7"/>
  <c r="F6" i="7"/>
  <c r="F8" i="7"/>
  <c r="G6" i="7"/>
  <c r="G8" i="7"/>
  <c r="H6" i="7"/>
  <c r="H9" i="7"/>
  <c r="H16" i="4"/>
  <c r="H3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43" authorId="0" shapeId="0" xr:uid="{736056C8-37ED-45D9-8D06-93FD2DF3382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Activo/Patrimonio</t>
        </r>
      </text>
    </comment>
    <comment ref="B44" authorId="0" shapeId="0" xr:uid="{D2FBEDB4-EFFE-46EF-88BE-362C2785BE7E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Pasivo/Activo</t>
        </r>
      </text>
    </comment>
    <comment ref="B45" authorId="0" shapeId="0" xr:uid="{4C714941-6036-4D8F-80D4-74168968CAC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Pasivo/Patrimonio</t>
        </r>
      </text>
    </comment>
    <comment ref="B56" authorId="0" shapeId="0" xr:uid="{1FD3A19C-F1B7-4CDB-8FAF-00B93F38684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EBITDA/Gastos Financieros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SANTIAGO ALZATE RESTREPO</author>
  </authors>
  <commentList>
    <comment ref="B166" authorId="0" shapeId="0" xr:uid="{5FA326C7-3649-4753-92AA-FD085143B004}">
      <text>
        <r>
          <rPr>
            <b/>
            <sz val="9"/>
            <color indexed="81"/>
            <rFont val="Tahoma"/>
            <family val="2"/>
          </rPr>
          <t>cuantos cultivadores por hectarea?</t>
        </r>
      </text>
    </comment>
    <comment ref="A251" authorId="0" shapeId="0" xr:uid="{31B89CDF-8ADC-4D45-94CC-D11E216312A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Metros cuadrados x Hectarea</t>
        </r>
      </text>
    </comment>
    <comment ref="A256" authorId="0" shapeId="0" xr:uid="{6F5BC3EA-3C24-4194-B373-E4818825757F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Distancia de siembra por Hectarea</t>
        </r>
      </text>
    </comment>
    <comment ref="A257" authorId="0" shapeId="0" xr:uid="{2E360A42-8ACD-4DD6-B1F5-9F26BAD2E2C8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Factor de perdida de Arboles del 2% anual
</t>
        </r>
      </text>
    </comment>
    <comment ref="A258" authorId="0" shapeId="0" xr:uid="{12B10997-0D05-4B02-8D26-4BBB6617665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% de Renovación al año 5
</t>
        </r>
      </text>
    </comment>
    <comment ref="A259" authorId="0" shapeId="0" xr:uid="{34F72EF4-36D6-4F19-8901-C25CE6FA5401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% de Renovación al año 5
</t>
        </r>
      </text>
    </comment>
    <comment ref="A272" authorId="0" shapeId="0" xr:uid="{F5A02B60-6A77-490C-9357-CC1CB5DF7D96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Fórmula Agronomo Fruty Green S.A.S:
x= Producción Kg
Y= Edad</t>
        </r>
      </text>
    </comment>
    <comment ref="A273" authorId="0" shapeId="0" xr:uid="{A4568924-2909-4C50-8EE8-9292E323F1E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Factor de Ajuste del 20% ya que despues del año 7 por lo general un año produce al 100% y el siguiente lo hace por debajo.</t>
        </r>
      </text>
    </comment>
    <comment ref="C287" authorId="0" shapeId="0" xr:uid="{DEBABDBE-9B12-4DA4-A6DC-B2DF039B8FD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 hace sobre el año 7 que es cuando se alcanza la mayor productividad</t>
        </r>
      </text>
    </comment>
    <comment ref="A328" authorId="1" shapeId="0" xr:uid="{EC549CE7-2CFA-4E02-82BC-44D49A65C0C0}">
      <text>
        <r>
          <rPr>
            <b/>
            <sz val="9"/>
            <color indexed="81"/>
            <rFont val="Tahoma"/>
            <family val="2"/>
          </rPr>
          <t>SANTIAGO ALZATE RESTREPO:</t>
        </r>
        <r>
          <rPr>
            <sz val="9"/>
            <color indexed="81"/>
            <rFont val="Tahoma"/>
            <family val="2"/>
          </rPr>
          <t xml:space="preserve">
Costo promedio de Producción
o en promedio 25% de las ventas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3" authorId="0" shapeId="0" xr:uid="{5E21FA43-EFED-4608-AFD9-80C2225FC2A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Acumulado</t>
        </r>
      </text>
    </comment>
    <comment ref="B62" authorId="0" shapeId="0" xr:uid="{7D9B6EE3-0D81-40DB-9CCB-D9CCD61FB93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Cosecha del año proximo/ Inventario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24" authorId="0" shapeId="0" xr:uid="{040E3D4D-7B92-4803-AD28-14C5E0BEC95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Valorizacion del terreno
</t>
        </r>
      </text>
    </comment>
  </commentList>
</comments>
</file>

<file path=xl/sharedStrings.xml><?xml version="1.0" encoding="utf-8"?>
<sst xmlns="http://schemas.openxmlformats.org/spreadsheetml/2006/main" count="700" uniqueCount="485">
  <si>
    <t>ESTRUCTURACIÓN FINANCIERA FCP - PRODUCCIÓN DE AGUACATE HASS EN COLOMBIA</t>
  </si>
  <si>
    <t>Supuesto</t>
  </si>
  <si>
    <t>x</t>
  </si>
  <si>
    <t>Dato Externo</t>
  </si>
  <si>
    <t>Fórmula</t>
  </si>
  <si>
    <t xml:space="preserve">John Alexis Chica Garcés </t>
  </si>
  <si>
    <t xml:space="preserve">Santiago Alzate Restrepo </t>
  </si>
  <si>
    <t>$COP</t>
  </si>
  <si>
    <t>BID TOTAL</t>
  </si>
  <si>
    <t>AÑOS</t>
  </si>
  <si>
    <t>APORTE ANUAL</t>
  </si>
  <si>
    <t>APORTES DE CAPITAL</t>
  </si>
  <si>
    <t>ESTADO DE RESULTADOS</t>
  </si>
  <si>
    <t>Ingresos por Ventas</t>
  </si>
  <si>
    <t>Margen Bruto</t>
  </si>
  <si>
    <t>Gasto SG&amp;A</t>
  </si>
  <si>
    <t>Gastos Financieros Netos</t>
  </si>
  <si>
    <t>Resultado antes de Impuestos</t>
  </si>
  <si>
    <t>Provisión por Impuestos</t>
  </si>
  <si>
    <t>Utilidad Neta</t>
  </si>
  <si>
    <t>Depreciación y Amortización</t>
  </si>
  <si>
    <t>EBITDA</t>
  </si>
  <si>
    <t>CAPEX</t>
  </si>
  <si>
    <t>BALANCE</t>
  </si>
  <si>
    <t>Caja y Equivalentes</t>
  </si>
  <si>
    <t>Otros Activos Corrientes</t>
  </si>
  <si>
    <t>Activo Fijo</t>
  </si>
  <si>
    <t>Total Activos</t>
  </si>
  <si>
    <t>Deuda Financiera Total</t>
  </si>
  <si>
    <t>Deuda Financiera CP</t>
  </si>
  <si>
    <t>Deuda Financiera LP</t>
  </si>
  <si>
    <t>Otros Pasivos Corrientes</t>
  </si>
  <si>
    <t>Patrimonio</t>
  </si>
  <si>
    <t>Total Pasivo y Patrimonio</t>
  </si>
  <si>
    <t>RATIOS FINANCIEROS</t>
  </si>
  <si>
    <t>Márgenes</t>
  </si>
  <si>
    <t>Margen Operacional</t>
  </si>
  <si>
    <t>Margen Neto</t>
  </si>
  <si>
    <t>Margen EBITDA</t>
  </si>
  <si>
    <t>SG&amp;A/Ventas</t>
  </si>
  <si>
    <t>Tasa de Impuesto</t>
  </si>
  <si>
    <t>Deuda</t>
  </si>
  <si>
    <t>Deuda Financiera Neta</t>
  </si>
  <si>
    <t>Apalancamiento</t>
  </si>
  <si>
    <t>Ratio Deuda</t>
  </si>
  <si>
    <t>Endeudamiento</t>
  </si>
  <si>
    <t>Deuda Neta / EBITDA</t>
  </si>
  <si>
    <t>Retornos</t>
  </si>
  <si>
    <t>ROA %</t>
  </si>
  <si>
    <t>ROE %</t>
  </si>
  <si>
    <t>Invested Capital</t>
  </si>
  <si>
    <t>ROIC %</t>
  </si>
  <si>
    <t>Cobertura</t>
  </si>
  <si>
    <t>Cobertura Gastos Financieros</t>
  </si>
  <si>
    <t>RATIOS FCP</t>
  </si>
  <si>
    <t>Valor inicial de cada participación</t>
  </si>
  <si>
    <t>Total NAV</t>
  </si>
  <si>
    <t>Crecimiento YoY %</t>
  </si>
  <si>
    <t>Rentabilidad Inversionista CAGR 15Y</t>
  </si>
  <si>
    <t>RATIOS PROYECTO</t>
  </si>
  <si>
    <t>TIR del Proyecto %</t>
  </si>
  <si>
    <t>VPN $</t>
  </si>
  <si>
    <t>Payback Ratio #</t>
  </si>
  <si>
    <t>Analisis de Precio vs Moneda ($USDCOP)</t>
  </si>
  <si>
    <t>Precio Proyectado de venta FOB/kg COP</t>
  </si>
  <si>
    <t>Producción Kilos  - Calidades 1 y 2</t>
  </si>
  <si>
    <t>Precio venta por  Kilos  - Calidades 1 y 2</t>
  </si>
  <si>
    <t>Producción - Peso neto en kilogramos</t>
  </si>
  <si>
    <t>Variables Macro</t>
  </si>
  <si>
    <t>Capital Invertido ($cop) y ROIC %</t>
  </si>
  <si>
    <t>WACC vs ROIC %</t>
  </si>
  <si>
    <t>Márgenes del FCP</t>
  </si>
  <si>
    <t>Valoración NAV</t>
  </si>
  <si>
    <t>Curva J</t>
  </si>
  <si>
    <t>Llamaos a capital</t>
  </si>
  <si>
    <t>Ciclo Operativo en días</t>
  </si>
  <si>
    <t>Tonelada/Hectarea Productiva</t>
  </si>
  <si>
    <t>Kilogramos FCP</t>
  </si>
  <si>
    <t>TERMINAL</t>
  </si>
  <si>
    <t>Ventas</t>
  </si>
  <si>
    <t>Costo de Ventas</t>
  </si>
  <si>
    <t>Resultado Operacional</t>
  </si>
  <si>
    <t>Margen Operativo</t>
  </si>
  <si>
    <t>Impuestos</t>
  </si>
  <si>
    <t>NOPLAT</t>
  </si>
  <si>
    <t>Inversión KTN</t>
  </si>
  <si>
    <t>Flujo de Caja Libre</t>
  </si>
  <si>
    <t>Crecimiento Ventas</t>
  </si>
  <si>
    <t>Crecimiento EBITDA</t>
  </si>
  <si>
    <t>COSTO DE CAPITAL</t>
  </si>
  <si>
    <t>Costo de la deuda</t>
  </si>
  <si>
    <t>Tasa Kd</t>
  </si>
  <si>
    <t>Tasa Impuestos</t>
  </si>
  <si>
    <t>Costo del Patrimonio Ke</t>
  </si>
  <si>
    <t>Tasa libre de Riesgo</t>
  </si>
  <si>
    <t xml:space="preserve"> DGS10 (10 year treasury)</t>
  </si>
  <si>
    <t>Beta Apalancado</t>
  </si>
  <si>
    <t>Beta desapalancado</t>
  </si>
  <si>
    <t>Caja/Equity</t>
  </si>
  <si>
    <t>Tasa de impuestos</t>
  </si>
  <si>
    <t>D/E</t>
  </si>
  <si>
    <t>Equity Risk Premium - ERP</t>
  </si>
  <si>
    <t># Años a descontar</t>
  </si>
  <si>
    <t>$ Flujo de caja descontado (FCD)</t>
  </si>
  <si>
    <t>Flujo Acumulado</t>
  </si>
  <si>
    <t>Capital Invertido</t>
  </si>
  <si>
    <t>ROIC</t>
  </si>
  <si>
    <t>VT</t>
  </si>
  <si>
    <t>EV/Ebitda</t>
  </si>
  <si>
    <t>VALORACION</t>
  </si>
  <si>
    <t>15 Años</t>
  </si>
  <si>
    <t>10 Años</t>
  </si>
  <si>
    <t>Valor Presente Flujos</t>
  </si>
  <si>
    <t>Valor Terminal</t>
  </si>
  <si>
    <t>VPN</t>
  </si>
  <si>
    <t>TIR FCP</t>
  </si>
  <si>
    <t>0</t>
  </si>
  <si>
    <t>Tasa de Crecimiento (g)</t>
  </si>
  <si>
    <t>NAV</t>
  </si>
  <si>
    <t>Pasivos</t>
  </si>
  <si>
    <t>NAV - FCP Valuation</t>
  </si>
  <si>
    <t>Valor Unidad</t>
  </si>
  <si>
    <t>Cantidad de Unidades en Circulación</t>
  </si>
  <si>
    <t xml:space="preserve">Valorización </t>
  </si>
  <si>
    <t>CAGR 15Y</t>
  </si>
  <si>
    <t>CAGR 10Y</t>
  </si>
  <si>
    <t>Tasa Libre de Riesgo</t>
  </si>
  <si>
    <t>EMBI</t>
  </si>
  <si>
    <t>BETA</t>
  </si>
  <si>
    <t>ERP</t>
  </si>
  <si>
    <t>Inflación</t>
  </si>
  <si>
    <t>Lambda</t>
  </si>
  <si>
    <t>Tasa RF</t>
  </si>
  <si>
    <t>Beta</t>
  </si>
  <si>
    <t>Promedio S&amp;P</t>
  </si>
  <si>
    <t>CPI Colombia</t>
  </si>
  <si>
    <t>Promedio T.</t>
  </si>
  <si>
    <t>CPI Usa</t>
  </si>
  <si>
    <t>Devaluación</t>
  </si>
  <si>
    <t># Observaciones</t>
  </si>
  <si>
    <t>Fecha</t>
  </si>
  <si>
    <t>Precio</t>
  </si>
  <si>
    <t>% Lambda</t>
  </si>
  <si>
    <t>CAJA/EQUITY</t>
  </si>
  <si>
    <t>TAX</t>
  </si>
  <si>
    <t>Year</t>
  </si>
  <si>
    <t>S&amp;P 500 (includes dividends)</t>
  </si>
  <si>
    <t>Return 10-year T. Bond</t>
  </si>
  <si>
    <t>Colombia</t>
  </si>
  <si>
    <t>Nominal</t>
  </si>
  <si>
    <t>Real</t>
  </si>
  <si>
    <t>Implicita</t>
  </si>
  <si>
    <t>USA</t>
  </si>
  <si>
    <t>Cifras en Millones</t>
  </si>
  <si>
    <t>Costo de Producción</t>
  </si>
  <si>
    <t>Uitlidad Bruta</t>
  </si>
  <si>
    <t>Gastos de Administración</t>
  </si>
  <si>
    <t>Gastos de Venta</t>
  </si>
  <si>
    <t>Gastos Gestor Profesional</t>
  </si>
  <si>
    <t>Utilidad Operativa</t>
  </si>
  <si>
    <t>Ingresos Financieros</t>
  </si>
  <si>
    <t>Gastos Financieros</t>
  </si>
  <si>
    <t>Utilidad antes de Impuesto</t>
  </si>
  <si>
    <t>Impuesto a la Utilidad</t>
  </si>
  <si>
    <t>UTILIDAD NETA</t>
  </si>
  <si>
    <t>Margen Bruto %</t>
  </si>
  <si>
    <t>Margen Operativo %</t>
  </si>
  <si>
    <t>Margen EBITDA %</t>
  </si>
  <si>
    <t>Ingresos</t>
  </si>
  <si>
    <t>Precio x Kilo $COP</t>
  </si>
  <si>
    <t>Impuesto a la utilidad</t>
  </si>
  <si>
    <t>Impuesto Colombia Agropecuario</t>
  </si>
  <si>
    <t>COSTO DE PRODUCCION</t>
  </si>
  <si>
    <t>Costos Biologicos (x hectárea)</t>
  </si>
  <si>
    <t>COSTOS DIRECTOS</t>
  </si>
  <si>
    <t>&gt;&gt;</t>
  </si>
  <si>
    <t>Unitarios</t>
  </si>
  <si>
    <t>Actividades MOD</t>
  </si>
  <si>
    <t>Cantidad</t>
  </si>
  <si>
    <t xml:space="preserve">Jornal </t>
  </si>
  <si>
    <t>Limpieza y preparación del terreno</t>
  </si>
  <si>
    <t>Trazado y ahoyado</t>
  </si>
  <si>
    <t>Aplicación abono orgánico y enmienda</t>
  </si>
  <si>
    <t xml:space="preserve">Siembra y resiembra </t>
  </si>
  <si>
    <t>Control de arvenses y plateos</t>
  </si>
  <si>
    <t>Deshierbes - Guadaña</t>
  </si>
  <si>
    <t>Control químico de arvenses</t>
  </si>
  <si>
    <t xml:space="preserve">Aplicación de fertilizantes edáficos </t>
  </si>
  <si>
    <t>Control de plagas y enfermedades</t>
  </si>
  <si>
    <t xml:space="preserve">Poda formación </t>
  </si>
  <si>
    <t xml:space="preserve">Poda mantenimiento </t>
  </si>
  <si>
    <t>Deschuponada</t>
  </si>
  <si>
    <t>Kg</t>
  </si>
  <si>
    <t>Recolección / Cosecha</t>
  </si>
  <si>
    <t>Materiales e insumos</t>
  </si>
  <si>
    <t>Planta</t>
  </si>
  <si>
    <t>Semilla (Plantula, acodo, esqueje)</t>
  </si>
  <si>
    <t>Bulto</t>
  </si>
  <si>
    <t>Enmiendas</t>
  </si>
  <si>
    <t xml:space="preserve">Abonos orgánicos </t>
  </si>
  <si>
    <t>Fertilización edáfica</t>
  </si>
  <si>
    <t>LT</t>
  </si>
  <si>
    <t>Fertilización foliar</t>
  </si>
  <si>
    <t>Herbicidas</t>
  </si>
  <si>
    <t>Global</t>
  </si>
  <si>
    <t>Insecticidas</t>
  </si>
  <si>
    <t>Fungicidas</t>
  </si>
  <si>
    <t>Coadyuvantes</t>
  </si>
  <si>
    <t>Viaje</t>
  </si>
  <si>
    <t>Transporte insumos</t>
  </si>
  <si>
    <t>Unidad</t>
  </si>
  <si>
    <t>Empaques</t>
  </si>
  <si>
    <t>Galón</t>
  </si>
  <si>
    <t>Otros insumos (cicatrizantes)</t>
  </si>
  <si>
    <t>Análisis del suelo</t>
  </si>
  <si>
    <t>Valor Costo Unitario</t>
  </si>
  <si>
    <t>Costo</t>
  </si>
  <si>
    <t>Valor Total $cop</t>
  </si>
  <si>
    <t>Subtotal Labores</t>
  </si>
  <si>
    <t>Subtotal Materiales</t>
  </si>
  <si>
    <t>Costos de Mercancía Vendida</t>
  </si>
  <si>
    <t>Hectareas Sembradas</t>
  </si>
  <si>
    <t>Inflacion Esperada</t>
  </si>
  <si>
    <t>Costo por Hectarea Sembrada (mm $cop)</t>
  </si>
  <si>
    <t>Costo por Hectarea Sembrada (mm $cop) Ajustado</t>
  </si>
  <si>
    <t>Kilo por Hectarea</t>
  </si>
  <si>
    <t>Costo por Kilo</t>
  </si>
  <si>
    <t>Precio de Vents x Kilo</t>
  </si>
  <si>
    <t>Costo como % de Venta</t>
  </si>
  <si>
    <t>SG&amp;A</t>
  </si>
  <si>
    <t>Gastos de Administración (x Año)</t>
  </si>
  <si>
    <t>Personal</t>
  </si>
  <si>
    <t>Administracion</t>
  </si>
  <si>
    <t>Cultivadores x Hectarea al año</t>
  </si>
  <si>
    <t>Trimestre</t>
  </si>
  <si>
    <t>Predial</t>
  </si>
  <si>
    <t>Mes</t>
  </si>
  <si>
    <t>Servicios Publicos</t>
  </si>
  <si>
    <t>Año</t>
  </si>
  <si>
    <t>Seguro del Cultivo  x Hectarea al año</t>
  </si>
  <si>
    <t>Fumigadoras  x Hectarea al año</t>
  </si>
  <si>
    <t>Costo Anual  (mm $cop)</t>
  </si>
  <si>
    <t>Costo Anual (mm $cop) Ajustado</t>
  </si>
  <si>
    <t>Gastos de Ventas   (x Año)</t>
  </si>
  <si>
    <t>Community Manager</t>
  </si>
  <si>
    <t>COSTOS GESTOR PROFESIONAL</t>
  </si>
  <si>
    <t>Comisión de Administración Anual</t>
  </si>
  <si>
    <t>PRODUCCIÓN</t>
  </si>
  <si>
    <t xml:space="preserve">Asesor de Campo: </t>
  </si>
  <si>
    <t xml:space="preserve">Cristian David Zuleta </t>
  </si>
  <si>
    <t xml:space="preserve">Profesión </t>
  </si>
  <si>
    <t xml:space="preserve">Agrónomo </t>
  </si>
  <si>
    <t>Distancia de Siembra (m x m)</t>
  </si>
  <si>
    <t>Distancia de Siembra (m2)</t>
  </si>
  <si>
    <t>Regresión Lineal</t>
  </si>
  <si>
    <t>X=12Y-10</t>
  </si>
  <si>
    <t>X=</t>
  </si>
  <si>
    <t>Producción en kgs/año</t>
  </si>
  <si>
    <t>Y=</t>
  </si>
  <si>
    <t>Edad del árbol</t>
  </si>
  <si>
    <t>Hectárea (m2)</t>
  </si>
  <si>
    <t>m2</t>
  </si>
  <si>
    <t>Densidad de Siembra (árboles/Ha)</t>
  </si>
  <si>
    <t>Rendimiento por árbol:</t>
  </si>
  <si>
    <t>Kilogramos por Año</t>
  </si>
  <si>
    <t>Nro. De Hectareas</t>
  </si>
  <si>
    <t>Área en Plantacion</t>
  </si>
  <si>
    <t>Área Infraestructura</t>
  </si>
  <si>
    <t>Unidad/Hectarea</t>
  </si>
  <si>
    <t>Árboles Iniciales</t>
  </si>
  <si>
    <t>Árboles Renovación I</t>
  </si>
  <si>
    <t>Árboles Renovación II</t>
  </si>
  <si>
    <t>Arboles Totales</t>
  </si>
  <si>
    <t>Árboles Iniciales Totales</t>
  </si>
  <si>
    <t>Árboles Renovación I Totales</t>
  </si>
  <si>
    <t>Árboles Renovación II Totales</t>
  </si>
  <si>
    <t>Árboles Totales/Hectarea</t>
  </si>
  <si>
    <t>Productividad</t>
  </si>
  <si>
    <t>Improductivo</t>
  </si>
  <si>
    <t>Medium Yield</t>
  </si>
  <si>
    <t>High Yield</t>
  </si>
  <si>
    <t xml:space="preserve">Volumen </t>
  </si>
  <si>
    <t>Kilogramos/Arbol en High Yield</t>
  </si>
  <si>
    <t>Kilogramos Totales Producción</t>
  </si>
  <si>
    <t>Kg/Hectarea Productiva</t>
  </si>
  <si>
    <t>PRECIO DE VENTA</t>
  </si>
  <si>
    <t>Devaluación Esperada</t>
  </si>
  <si>
    <t>Inflación Esperada</t>
  </si>
  <si>
    <t>FOB/kg COP - Crecimiento Implicito CAGR LAST 10Y</t>
  </si>
  <si>
    <t>CAGR 16 Y</t>
  </si>
  <si>
    <t>Precio Venta FOB/kg COP</t>
  </si>
  <si>
    <t>USD/COP Esperada</t>
  </si>
  <si>
    <t>Calidades</t>
  </si>
  <si>
    <t>Calidad 1</t>
  </si>
  <si>
    <t>Calidad 2</t>
  </si>
  <si>
    <t>Ingresos por Calidad</t>
  </si>
  <si>
    <t>Precio de Venta</t>
  </si>
  <si>
    <t>Total Ingresos x Venta</t>
  </si>
  <si>
    <t>COSTO DE PRODUCCIÓN</t>
  </si>
  <si>
    <t xml:space="preserve">Costo Produccion </t>
  </si>
  <si>
    <t xml:space="preserve">ASOHOFRUCOL </t>
  </si>
  <si>
    <t>1%  DE LAS VENTAS</t>
  </si>
  <si>
    <t>Activos</t>
  </si>
  <si>
    <t>Inventario - Activo Biologico</t>
  </si>
  <si>
    <t>Cuentas por Cobrar</t>
  </si>
  <si>
    <t>Activos Corrientes</t>
  </si>
  <si>
    <t>Propiedad, Planta y Equipo</t>
  </si>
  <si>
    <t>Intangibles</t>
  </si>
  <si>
    <t>Inversion Social</t>
  </si>
  <si>
    <t xml:space="preserve">Depreciación </t>
  </si>
  <si>
    <t>Activos No Corrientes</t>
  </si>
  <si>
    <t>Proveedores</t>
  </si>
  <si>
    <t>Obligaciones financieras Corto Plazo</t>
  </si>
  <si>
    <t xml:space="preserve">Otros pasivos </t>
  </si>
  <si>
    <t>Pasivos Corrientes</t>
  </si>
  <si>
    <t>Obligaciones financieras Largo Plazo</t>
  </si>
  <si>
    <t>Pasivos No Corrientes</t>
  </si>
  <si>
    <t>Total Pasivos</t>
  </si>
  <si>
    <t xml:space="preserve">Capital social </t>
  </si>
  <si>
    <t>Utilidades Retenidas</t>
  </si>
  <si>
    <t>Utilidad del ejercicio</t>
  </si>
  <si>
    <t>Total Patrimonio</t>
  </si>
  <si>
    <t>Total Pasivo +  Patrimonio</t>
  </si>
  <si>
    <t>Check</t>
  </si>
  <si>
    <t>Working Capital</t>
  </si>
  <si>
    <t>Dias cuentas por Cobrar</t>
  </si>
  <si>
    <t>Dias inventario</t>
  </si>
  <si>
    <t>Dias cuentas por Pagar</t>
  </si>
  <si>
    <t>Cambios en Working Capital</t>
  </si>
  <si>
    <t>Aumento/Disminucion en Cuentas por Cobrar</t>
  </si>
  <si>
    <t>Aumento/Disminucion en Inventarios</t>
  </si>
  <si>
    <t>Aumento/Disminucion en Cuentas por Pagar</t>
  </si>
  <si>
    <t>Aumento/Disminucion en Working Capital Neto</t>
  </si>
  <si>
    <t>Ciclo de Capital de Trabajo</t>
  </si>
  <si>
    <t>Supuestos del ACTIVO</t>
  </si>
  <si>
    <t>Activo Biologico</t>
  </si>
  <si>
    <t>PPE</t>
  </si>
  <si>
    <t>Inversiones Materiales</t>
  </si>
  <si>
    <t>Inversiones Inmobiliarias</t>
  </si>
  <si>
    <t>Flujo de Caja de Operaciones</t>
  </si>
  <si>
    <t>EBIT</t>
  </si>
  <si>
    <t xml:space="preserve">Cambios en Activos Y Pasivos Operativos  </t>
  </si>
  <si>
    <t>Inventarios</t>
  </si>
  <si>
    <t>Cuentas por Pagar</t>
  </si>
  <si>
    <t>Caja Neta por F.O</t>
  </si>
  <si>
    <t>Flujo de Caja de Inversión</t>
  </si>
  <si>
    <t>Adiciones en PPE y Biólogicos</t>
  </si>
  <si>
    <t>Capex de Manteinimiento</t>
  </si>
  <si>
    <t>Inversiones de Corto Plazo - Depositos</t>
  </si>
  <si>
    <t>Caja Neta por F.I</t>
  </si>
  <si>
    <t>Flujo de Caja Financiero</t>
  </si>
  <si>
    <t>Aporte Inicio de Fondo Rueda I</t>
  </si>
  <si>
    <t>+ Desembolsos / - Amortizaciones DEUDA ESTRUCTURADA</t>
  </si>
  <si>
    <t>+ Desembolsos / - Amortizaciones DEUDA REVOLVER</t>
  </si>
  <si>
    <t>Caja Neta por F.F</t>
  </si>
  <si>
    <t>Efectivo Inicial</t>
  </si>
  <si>
    <t>Cambios en efectivo</t>
  </si>
  <si>
    <t>Efectivo Final</t>
  </si>
  <si>
    <t>Exceso / Deficit de Caja</t>
  </si>
  <si>
    <t>CAPEX INVERSION</t>
  </si>
  <si>
    <t>Inversiones Biologicas</t>
  </si>
  <si>
    <t>Valor x Arbol</t>
  </si>
  <si>
    <t>Edificaciones</t>
  </si>
  <si>
    <t>Instalaciones/Acondicionamiento</t>
  </si>
  <si>
    <t>Maquinaria</t>
  </si>
  <si>
    <t>Herramientas</t>
  </si>
  <si>
    <t>Mobiliario</t>
  </si>
  <si>
    <t>Transporte</t>
  </si>
  <si>
    <t>Equipos Informáticos</t>
  </si>
  <si>
    <t>Terreno</t>
  </si>
  <si>
    <t># Compra Terreno (Hectareas)</t>
  </si>
  <si>
    <t>$ Precio x Metro Cuadrado</t>
  </si>
  <si>
    <t>Inversiones Intangibles</t>
  </si>
  <si>
    <t>Aplicaciones Informáticas y Páginas Web</t>
  </si>
  <si>
    <t>Inversiones Sociales</t>
  </si>
  <si>
    <t>Huerta de Compostaje</t>
  </si>
  <si>
    <t>Canales Riego Agua</t>
  </si>
  <si>
    <t>Progamas de Educacion y Otros</t>
  </si>
  <si>
    <t>Total CAPEX de Inversión</t>
  </si>
  <si>
    <t>CAPEX MANTENIMIENTO</t>
  </si>
  <si>
    <t>Contrucciones e Inversión Social</t>
  </si>
  <si>
    <t>Total CAPEX de Mantenimiento</t>
  </si>
  <si>
    <t>Capex Acumulado</t>
  </si>
  <si>
    <t>TOTAL CAPEX</t>
  </si>
  <si>
    <t>CAPEX x Hectarea</t>
  </si>
  <si>
    <t>DEPRECIACION</t>
  </si>
  <si>
    <t>Inversiones Inmobiliarias (Años)</t>
  </si>
  <si>
    <t>Depreciacion Acumulada (Balance)</t>
  </si>
  <si>
    <t>% PPE</t>
  </si>
  <si>
    <t>Revolving Line</t>
  </si>
  <si>
    <t>Exceso/Faltante de Caja</t>
  </si>
  <si>
    <t>Balance Inicial</t>
  </si>
  <si>
    <t>Menos: Pagos / Mas:  Prestamos</t>
  </si>
  <si>
    <t>Balance Final</t>
  </si>
  <si>
    <t>Interest Expense</t>
  </si>
  <si>
    <t>Cash Invested</t>
  </si>
  <si>
    <t>Exceso de Caja</t>
  </si>
  <si>
    <t>Blanace Inicial</t>
  </si>
  <si>
    <t>Rendimiento Anual</t>
  </si>
  <si>
    <t>Inputs Aguacate Hass</t>
  </si>
  <si>
    <t>1.</t>
  </si>
  <si>
    <t>Precio FOB prom. anual</t>
  </si>
  <si>
    <t>Información Histórica</t>
  </si>
  <si>
    <t>CAGR 10 Y</t>
  </si>
  <si>
    <t>CAGR 5 Y</t>
  </si>
  <si>
    <t>CAGR 3 Y</t>
  </si>
  <si>
    <t>Average</t>
  </si>
  <si>
    <t>FOB/kg USD</t>
  </si>
  <si>
    <t>Change YoY %</t>
  </si>
  <si>
    <t>USD/COP Year Average</t>
  </si>
  <si>
    <t>FOB/kg COP</t>
  </si>
  <si>
    <t>Crecimiento Ex FX</t>
  </si>
  <si>
    <t>FOB/kg COP Ex FX</t>
  </si>
  <si>
    <t>2.</t>
  </si>
  <si>
    <t>Peso neto en kilogramos</t>
  </si>
  <si>
    <t>Kgs</t>
  </si>
  <si>
    <r>
      <rPr>
        <b/>
        <sz val="10"/>
        <color theme="1"/>
        <rFont val="Calibri"/>
        <family val="2"/>
        <scheme val="minor"/>
      </rPr>
      <t xml:space="preserve">Fuente: </t>
    </r>
    <r>
      <rPr>
        <i/>
        <sz val="10"/>
        <color theme="1"/>
        <rFont val="Calibri"/>
        <family val="2"/>
        <scheme val="minor"/>
      </rPr>
      <t>Treid.com</t>
    </r>
  </si>
  <si>
    <t>3.</t>
  </si>
  <si>
    <t>Departamentos con aptitud para el cultivo comercial de aguacate variedad Hass</t>
  </si>
  <si>
    <t>Departamento  - Col.</t>
  </si>
  <si>
    <t>Ha</t>
  </si>
  <si>
    <t>Antioquia</t>
  </si>
  <si>
    <t>Cauca</t>
  </si>
  <si>
    <t>Boyacá</t>
  </si>
  <si>
    <t xml:space="preserve">Santander </t>
  </si>
  <si>
    <t>Cundinamarca</t>
  </si>
  <si>
    <r>
      <t xml:space="preserve">Fuente: </t>
    </r>
    <r>
      <rPr>
        <i/>
        <sz val="10"/>
        <color rgb="FF000000"/>
        <rFont val="Calibri"/>
        <family val="2"/>
      </rPr>
      <t>upra.gov.co</t>
    </r>
  </si>
  <si>
    <t xml:space="preserve">4. </t>
  </si>
  <si>
    <t xml:space="preserve">Supuestos técnicos y operativos: </t>
  </si>
  <si>
    <t xml:space="preserve">Distancia de Siembra: </t>
  </si>
  <si>
    <t>7m*5m</t>
  </si>
  <si>
    <t xml:space="preserve">Hectárea </t>
  </si>
  <si>
    <t xml:space="preserve">Densidad de Siembra: </t>
  </si>
  <si>
    <t>árboles/Ha</t>
  </si>
  <si>
    <t>6.</t>
  </si>
  <si>
    <t>Precio teórico de venta FOB/kg COP</t>
  </si>
  <si>
    <t>Precio de Venta Real/Proyectado</t>
  </si>
  <si>
    <t>Inlfacion Estimada (IPC +1%)</t>
  </si>
  <si>
    <t>Nro.</t>
  </si>
  <si>
    <t>Pestaña</t>
  </si>
  <si>
    <t>Titulo</t>
  </si>
  <si>
    <t>Fuente</t>
  </si>
  <si>
    <t>Link</t>
  </si>
  <si>
    <t>Comentarios</t>
  </si>
  <si>
    <t>Cultivo</t>
  </si>
  <si>
    <t>Costos</t>
  </si>
  <si>
    <t>Sistema  de  Información  de  Precios  de  Insumos  y  Factores.  Ministerio  de  Agricultura  y Desarrollo Rural - Corporación Colombia Internacional. Cálculos Corporación Colombia Internacional.</t>
  </si>
  <si>
    <t>https://www.agronet.gov.co/Lists/Boletin/Attachments/687/EC%20Aguacate%20variedad-grande.pdf</t>
  </si>
  <si>
    <t>Costo de produccion por hectarea para Aguacate Hass de un productor grande en Antioquia en $COP</t>
  </si>
  <si>
    <t>Input</t>
  </si>
  <si>
    <t>USD/COP</t>
  </si>
  <si>
    <t>BANREP</t>
  </si>
  <si>
    <t>https://totoro.banrep.gov.co/analytics/saw.dll?Go&amp;NQUser=publico&amp;NQPassword=publico123&amp;Action=prompt&amp;path=%2Fshared%2FSeries%20Estad%C3%ADsticas_T%2F1.%20Tasa%20de%20Cambio%20Peso%20Colombiano%2F1.1%20TRM%20-%20Disponible%20desde%20el%2027%20de%20noviembre%20de%201991%2F1.1.12.TCM_Serie%20historica%20promedio%20mensual&amp;Options=rdf</t>
  </si>
  <si>
    <t xml:space="preserve">
Tasa de cambio representativa del mercado (TRM)
1.1.11. Serie histórica_periodicidad mensual</t>
  </si>
  <si>
    <t>Balance G</t>
  </si>
  <si>
    <t>Balance</t>
  </si>
  <si>
    <t>Tesis</t>
  </si>
  <si>
    <t>https://expeditiorepositorio.utadeo.edu.co/bitstream/handle/20.500.12010/3711/Implementacion%20modelo%20contable%20y%20financiero%20bajo%20NIIF%20para%20Pymes%20para%20cultivo%20de%20palma%20africana.pdf?sequence=1&amp;isAllowed=y</t>
  </si>
  <si>
    <t>Efecto en balance con ajuste propuesto NIIF para
Pymes  Agropecuarias</t>
  </si>
  <si>
    <t>DCF</t>
  </si>
  <si>
    <t>TES YIELD</t>
  </si>
  <si>
    <t>Trading Economics</t>
  </si>
  <si>
    <t>https://es.tradingeconomics.com/colombia/government-bond-yield?embed</t>
  </si>
  <si>
    <t>Colombia 10Y TES</t>
  </si>
  <si>
    <t>CDS</t>
  </si>
  <si>
    <t>Bloomberg</t>
  </si>
  <si>
    <t xml:space="preserve">Terminal </t>
  </si>
  <si>
    <t>CDS Colombia</t>
  </si>
  <si>
    <t>Damodaran</t>
  </si>
  <si>
    <t>https://pages.stern.nyu.edu/~adamodar/</t>
  </si>
  <si>
    <t>Unlevered beta corrected for cash: Farming/Agriculture</t>
  </si>
  <si>
    <t>Rating-based Default Spread: Colombia</t>
  </si>
  <si>
    <t>RF</t>
  </si>
  <si>
    <t>FRED Graph Observations
Federal Reserve Economic Data
Link: https://fred.stlouisfed.org</t>
  </si>
  <si>
    <t>Link: https://fred.stlouisfed.org</t>
  </si>
  <si>
    <t>DGS10: curva cero cupón de EEUU a 10 años</t>
  </si>
  <si>
    <t>Oficial: EMBI Global diversificado JP Morgan</t>
  </si>
  <si>
    <t>https://www.bancentral.gov.do/a/d/2585-entorno-internacional</t>
  </si>
  <si>
    <t>Riesgo Pais</t>
  </si>
  <si>
    <t>http://pages.stern.nyu.edu/~adamodar/</t>
  </si>
  <si>
    <t>Historical Returns on Stocks, bonds and Bills</t>
  </si>
  <si>
    <t>Inflacion</t>
  </si>
  <si>
    <t>col/usa</t>
  </si>
  <si>
    <t>Terminal de Bloomberg y FRED Statistics</t>
  </si>
  <si>
    <t>Devaluation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</si>
</sst>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0.0"/>
    <numFmt numFmtId="166" formatCode="0.0\x"/>
    <numFmt numFmtId="167" formatCode="_-* #,##0_-;\-* #,##0_-;_-* &quot;-&quot;??_-;_-@_-"/>
    <numFmt numFmtId="168" formatCode="0.00\x"/>
    <numFmt numFmtId="169" formatCode="0\x"/>
    <numFmt numFmtId="170" formatCode="[$USD]\ #,##0.00"/>
    <numFmt numFmtId="171" formatCode="_-&quot;$&quot;\ * #,##0.0_-;\-&quot;$&quot;\ * #,##0.0_-;_-&quot;$&quot;\ * &quot;-&quot;??_-;_-@_-"/>
    <numFmt numFmtId="172" formatCode="0.0%"/>
    <numFmt numFmtId="173" formatCode="&quot;$&quot;\ #,##0.0"/>
    <numFmt numFmtId="174" formatCode="&quot;$&quot;\ #,##0"/>
    <numFmt numFmtId="175" formatCode="&quot;US $&quot;0"/>
    <numFmt numFmtId="176" formatCode="_-&quot;$&quot;\ * #,##0_-;\-&quot;$&quot;\ * #,##0_-;_-&quot;$&quot;\ * &quot;-&quot;?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rgb="FF006600"/>
      <name val="Calibri"/>
      <family val="2"/>
      <scheme val="minor"/>
    </font>
    <font>
      <b/>
      <u/>
      <sz val="10"/>
      <color rgb="FF0066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  <scheme val="minor"/>
    </font>
    <font>
      <i/>
      <sz val="10"/>
      <color rgb="FF000000"/>
      <name val="Calibri"/>
      <family val="2"/>
    </font>
    <font>
      <b/>
      <sz val="10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rgb="FF0000FF"/>
      <name val="Calibri"/>
      <family val="2"/>
    </font>
    <font>
      <i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435">
    <xf numFmtId="0" fontId="0" fillId="0" borderId="0" xfId="0"/>
    <xf numFmtId="0" fontId="3" fillId="0" borderId="0" xfId="0" applyFont="1"/>
    <xf numFmtId="0" fontId="4" fillId="0" borderId="0" xfId="0" applyFont="1"/>
    <xf numFmtId="1" fontId="2" fillId="0" borderId="0" xfId="0" applyNumberFormat="1" applyFont="1"/>
    <xf numFmtId="0" fontId="5" fillId="0" borderId="0" xfId="0" applyFont="1"/>
    <xf numFmtId="0" fontId="6" fillId="2" borderId="0" xfId="0" applyFont="1" applyFill="1"/>
    <xf numFmtId="0" fontId="6" fillId="3" borderId="0" xfId="0" applyFont="1" applyFill="1" applyAlignment="1">
      <alignment horizontal="center"/>
    </xf>
    <xf numFmtId="0" fontId="7" fillId="0" borderId="0" xfId="0" applyFont="1" applyAlignment="1">
      <alignment horizontal="left" indent="1"/>
    </xf>
    <xf numFmtId="0" fontId="8" fillId="0" borderId="0" xfId="0" applyFont="1"/>
    <xf numFmtId="0" fontId="11" fillId="0" borderId="0" xfId="0" applyFont="1"/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/>
    <xf numFmtId="0" fontId="13" fillId="4" borderId="1" xfId="0" applyFont="1" applyFill="1" applyBorder="1"/>
    <xf numFmtId="0" fontId="13" fillId="4" borderId="2" xfId="0" applyFont="1" applyFill="1" applyBorder="1" applyAlignment="1">
      <alignment horizontal="center"/>
    </xf>
    <xf numFmtId="164" fontId="14" fillId="4" borderId="0" xfId="1" applyNumberFormat="1" applyFont="1" applyFill="1"/>
    <xf numFmtId="0" fontId="7" fillId="0" borderId="0" xfId="0" applyFont="1"/>
    <xf numFmtId="0" fontId="6" fillId="2" borderId="0" xfId="0" quotePrefix="1" applyFont="1" applyFill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7" fillId="0" borderId="8" xfId="0" applyFont="1" applyBorder="1" applyAlignment="1">
      <alignment horizontal="left" indent="1"/>
    </xf>
    <xf numFmtId="0" fontId="8" fillId="0" borderId="9" xfId="0" applyFont="1" applyBorder="1"/>
    <xf numFmtId="0" fontId="8" fillId="0" borderId="10" xfId="0" applyFont="1" applyBorder="1"/>
    <xf numFmtId="0" fontId="5" fillId="0" borderId="10" xfId="0" applyFont="1" applyBorder="1"/>
    <xf numFmtId="0" fontId="8" fillId="0" borderId="11" xfId="0" applyFont="1" applyBorder="1"/>
    <xf numFmtId="0" fontId="8" fillId="0" borderId="1" xfId="0" applyFont="1" applyBorder="1"/>
    <xf numFmtId="0" fontId="5" fillId="0" borderId="12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3" xfId="0" applyFont="1" applyBorder="1"/>
    <xf numFmtId="0" fontId="15" fillId="0" borderId="3" xfId="0" applyFont="1" applyBorder="1" applyAlignment="1">
      <alignment horizontal="left" indent="1"/>
    </xf>
    <xf numFmtId="0" fontId="5" fillId="0" borderId="5" xfId="0" applyFont="1" applyBorder="1"/>
    <xf numFmtId="0" fontId="5" fillId="0" borderId="13" xfId="0" applyFont="1" applyBorder="1"/>
    <xf numFmtId="0" fontId="5" fillId="0" borderId="6" xfId="0" applyFont="1" applyBorder="1"/>
    <xf numFmtId="14" fontId="5" fillId="0" borderId="3" xfId="0" applyNumberFormat="1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165" fontId="8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/>
    <xf numFmtId="0" fontId="5" fillId="0" borderId="17" xfId="0" applyFont="1" applyBorder="1"/>
    <xf numFmtId="0" fontId="5" fillId="0" borderId="21" xfId="0" applyFont="1" applyBorder="1"/>
    <xf numFmtId="0" fontId="8" fillId="0" borderId="5" xfId="0" applyFont="1" applyBorder="1"/>
    <xf numFmtId="0" fontId="6" fillId="5" borderId="0" xfId="0" quotePrefix="1" applyFont="1" applyFill="1" applyAlignment="1">
      <alignment horizontal="center" vertical="center"/>
    </xf>
    <xf numFmtId="0" fontId="6" fillId="5" borderId="0" xfId="0" applyFont="1" applyFill="1"/>
    <xf numFmtId="0" fontId="8" fillId="6" borderId="0" xfId="0" applyFont="1" applyFill="1"/>
    <xf numFmtId="164" fontId="5" fillId="6" borderId="0" xfId="1" applyNumberFormat="1" applyFont="1" applyFill="1"/>
    <xf numFmtId="0" fontId="8" fillId="0" borderId="22" xfId="0" applyFont="1" applyBorder="1"/>
    <xf numFmtId="0" fontId="16" fillId="6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9" fontId="14" fillId="4" borderId="0" xfId="0" applyNumberFormat="1" applyFont="1" applyFill="1" applyAlignment="1">
      <alignment horizontal="center"/>
    </xf>
    <xf numFmtId="9" fontId="5" fillId="0" borderId="0" xfId="2" applyFont="1" applyAlignment="1">
      <alignment horizontal="center"/>
    </xf>
    <xf numFmtId="9" fontId="5" fillId="0" borderId="0" xfId="0" applyNumberFormat="1" applyFont="1" applyAlignment="1">
      <alignment horizontal="center"/>
    </xf>
    <xf numFmtId="9" fontId="5" fillId="0" borderId="12" xfId="0" applyNumberFormat="1" applyFont="1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9" fontId="17" fillId="0" borderId="13" xfId="0" applyNumberFormat="1" applyFont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9" fontId="17" fillId="0" borderId="0" xfId="0" applyNumberFormat="1" applyFont="1" applyAlignment="1">
      <alignment horizontal="center"/>
    </xf>
    <xf numFmtId="9" fontId="18" fillId="4" borderId="23" xfId="0" applyNumberFormat="1" applyFont="1" applyFill="1" applyBorder="1" applyAlignment="1">
      <alignment horizontal="center"/>
    </xf>
    <xf numFmtId="0" fontId="14" fillId="4" borderId="0" xfId="3" applyNumberFormat="1" applyFont="1" applyFill="1" applyBorder="1" applyAlignment="1">
      <alignment horizontal="center"/>
    </xf>
    <xf numFmtId="43" fontId="5" fillId="0" borderId="0" xfId="3" applyFont="1"/>
    <xf numFmtId="167" fontId="5" fillId="0" borderId="0" xfId="3" applyNumberFormat="1" applyFont="1"/>
    <xf numFmtId="167" fontId="5" fillId="0" borderId="0" xfId="0" applyNumberFormat="1" applyFont="1"/>
    <xf numFmtId="167" fontId="11" fillId="0" borderId="0" xfId="3" applyNumberFormat="1" applyFont="1"/>
    <xf numFmtId="167" fontId="5" fillId="0" borderId="0" xfId="3" applyNumberFormat="1" applyFont="1" applyAlignment="1"/>
    <xf numFmtId="166" fontId="5" fillId="0" borderId="0" xfId="0" applyNumberFormat="1" applyFont="1"/>
    <xf numFmtId="167" fontId="8" fillId="0" borderId="0" xfId="0" applyNumberFormat="1" applyFont="1"/>
    <xf numFmtId="169" fontId="5" fillId="0" borderId="0" xfId="0" applyNumberFormat="1" applyFont="1"/>
    <xf numFmtId="0" fontId="15" fillId="0" borderId="1" xfId="0" applyFont="1" applyBorder="1" applyAlignment="1">
      <alignment horizontal="left" indent="1"/>
    </xf>
    <xf numFmtId="0" fontId="15" fillId="0" borderId="5" xfId="0" applyFont="1" applyBorder="1" applyAlignment="1">
      <alignment horizontal="left" indent="1"/>
    </xf>
    <xf numFmtId="167" fontId="5" fillId="0" borderId="0" xfId="3" applyNumberFormat="1" applyFont="1" applyAlignment="1">
      <alignment horizontal="center"/>
    </xf>
    <xf numFmtId="9" fontId="0" fillId="0" borderId="0" xfId="2" applyFont="1"/>
    <xf numFmtId="0" fontId="15" fillId="0" borderId="0" xfId="0" applyFont="1" applyAlignment="1">
      <alignment horizontal="left" indent="1"/>
    </xf>
    <xf numFmtId="9" fontId="18" fillId="0" borderId="0" xfId="0" applyNumberFormat="1" applyFont="1" applyAlignment="1">
      <alignment horizontal="center"/>
    </xf>
    <xf numFmtId="9" fontId="14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8" fillId="12" borderId="26" xfId="0" applyFont="1" applyFill="1" applyBorder="1"/>
    <xf numFmtId="0" fontId="5" fillId="12" borderId="22" xfId="0" applyFont="1" applyFill="1" applyBorder="1"/>
    <xf numFmtId="0" fontId="5" fillId="12" borderId="27" xfId="0" applyFont="1" applyFill="1" applyBorder="1"/>
    <xf numFmtId="0" fontId="22" fillId="8" borderId="0" xfId="0" applyFont="1" applyFill="1" applyAlignment="1">
      <alignment vertical="center"/>
    </xf>
    <xf numFmtId="0" fontId="23" fillId="0" borderId="0" xfId="0" applyFont="1"/>
    <xf numFmtId="49" fontId="8" fillId="0" borderId="0" xfId="0" applyNumberFormat="1" applyFont="1"/>
    <xf numFmtId="0" fontId="24" fillId="9" borderId="0" xfId="0" applyFont="1" applyFill="1"/>
    <xf numFmtId="0" fontId="25" fillId="7" borderId="24" xfId="0" applyFont="1" applyFill="1" applyBorder="1" applyAlignment="1">
      <alignment horizontal="center"/>
    </xf>
    <xf numFmtId="0" fontId="26" fillId="7" borderId="24" xfId="0" applyFont="1" applyFill="1" applyBorder="1" applyAlignment="1">
      <alignment horizontal="center"/>
    </xf>
    <xf numFmtId="0" fontId="23" fillId="0" borderId="24" xfId="0" applyFont="1" applyBorder="1"/>
    <xf numFmtId="3" fontId="5" fillId="0" borderId="24" xfId="0" applyNumberFormat="1" applyFont="1" applyBorder="1"/>
    <xf numFmtId="49" fontId="24" fillId="0" borderId="0" xfId="0" applyNumberFormat="1" applyFont="1"/>
    <xf numFmtId="0" fontId="24" fillId="10" borderId="0" xfId="0" applyFont="1" applyFill="1"/>
    <xf numFmtId="0" fontId="5" fillId="10" borderId="0" xfId="0" applyFont="1" applyFill="1"/>
    <xf numFmtId="0" fontId="5" fillId="11" borderId="0" xfId="0" applyFont="1" applyFill="1"/>
    <xf numFmtId="0" fontId="25" fillId="7" borderId="25" xfId="0" applyFont="1" applyFill="1" applyBorder="1" applyAlignment="1">
      <alignment horizontal="center"/>
    </xf>
    <xf numFmtId="3" fontId="5" fillId="0" borderId="0" xfId="0" applyNumberFormat="1" applyFont="1"/>
    <xf numFmtId="0" fontId="24" fillId="0" borderId="0" xfId="0" applyFont="1"/>
    <xf numFmtId="0" fontId="23" fillId="0" borderId="0" xfId="0" applyFont="1" applyAlignment="1">
      <alignment horizontal="right"/>
    </xf>
    <xf numFmtId="1" fontId="23" fillId="0" borderId="0" xfId="0" applyNumberFormat="1" applyFont="1"/>
    <xf numFmtId="3" fontId="23" fillId="0" borderId="0" xfId="0" applyNumberFormat="1" applyFont="1"/>
    <xf numFmtId="0" fontId="25" fillId="7" borderId="25" xfId="0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1" fontId="2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1" fontId="14" fillId="4" borderId="0" xfId="0" applyNumberFormat="1" applyFont="1" applyFill="1" applyAlignment="1">
      <alignment horizontal="center"/>
    </xf>
    <xf numFmtId="0" fontId="24" fillId="0" borderId="28" xfId="0" applyFont="1" applyBorder="1"/>
    <xf numFmtId="0" fontId="28" fillId="0" borderId="29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4" fillId="0" borderId="31" xfId="0" applyFont="1" applyBorder="1"/>
    <xf numFmtId="0" fontId="24" fillId="0" borderId="34" xfId="0" applyFont="1" applyBorder="1"/>
    <xf numFmtId="0" fontId="5" fillId="0" borderId="34" xfId="0" applyFont="1" applyBorder="1"/>
    <xf numFmtId="0" fontId="5" fillId="0" borderId="35" xfId="0" applyFont="1" applyBorder="1" applyAlignment="1">
      <alignment horizontal="left"/>
    </xf>
    <xf numFmtId="3" fontId="24" fillId="0" borderId="34" xfId="0" applyNumberFormat="1" applyFont="1" applyBorder="1"/>
    <xf numFmtId="0" fontId="24" fillId="0" borderId="36" xfId="0" applyFont="1" applyBorder="1"/>
    <xf numFmtId="1" fontId="23" fillId="0" borderId="37" xfId="0" applyNumberFormat="1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49" fontId="21" fillId="0" borderId="0" xfId="0" applyNumberFormat="1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29" fillId="0" borderId="23" xfId="4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1" fillId="6" borderId="23" xfId="0" applyFont="1" applyFill="1" applyBorder="1" applyAlignment="1">
      <alignment horizontal="center" vertical="center"/>
    </xf>
    <xf numFmtId="9" fontId="14" fillId="0" borderId="0" xfId="2" applyFont="1" applyAlignment="1">
      <alignment horizontal="center"/>
    </xf>
    <xf numFmtId="167" fontId="14" fillId="0" borderId="0" xfId="3" applyNumberFormat="1" applyFont="1" applyAlignment="1">
      <alignment horizontal="center"/>
    </xf>
    <xf numFmtId="0" fontId="14" fillId="0" borderId="0" xfId="3" applyNumberFormat="1" applyFont="1" applyAlignment="1">
      <alignment horizontal="center"/>
    </xf>
    <xf numFmtId="168" fontId="14" fillId="0" borderId="0" xfId="3" applyNumberFormat="1" applyFont="1" applyAlignment="1">
      <alignment horizontal="center"/>
    </xf>
    <xf numFmtId="166" fontId="14" fillId="0" borderId="0" xfId="3" applyNumberFormat="1" applyFont="1" applyAlignment="1">
      <alignment horizontal="center"/>
    </xf>
    <xf numFmtId="0" fontId="8" fillId="0" borderId="0" xfId="0" applyFont="1" applyAlignment="1">
      <alignment horizontal="left" indent="2"/>
    </xf>
    <xf numFmtId="171" fontId="8" fillId="0" borderId="0" xfId="1" applyNumberFormat="1" applyFont="1"/>
    <xf numFmtId="0" fontId="8" fillId="0" borderId="0" xfId="0" applyFont="1" applyAlignment="1">
      <alignment horizontal="left" indent="1"/>
    </xf>
    <xf numFmtId="171" fontId="5" fillId="0" borderId="0" xfId="1" applyNumberFormat="1" applyFont="1"/>
    <xf numFmtId="0" fontId="11" fillId="6" borderId="0" xfId="0" applyFont="1" applyFill="1"/>
    <xf numFmtId="0" fontId="5" fillId="6" borderId="0" xfId="0" applyFont="1" applyFill="1"/>
    <xf numFmtId="0" fontId="8" fillId="9" borderId="0" xfId="0" applyFont="1" applyFill="1" applyAlignment="1">
      <alignment horizontal="left"/>
    </xf>
    <xf numFmtId="170" fontId="5" fillId="0" borderId="0" xfId="0" applyNumberFormat="1" applyFont="1"/>
    <xf numFmtId="0" fontId="8" fillId="0" borderId="23" xfId="0" applyFont="1" applyBorder="1" applyAlignment="1">
      <alignment horizontal="center"/>
    </xf>
    <xf numFmtId="172" fontId="28" fillId="0" borderId="0" xfId="0" applyNumberFormat="1" applyFont="1" applyAlignment="1">
      <alignment horizontal="center"/>
    </xf>
    <xf numFmtId="44" fontId="28" fillId="0" borderId="0" xfId="1" applyFont="1" applyAlignment="1">
      <alignment horizontal="center"/>
    </xf>
    <xf numFmtId="0" fontId="26" fillId="7" borderId="25" xfId="0" applyFont="1" applyFill="1" applyBorder="1" applyAlignment="1">
      <alignment horizontal="center"/>
    </xf>
    <xf numFmtId="0" fontId="30" fillId="0" borderId="0" xfId="0" applyFont="1"/>
    <xf numFmtId="172" fontId="31" fillId="0" borderId="0" xfId="2" applyNumberFormat="1" applyFont="1"/>
    <xf numFmtId="167" fontId="5" fillId="0" borderId="0" xfId="3" applyNumberFormat="1" applyFont="1" applyBorder="1"/>
    <xf numFmtId="172" fontId="5" fillId="0" borderId="0" xfId="0" applyNumberFormat="1" applyFont="1" applyAlignment="1">
      <alignment horizontal="right"/>
    </xf>
    <xf numFmtId="164" fontId="8" fillId="0" borderId="0" xfId="0" applyNumberFormat="1" applyFont="1"/>
    <xf numFmtId="170" fontId="8" fillId="0" borderId="0" xfId="0" applyNumberFormat="1" applyFont="1"/>
    <xf numFmtId="164" fontId="21" fillId="0" borderId="0" xfId="1" applyNumberFormat="1" applyFont="1"/>
    <xf numFmtId="9" fontId="14" fillId="4" borderId="0" xfId="2" applyFont="1" applyFill="1" applyBorder="1" applyAlignment="1">
      <alignment horizontal="center"/>
    </xf>
    <xf numFmtId="44" fontId="17" fillId="0" borderId="0" xfId="1" applyFont="1"/>
    <xf numFmtId="164" fontId="5" fillId="0" borderId="0" xfId="1" applyNumberFormat="1" applyFont="1"/>
    <xf numFmtId="164" fontId="5" fillId="0" borderId="0" xfId="0" applyNumberFormat="1" applyFont="1"/>
    <xf numFmtId="0" fontId="5" fillId="0" borderId="0" xfId="0" applyFont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indent="1"/>
    </xf>
    <xf numFmtId="0" fontId="8" fillId="0" borderId="0" xfId="0" applyFont="1" applyAlignment="1">
      <alignment horizontal="center" vertical="center"/>
    </xf>
    <xf numFmtId="164" fontId="32" fillId="0" borderId="0" xfId="1" applyNumberFormat="1" applyFont="1" applyAlignment="1">
      <alignment horizontal="center" vertical="center"/>
    </xf>
    <xf numFmtId="0" fontId="8" fillId="0" borderId="39" xfId="0" applyFont="1" applyBorder="1"/>
    <xf numFmtId="0" fontId="5" fillId="0" borderId="39" xfId="0" applyFont="1" applyBorder="1"/>
    <xf numFmtId="0" fontId="33" fillId="0" borderId="0" xfId="0" applyFont="1"/>
    <xf numFmtId="0" fontId="34" fillId="0" borderId="0" xfId="0" applyFont="1"/>
    <xf numFmtId="0" fontId="5" fillId="2" borderId="0" xfId="0" applyFont="1" applyFill="1"/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64" fontId="12" fillId="0" borderId="0" xfId="0" applyNumberFormat="1" applyFont="1"/>
    <xf numFmtId="164" fontId="8" fillId="0" borderId="0" xfId="1" applyNumberFormat="1" applyFont="1" applyAlignment="1">
      <alignment horizontal="center" vertical="center"/>
    </xf>
    <xf numFmtId="164" fontId="14" fillId="4" borderId="13" xfId="1" applyNumberFormat="1" applyFont="1" applyFill="1" applyBorder="1" applyAlignment="1">
      <alignment horizontal="center" vertical="center"/>
    </xf>
    <xf numFmtId="164" fontId="5" fillId="0" borderId="13" xfId="0" applyNumberFormat="1" applyFont="1" applyBorder="1"/>
    <xf numFmtId="0" fontId="5" fillId="0" borderId="12" xfId="0" applyFont="1" applyBorder="1" applyAlignment="1">
      <alignment horizontal="center"/>
    </xf>
    <xf numFmtId="164" fontId="14" fillId="4" borderId="12" xfId="1" applyNumberFormat="1" applyFont="1" applyFill="1" applyBorder="1" applyAlignment="1">
      <alignment horizontal="center" vertical="center"/>
    </xf>
    <xf numFmtId="164" fontId="5" fillId="0" borderId="2" xfId="0" applyNumberFormat="1" applyFont="1" applyBorder="1"/>
    <xf numFmtId="164" fontId="14" fillId="4" borderId="0" xfId="1" applyNumberFormat="1" applyFont="1" applyFill="1" applyBorder="1" applyAlignment="1">
      <alignment horizontal="center" vertical="center"/>
    </xf>
    <xf numFmtId="164" fontId="5" fillId="0" borderId="4" xfId="0" applyNumberFormat="1" applyFont="1" applyBorder="1"/>
    <xf numFmtId="164" fontId="5" fillId="0" borderId="6" xfId="0" applyNumberFormat="1" applyFont="1" applyBorder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1" xfId="0" applyFont="1" applyBorder="1" applyAlignment="1">
      <alignment horizontal="left" indent="5"/>
    </xf>
    <xf numFmtId="0" fontId="5" fillId="0" borderId="3" xfId="0" applyFont="1" applyBorder="1" applyAlignment="1">
      <alignment horizontal="left" indent="5"/>
    </xf>
    <xf numFmtId="0" fontId="5" fillId="0" borderId="5" xfId="0" applyFont="1" applyBorder="1" applyAlignment="1">
      <alignment horizontal="left" indent="5"/>
    </xf>
    <xf numFmtId="0" fontId="11" fillId="0" borderId="0" xfId="0" applyFont="1" applyAlignment="1">
      <alignment horizontal="left"/>
    </xf>
    <xf numFmtId="164" fontId="5" fillId="0" borderId="12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5" fillId="0" borderId="13" xfId="1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2" xfId="1" applyNumberFormat="1" applyFont="1" applyBorder="1"/>
    <xf numFmtId="164" fontId="5" fillId="0" borderId="0" xfId="1" applyNumberFormat="1" applyFont="1" applyBorder="1"/>
    <xf numFmtId="164" fontId="5" fillId="0" borderId="4" xfId="1" applyNumberFormat="1" applyFont="1" applyBorder="1"/>
    <xf numFmtId="164" fontId="5" fillId="0" borderId="13" xfId="1" applyNumberFormat="1" applyFont="1" applyBorder="1"/>
    <xf numFmtId="164" fontId="5" fillId="0" borderId="6" xfId="1" applyNumberFormat="1" applyFont="1" applyBorder="1"/>
    <xf numFmtId="164" fontId="8" fillId="0" borderId="0" xfId="1" applyNumberFormat="1" applyFont="1"/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0" fontId="17" fillId="0" borderId="13" xfId="3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17" fillId="0" borderId="13" xfId="3" applyNumberFormat="1" applyFont="1" applyFill="1" applyBorder="1" applyAlignment="1">
      <alignment horizontal="right" vertical="center"/>
    </xf>
    <xf numFmtId="167" fontId="17" fillId="0" borderId="13" xfId="3" applyNumberFormat="1" applyFont="1" applyFill="1" applyBorder="1" applyAlignment="1">
      <alignment horizontal="right" vertical="center"/>
    </xf>
    <xf numFmtId="167" fontId="17" fillId="0" borderId="6" xfId="3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7" fillId="0" borderId="3" xfId="3" applyNumberFormat="1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7" fillId="0" borderId="0" xfId="3" applyNumberFormat="1" applyFont="1" applyFill="1" applyBorder="1" applyAlignment="1">
      <alignment horizontal="right" vertical="center"/>
    </xf>
    <xf numFmtId="167" fontId="17" fillId="0" borderId="0" xfId="3" applyNumberFormat="1" applyFont="1" applyFill="1" applyBorder="1" applyAlignment="1">
      <alignment horizontal="right" vertical="center"/>
    </xf>
    <xf numFmtId="167" fontId="17" fillId="0" borderId="4" xfId="3" applyNumberFormat="1" applyFont="1" applyFill="1" applyBorder="1" applyAlignment="1">
      <alignment horizontal="right" vertical="center"/>
    </xf>
    <xf numFmtId="172" fontId="0" fillId="0" borderId="0" xfId="0" applyNumberFormat="1" applyAlignment="1">
      <alignment horizontal="center"/>
    </xf>
    <xf numFmtId="164" fontId="17" fillId="0" borderId="0" xfId="0" applyNumberFormat="1" applyFont="1"/>
    <xf numFmtId="164" fontId="0" fillId="0" borderId="0" xfId="0" applyNumberFormat="1"/>
    <xf numFmtId="9" fontId="5" fillId="0" borderId="0" xfId="2" applyFont="1"/>
    <xf numFmtId="0" fontId="17" fillId="0" borderId="0" xfId="0" applyFont="1"/>
    <xf numFmtId="172" fontId="17" fillId="0" borderId="0" xfId="2" applyNumberFormat="1" applyFont="1" applyAlignment="1">
      <alignment horizontal="center"/>
    </xf>
    <xf numFmtId="0" fontId="5" fillId="0" borderId="1" xfId="0" applyFont="1" applyBorder="1"/>
    <xf numFmtId="0" fontId="14" fillId="4" borderId="12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164" fontId="14" fillId="4" borderId="12" xfId="1" applyNumberFormat="1" applyFont="1" applyFill="1" applyBorder="1" applyAlignment="1">
      <alignment horizontal="center"/>
    </xf>
    <xf numFmtId="164" fontId="14" fillId="4" borderId="0" xfId="1" applyNumberFormat="1" applyFont="1" applyFill="1" applyBorder="1" applyAlignment="1">
      <alignment horizontal="center"/>
    </xf>
    <xf numFmtId="164" fontId="14" fillId="4" borderId="13" xfId="1" applyNumberFormat="1" applyFont="1" applyFill="1" applyBorder="1" applyAlignment="1">
      <alignment horizontal="center"/>
    </xf>
    <xf numFmtId="164" fontId="5" fillId="0" borderId="12" xfId="0" applyNumberFormat="1" applyFont="1" applyBorder="1"/>
    <xf numFmtId="0" fontId="28" fillId="0" borderId="0" xfId="0" applyFont="1"/>
    <xf numFmtId="171" fontId="28" fillId="0" borderId="0" xfId="1" applyNumberFormat="1" applyFont="1"/>
    <xf numFmtId="164" fontId="28" fillId="0" borderId="0" xfId="1" applyNumberFormat="1" applyFont="1"/>
    <xf numFmtId="164" fontId="14" fillId="4" borderId="1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164" fontId="5" fillId="0" borderId="1" xfId="1" applyNumberFormat="1" applyFont="1" applyBorder="1"/>
    <xf numFmtId="164" fontId="5" fillId="0" borderId="5" xfId="1" applyNumberFormat="1" applyFont="1" applyBorder="1"/>
    <xf numFmtId="0" fontId="18" fillId="0" borderId="0" xfId="0" applyFont="1" applyAlignment="1">
      <alignment horizontal="center"/>
    </xf>
    <xf numFmtId="164" fontId="5" fillId="0" borderId="1" xfId="0" applyNumberFormat="1" applyFont="1" applyBorder="1"/>
    <xf numFmtId="164" fontId="5" fillId="0" borderId="3" xfId="0" applyNumberFormat="1" applyFont="1" applyBorder="1"/>
    <xf numFmtId="164" fontId="5" fillId="0" borderId="5" xfId="0" applyNumberFormat="1" applyFont="1" applyBorder="1"/>
    <xf numFmtId="174" fontId="8" fillId="0" borderId="0" xfId="0" applyNumberFormat="1" applyFont="1"/>
    <xf numFmtId="173" fontId="5" fillId="0" borderId="0" xfId="0" applyNumberFormat="1" applyFont="1"/>
    <xf numFmtId="174" fontId="5" fillId="0" borderId="0" xfId="1" applyNumberFormat="1" applyFont="1"/>
    <xf numFmtId="174" fontId="5" fillId="0" borderId="7" xfId="1" applyNumberFormat="1" applyFont="1" applyBorder="1"/>
    <xf numFmtId="174" fontId="5" fillId="0" borderId="0" xfId="0" applyNumberFormat="1" applyFont="1"/>
    <xf numFmtId="174" fontId="5" fillId="0" borderId="7" xfId="0" applyNumberFormat="1" applyFont="1" applyBorder="1"/>
    <xf numFmtId="174" fontId="5" fillId="0" borderId="10" xfId="0" applyNumberFormat="1" applyFont="1" applyBorder="1"/>
    <xf numFmtId="0" fontId="8" fillId="9" borderId="7" xfId="0" applyFont="1" applyFill="1" applyBorder="1" applyAlignment="1">
      <alignment vertical="center"/>
    </xf>
    <xf numFmtId="174" fontId="8" fillId="9" borderId="7" xfId="0" applyNumberFormat="1" applyFont="1" applyFill="1" applyBorder="1" applyAlignment="1">
      <alignment vertical="center"/>
    </xf>
    <xf numFmtId="164" fontId="18" fillId="0" borderId="0" xfId="1" applyNumberFormat="1" applyFont="1" applyAlignment="1">
      <alignment horizontal="center"/>
    </xf>
    <xf numFmtId="0" fontId="35" fillId="0" borderId="0" xfId="0" applyFont="1" applyAlignment="1">
      <alignment horizontal="left" indent="2"/>
    </xf>
    <xf numFmtId="9" fontId="18" fillId="0" borderId="0" xfId="2" applyFont="1" applyAlignment="1">
      <alignment horizontal="center"/>
    </xf>
    <xf numFmtId="167" fontId="18" fillId="0" borderId="0" xfId="3" applyNumberFormat="1" applyFont="1" applyAlignment="1">
      <alignment horizontal="center"/>
    </xf>
    <xf numFmtId="172" fontId="18" fillId="0" borderId="0" xfId="2" applyNumberFormat="1" applyFont="1" applyAlignment="1">
      <alignment horizontal="center"/>
    </xf>
    <xf numFmtId="171" fontId="8" fillId="0" borderId="0" xfId="0" applyNumberFormat="1" applyFont="1"/>
    <xf numFmtId="0" fontId="8" fillId="0" borderId="40" xfId="0" applyFont="1" applyBorder="1"/>
    <xf numFmtId="164" fontId="8" fillId="0" borderId="40" xfId="0" applyNumberFormat="1" applyFont="1" applyBorder="1"/>
    <xf numFmtId="0" fontId="36" fillId="0" borderId="0" xfId="0" applyFont="1"/>
    <xf numFmtId="0" fontId="8" fillId="9" borderId="0" xfId="0" applyFont="1" applyFill="1"/>
    <xf numFmtId="0" fontId="5" fillId="9" borderId="0" xfId="0" applyFont="1" applyFill="1"/>
    <xf numFmtId="164" fontId="14" fillId="4" borderId="0" xfId="1" applyNumberFormat="1" applyFont="1" applyFill="1" applyBorder="1"/>
    <xf numFmtId="164" fontId="8" fillId="0" borderId="0" xfId="1" applyNumberFormat="1" applyFont="1" applyBorder="1"/>
    <xf numFmtId="0" fontId="18" fillId="0" borderId="0" xfId="3" applyNumberFormat="1" applyFont="1" applyAlignment="1">
      <alignment horizontal="center"/>
    </xf>
    <xf numFmtId="173" fontId="8" fillId="0" borderId="40" xfId="0" applyNumberFormat="1" applyFont="1" applyBorder="1"/>
    <xf numFmtId="164" fontId="8" fillId="0" borderId="22" xfId="0" applyNumberFormat="1" applyFont="1" applyBorder="1"/>
    <xf numFmtId="164" fontId="13" fillId="4" borderId="0" xfId="1" applyNumberFormat="1" applyFont="1" applyFill="1"/>
    <xf numFmtId="174" fontId="5" fillId="0" borderId="39" xfId="1" applyNumberFormat="1" applyFont="1" applyBorder="1"/>
    <xf numFmtId="172" fontId="14" fillId="4" borderId="22" xfId="0" applyNumberFormat="1" applyFont="1" applyFill="1" applyBorder="1" applyAlignment="1">
      <alignment horizontal="center"/>
    </xf>
    <xf numFmtId="174" fontId="8" fillId="9" borderId="0" xfId="0" applyNumberFormat="1" applyFont="1" applyFill="1"/>
    <xf numFmtId="174" fontId="28" fillId="0" borderId="0" xfId="0" applyNumberFormat="1" applyFont="1"/>
    <xf numFmtId="174" fontId="5" fillId="0" borderId="39" xfId="0" applyNumberFormat="1" applyFont="1" applyBorder="1"/>
    <xf numFmtId="174" fontId="8" fillId="0" borderId="39" xfId="0" applyNumberFormat="1" applyFont="1" applyBorder="1"/>
    <xf numFmtId="174" fontId="8" fillId="0" borderId="0" xfId="1" applyNumberFormat="1" applyFont="1"/>
    <xf numFmtId="174" fontId="8" fillId="0" borderId="39" xfId="1" applyNumberFormat="1" applyFont="1" applyBorder="1"/>
    <xf numFmtId="1" fontId="5" fillId="0" borderId="0" xfId="0" applyNumberFormat="1" applyFont="1"/>
    <xf numFmtId="1" fontId="8" fillId="0" borderId="0" xfId="0" applyNumberFormat="1" applyFont="1" applyAlignment="1">
      <alignment horizontal="center"/>
    </xf>
    <xf numFmtId="174" fontId="5" fillId="2" borderId="0" xfId="0" applyNumberFormat="1" applyFont="1" applyFill="1"/>
    <xf numFmtId="174" fontId="8" fillId="0" borderId="22" xfId="1" applyNumberFormat="1" applyFont="1" applyBorder="1"/>
    <xf numFmtId="0" fontId="23" fillId="0" borderId="0" xfId="0" applyFont="1" applyAlignment="1">
      <alignment horizontal="left"/>
    </xf>
    <xf numFmtId="0" fontId="23" fillId="0" borderId="35" xfId="0" applyFont="1" applyBorder="1" applyAlignment="1">
      <alignment horizontal="left"/>
    </xf>
    <xf numFmtId="172" fontId="5" fillId="0" borderId="0" xfId="2" applyNumberFormat="1" applyFont="1" applyAlignment="1">
      <alignment horizontal="center"/>
    </xf>
    <xf numFmtId="174" fontId="5" fillId="0" borderId="8" xfId="0" applyNumberFormat="1" applyFont="1" applyBorder="1"/>
    <xf numFmtId="174" fontId="5" fillId="0" borderId="9" xfId="1" applyNumberFormat="1" applyFont="1" applyBorder="1"/>
    <xf numFmtId="172" fontId="7" fillId="0" borderId="0" xfId="2" applyNumberFormat="1" applyFont="1" applyAlignment="1">
      <alignment horizontal="center"/>
    </xf>
    <xf numFmtId="0" fontId="7" fillId="0" borderId="8" xfId="0" applyFont="1" applyBorder="1"/>
    <xf numFmtId="172" fontId="7" fillId="0" borderId="8" xfId="2" applyNumberFormat="1" applyFont="1" applyBorder="1" applyAlignment="1">
      <alignment horizontal="center"/>
    </xf>
    <xf numFmtId="174" fontId="8" fillId="0" borderId="11" xfId="0" applyNumberFormat="1" applyFont="1" applyBorder="1"/>
    <xf numFmtId="174" fontId="8" fillId="0" borderId="20" xfId="0" applyNumberFormat="1" applyFont="1" applyBorder="1"/>
    <xf numFmtId="172" fontId="17" fillId="4" borderId="4" xfId="2" applyNumberFormat="1" applyFont="1" applyFill="1" applyBorder="1" applyAlignment="1">
      <alignment horizontal="center"/>
    </xf>
    <xf numFmtId="172" fontId="17" fillId="0" borderId="23" xfId="2" applyNumberFormat="1" applyFont="1" applyBorder="1" applyAlignment="1">
      <alignment horizontal="center"/>
    </xf>
    <xf numFmtId="172" fontId="8" fillId="0" borderId="0" xfId="2" applyNumberFormat="1" applyFont="1" applyBorder="1" applyAlignment="1">
      <alignment horizontal="center"/>
    </xf>
    <xf numFmtId="172" fontId="8" fillId="0" borderId="4" xfId="2" applyNumberFormat="1" applyFont="1" applyBorder="1" applyAlignment="1">
      <alignment horizontal="center"/>
    </xf>
    <xf numFmtId="172" fontId="35" fillId="0" borderId="0" xfId="2" applyNumberFormat="1" applyFont="1" applyBorder="1" applyAlignment="1">
      <alignment horizontal="center"/>
    </xf>
    <xf numFmtId="9" fontId="3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172" fontId="35" fillId="0" borderId="0" xfId="0" applyNumberFormat="1" applyFont="1" applyAlignment="1">
      <alignment horizontal="center"/>
    </xf>
    <xf numFmtId="165" fontId="17" fillId="4" borderId="4" xfId="3" applyNumberFormat="1" applyFont="1" applyFill="1" applyBorder="1" applyAlignment="1">
      <alignment horizontal="center"/>
    </xf>
    <xf numFmtId="9" fontId="35" fillId="0" borderId="4" xfId="0" applyNumberFormat="1" applyFont="1" applyBorder="1" applyAlignment="1">
      <alignment horizontal="center"/>
    </xf>
    <xf numFmtId="174" fontId="35" fillId="0" borderId="0" xfId="0" applyNumberFormat="1" applyFont="1" applyAlignment="1">
      <alignment horizontal="center"/>
    </xf>
    <xf numFmtId="174" fontId="17" fillId="4" borderId="4" xfId="1" applyNumberFormat="1" applyFont="1" applyFill="1" applyBorder="1" applyAlignment="1">
      <alignment horizontal="center"/>
    </xf>
    <xf numFmtId="164" fontId="35" fillId="0" borderId="0" xfId="1" applyNumberFormat="1" applyFont="1" applyBorder="1" applyAlignment="1">
      <alignment horizontal="center"/>
    </xf>
    <xf numFmtId="172" fontId="35" fillId="0" borderId="4" xfId="2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165" fontId="14" fillId="0" borderId="0" xfId="0" applyNumberFormat="1" applyFont="1" applyAlignment="1">
      <alignment horizontal="center"/>
    </xf>
    <xf numFmtId="10" fontId="35" fillId="0" borderId="0" xfId="0" applyNumberFormat="1" applyFont="1" applyAlignment="1">
      <alignment horizontal="center"/>
    </xf>
    <xf numFmtId="10" fontId="35" fillId="0" borderId="4" xfId="0" applyNumberFormat="1" applyFont="1" applyBorder="1" applyAlignment="1">
      <alignment horizontal="center"/>
    </xf>
    <xf numFmtId="10" fontId="8" fillId="0" borderId="0" xfId="0" applyNumberFormat="1" applyFont="1" applyAlignment="1">
      <alignment horizontal="center"/>
    </xf>
    <xf numFmtId="10" fontId="8" fillId="0" borderId="4" xfId="0" applyNumberFormat="1" applyFont="1" applyBorder="1" applyAlignment="1">
      <alignment horizontal="center"/>
    </xf>
    <xf numFmtId="172" fontId="8" fillId="0" borderId="12" xfId="2" applyNumberFormat="1" applyFont="1" applyBorder="1" applyAlignment="1">
      <alignment horizontal="center"/>
    </xf>
    <xf numFmtId="172" fontId="8" fillId="0" borderId="2" xfId="2" applyNumberFormat="1" applyFont="1" applyBorder="1" applyAlignment="1">
      <alignment horizontal="center"/>
    </xf>
    <xf numFmtId="9" fontId="7" fillId="0" borderId="0" xfId="2" applyFont="1"/>
    <xf numFmtId="172" fontId="8" fillId="0" borderId="22" xfId="0" applyNumberFormat="1" applyFont="1" applyBorder="1" applyAlignment="1">
      <alignment horizontal="center"/>
    </xf>
    <xf numFmtId="172" fontId="28" fillId="0" borderId="23" xfId="0" applyNumberFormat="1" applyFont="1" applyBorder="1" applyAlignment="1">
      <alignment horizontal="center"/>
    </xf>
    <xf numFmtId="172" fontId="18" fillId="0" borderId="15" xfId="0" applyNumberFormat="1" applyFont="1" applyBorder="1" applyAlignment="1">
      <alignment horizontal="center"/>
    </xf>
    <xf numFmtId="172" fontId="18" fillId="0" borderId="17" xfId="0" applyNumberFormat="1" applyFont="1" applyBorder="1" applyAlignment="1">
      <alignment horizontal="center"/>
    </xf>
    <xf numFmtId="164" fontId="17" fillId="0" borderId="2" xfId="1" applyNumberFormat="1" applyFont="1" applyBorder="1"/>
    <xf numFmtId="172" fontId="5" fillId="0" borderId="13" xfId="2" applyNumberFormat="1" applyFont="1" applyBorder="1" applyAlignment="1">
      <alignment horizontal="center"/>
    </xf>
    <xf numFmtId="174" fontId="5" fillId="0" borderId="18" xfId="1" applyNumberFormat="1" applyFont="1" applyBorder="1"/>
    <xf numFmtId="172" fontId="17" fillId="4" borderId="6" xfId="2" applyNumberFormat="1" applyFont="1" applyFill="1" applyBorder="1" applyAlignment="1">
      <alignment horizontal="center"/>
    </xf>
    <xf numFmtId="174" fontId="28" fillId="0" borderId="15" xfId="1" applyNumberFormat="1" applyFont="1" applyBorder="1"/>
    <xf numFmtId="174" fontId="8" fillId="0" borderId="15" xfId="0" applyNumberFormat="1" applyFont="1" applyBorder="1"/>
    <xf numFmtId="174" fontId="5" fillId="0" borderId="16" xfId="1" applyNumberFormat="1" applyFont="1" applyBorder="1"/>
    <xf numFmtId="174" fontId="5" fillId="0" borderId="19" xfId="0" applyNumberFormat="1" applyFont="1" applyBorder="1"/>
    <xf numFmtId="9" fontId="7" fillId="0" borderId="14" xfId="2" applyFont="1" applyBorder="1"/>
    <xf numFmtId="164" fontId="6" fillId="5" borderId="0" xfId="1" applyNumberFormat="1" applyFont="1" applyFill="1"/>
    <xf numFmtId="166" fontId="6" fillId="5" borderId="0" xfId="0" applyNumberFormat="1" applyFont="1" applyFill="1" applyAlignment="1">
      <alignment horizontal="center"/>
    </xf>
    <xf numFmtId="174" fontId="0" fillId="0" borderId="0" xfId="0" applyNumberFormat="1"/>
    <xf numFmtId="14" fontId="6" fillId="2" borderId="0" xfId="0" applyNumberFormat="1" applyFont="1" applyFill="1" applyAlignment="1">
      <alignment horizontal="center"/>
    </xf>
    <xf numFmtId="0" fontId="8" fillId="0" borderId="41" xfId="0" applyFont="1" applyBorder="1"/>
    <xf numFmtId="0" fontId="8" fillId="0" borderId="45" xfId="0" applyFont="1" applyBorder="1"/>
    <xf numFmtId="174" fontId="8" fillId="0" borderId="44" xfId="0" applyNumberFormat="1" applyFont="1" applyBorder="1"/>
    <xf numFmtId="174" fontId="5" fillId="0" borderId="10" xfId="1" applyNumberFormat="1" applyFont="1" applyBorder="1"/>
    <xf numFmtId="172" fontId="8" fillId="0" borderId="22" xfId="2" applyNumberFormat="1" applyFont="1" applyBorder="1" applyAlignment="1">
      <alignment horizontal="center"/>
    </xf>
    <xf numFmtId="172" fontId="8" fillId="0" borderId="43" xfId="0" applyNumberFormat="1" applyFont="1" applyBorder="1" applyAlignment="1">
      <alignment horizontal="center"/>
    </xf>
    <xf numFmtId="168" fontId="5" fillId="0" borderId="0" xfId="0" applyNumberFormat="1" applyFont="1" applyAlignment="1">
      <alignment horizontal="center"/>
    </xf>
    <xf numFmtId="172" fontId="8" fillId="0" borderId="43" xfId="2" applyNumberFormat="1" applyFont="1" applyBorder="1" applyAlignment="1">
      <alignment horizontal="center"/>
    </xf>
    <xf numFmtId="174" fontId="5" fillId="0" borderId="0" xfId="1" applyNumberFormat="1" applyFont="1" applyBorder="1" applyAlignment="1">
      <alignment horizontal="center"/>
    </xf>
    <xf numFmtId="174" fontId="5" fillId="0" borderId="4" xfId="1" applyNumberFormat="1" applyFont="1" applyBorder="1" applyAlignment="1">
      <alignment horizontal="center"/>
    </xf>
    <xf numFmtId="174" fontId="5" fillId="0" borderId="13" xfId="1" applyNumberFormat="1" applyFont="1" applyBorder="1" applyAlignment="1">
      <alignment horizontal="center"/>
    </xf>
    <xf numFmtId="174" fontId="5" fillId="0" borderId="6" xfId="1" applyNumberFormat="1" applyFont="1" applyBorder="1" applyAlignment="1">
      <alignment horizontal="center"/>
    </xf>
    <xf numFmtId="0" fontId="6" fillId="13" borderId="0" xfId="0" applyFont="1" applyFill="1" applyAlignment="1">
      <alignment horizontal="center" vertical="center"/>
    </xf>
    <xf numFmtId="1" fontId="18" fillId="4" borderId="0" xfId="0" applyNumberFormat="1" applyFont="1" applyFill="1"/>
    <xf numFmtId="174" fontId="5" fillId="0" borderId="0" xfId="2" applyNumberFormat="1" applyFont="1"/>
    <xf numFmtId="174" fontId="17" fillId="0" borderId="0" xfId="1" applyNumberFormat="1" applyFont="1" applyFill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5" fillId="0" borderId="0" xfId="0" quotePrefix="1" applyFont="1"/>
    <xf numFmtId="174" fontId="8" fillId="0" borderId="0" xfId="0" applyNumberFormat="1" applyFont="1" applyAlignment="1">
      <alignment horizontal="right"/>
    </xf>
    <xf numFmtId="174" fontId="5" fillId="0" borderId="0" xfId="1" applyNumberFormat="1" applyFont="1" applyFill="1"/>
    <xf numFmtId="172" fontId="8" fillId="0" borderId="0" xfId="2" applyNumberFormat="1" applyFont="1"/>
    <xf numFmtId="172" fontId="17" fillId="0" borderId="0" xfId="2" applyNumberFormat="1" applyFont="1"/>
    <xf numFmtId="172" fontId="17" fillId="0" borderId="46" xfId="2" applyNumberFormat="1" applyFont="1" applyBorder="1" applyAlignment="1">
      <alignment horizontal="center"/>
    </xf>
    <xf numFmtId="10" fontId="5" fillId="0" borderId="0" xfId="2" applyNumberFormat="1" applyFont="1"/>
    <xf numFmtId="174" fontId="8" fillId="0" borderId="42" xfId="0" applyNumberFormat="1" applyFont="1" applyBorder="1"/>
    <xf numFmtId="172" fontId="5" fillId="0" borderId="0" xfId="2" applyNumberFormat="1" applyFont="1"/>
    <xf numFmtId="174" fontId="8" fillId="0" borderId="42" xfId="0" applyNumberFormat="1" applyFont="1" applyBorder="1" applyAlignment="1">
      <alignment horizontal="center"/>
    </xf>
    <xf numFmtId="174" fontId="8" fillId="0" borderId="43" xfId="0" applyNumberFormat="1" applyFont="1" applyBorder="1" applyAlignment="1">
      <alignment horizontal="center"/>
    </xf>
    <xf numFmtId="49" fontId="8" fillId="0" borderId="43" xfId="3" applyNumberFormat="1" applyFont="1" applyBorder="1" applyAlignment="1">
      <alignment horizontal="center"/>
    </xf>
    <xf numFmtId="174" fontId="8" fillId="0" borderId="4" xfId="1" applyNumberFormat="1" applyFont="1" applyBorder="1" applyAlignment="1">
      <alignment horizontal="right"/>
    </xf>
    <xf numFmtId="172" fontId="8" fillId="0" borderId="2" xfId="0" applyNumberFormat="1" applyFont="1" applyBorder="1"/>
    <xf numFmtId="0" fontId="0" fillId="14" borderId="0" xfId="0" applyFill="1"/>
    <xf numFmtId="172" fontId="5" fillId="0" borderId="0" xfId="0" applyNumberFormat="1" applyFont="1"/>
    <xf numFmtId="172" fontId="8" fillId="0" borderId="42" xfId="0" applyNumberFormat="1" applyFont="1" applyBorder="1" applyAlignment="1">
      <alignment horizontal="center"/>
    </xf>
    <xf numFmtId="0" fontId="8" fillId="12" borderId="46" xfId="0" applyFont="1" applyFill="1" applyBorder="1"/>
    <xf numFmtId="0" fontId="38" fillId="0" borderId="0" xfId="0" applyFont="1" applyAlignment="1">
      <alignment horizontal="center"/>
    </xf>
    <xf numFmtId="0" fontId="39" fillId="0" borderId="23" xfId="0" applyFont="1" applyBorder="1" applyAlignment="1">
      <alignment horizontal="center"/>
    </xf>
    <xf numFmtId="172" fontId="8" fillId="0" borderId="23" xfId="2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2" xfId="0" applyNumberFormat="1" applyFont="1" applyBorder="1"/>
    <xf numFmtId="10" fontId="5" fillId="0" borderId="2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5" fillId="0" borderId="0" xfId="0" applyNumberFormat="1" applyFont="1"/>
    <xf numFmtId="10" fontId="5" fillId="0" borderId="4" xfId="2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5" fillId="0" borderId="13" xfId="0" applyNumberFormat="1" applyFont="1" applyBorder="1"/>
    <xf numFmtId="10" fontId="5" fillId="0" borderId="6" xfId="2" applyNumberFormat="1" applyFont="1" applyBorder="1" applyAlignment="1">
      <alignment horizontal="center"/>
    </xf>
    <xf numFmtId="0" fontId="8" fillId="15" borderId="23" xfId="0" applyFont="1" applyFill="1" applyBorder="1"/>
    <xf numFmtId="0" fontId="5" fillId="15" borderId="23" xfId="0" applyFont="1" applyFill="1" applyBorder="1" applyAlignment="1">
      <alignment horizontal="center"/>
    </xf>
    <xf numFmtId="0" fontId="5" fillId="15" borderId="41" xfId="0" applyFont="1" applyFill="1" applyBorder="1" applyAlignment="1">
      <alignment horizontal="center"/>
    </xf>
    <xf numFmtId="43" fontId="8" fillId="0" borderId="23" xfId="3" applyFont="1" applyBorder="1" applyAlignment="1"/>
    <xf numFmtId="0" fontId="5" fillId="0" borderId="3" xfId="0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4" xfId="0" applyNumberFormat="1" applyFont="1" applyBorder="1" applyAlignment="1">
      <alignment horizontal="center"/>
    </xf>
    <xf numFmtId="10" fontId="5" fillId="0" borderId="4" xfId="2" applyNumberFormat="1" applyFont="1" applyBorder="1" applyAlignment="1">
      <alignment horizontal="center" vertical="center"/>
    </xf>
    <xf numFmtId="10" fontId="5" fillId="0" borderId="13" xfId="0" applyNumberFormat="1" applyFont="1" applyBorder="1" applyAlignment="1">
      <alignment horizontal="center" vertical="center"/>
    </xf>
    <xf numFmtId="10" fontId="5" fillId="0" borderId="6" xfId="2" applyNumberFormat="1" applyFont="1" applyBorder="1" applyAlignment="1">
      <alignment horizontal="center" vertical="center"/>
    </xf>
    <xf numFmtId="14" fontId="5" fillId="0" borderId="1" xfId="0" applyNumberFormat="1" applyFont="1" applyBorder="1"/>
    <xf numFmtId="14" fontId="5" fillId="0" borderId="3" xfId="0" applyNumberFormat="1" applyFont="1" applyBorder="1"/>
    <xf numFmtId="14" fontId="5" fillId="0" borderId="5" xfId="0" applyNumberFormat="1" applyFont="1" applyBorder="1"/>
    <xf numFmtId="0" fontId="5" fillId="0" borderId="41" xfId="0" applyFont="1" applyBorder="1" applyAlignment="1">
      <alignment horizontal="center"/>
    </xf>
    <xf numFmtId="172" fontId="5" fillId="0" borderId="42" xfId="2" applyNumberFormat="1" applyFont="1" applyBorder="1" applyAlignment="1">
      <alignment horizontal="center"/>
    </xf>
    <xf numFmtId="172" fontId="5" fillId="0" borderId="43" xfId="0" applyNumberFormat="1" applyFont="1" applyBorder="1" applyAlignment="1">
      <alignment horizontal="center"/>
    </xf>
    <xf numFmtId="10" fontId="8" fillId="0" borderId="23" xfId="0" applyNumberFormat="1" applyFont="1" applyBorder="1" applyAlignment="1">
      <alignment horizontal="center"/>
    </xf>
    <xf numFmtId="10" fontId="5" fillId="8" borderId="1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0" fontId="5" fillId="8" borderId="0" xfId="0" applyNumberFormat="1" applyFont="1" applyFill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10" fontId="5" fillId="8" borderId="2" xfId="0" applyNumberFormat="1" applyFont="1" applyFill="1" applyBorder="1" applyAlignment="1">
      <alignment horizontal="center" vertical="center"/>
    </xf>
    <xf numFmtId="10" fontId="5" fillId="8" borderId="4" xfId="0" applyNumberFormat="1" applyFont="1" applyFill="1" applyBorder="1" applyAlignment="1">
      <alignment horizontal="center" vertical="center"/>
    </xf>
    <xf numFmtId="172" fontId="17" fillId="0" borderId="4" xfId="2" applyNumberFormat="1" applyFont="1" applyFill="1" applyBorder="1" applyAlignment="1">
      <alignment horizontal="center"/>
    </xf>
    <xf numFmtId="172" fontId="17" fillId="0" borderId="0" xfId="2" applyNumberFormat="1" applyFont="1" applyFill="1" applyBorder="1" applyAlignment="1">
      <alignment horizontal="center"/>
    </xf>
    <xf numFmtId="164" fontId="18" fillId="4" borderId="23" xfId="1" applyNumberFormat="1" applyFont="1" applyFill="1" applyBorder="1" applyAlignment="1">
      <alignment horizontal="center"/>
    </xf>
    <xf numFmtId="0" fontId="18" fillId="4" borderId="23" xfId="1" applyNumberFormat="1" applyFont="1" applyFill="1" applyBorder="1" applyAlignment="1">
      <alignment horizontal="center"/>
    </xf>
    <xf numFmtId="174" fontId="0" fillId="0" borderId="0" xfId="2" applyNumberFormat="1" applyFont="1"/>
    <xf numFmtId="175" fontId="5" fillId="0" borderId="0" xfId="0" applyNumberFormat="1" applyFont="1" applyAlignment="1">
      <alignment horizontal="center"/>
    </xf>
    <xf numFmtId="44" fontId="5" fillId="0" borderId="0" xfId="1" applyFont="1"/>
    <xf numFmtId="176" fontId="5" fillId="0" borderId="0" xfId="0" applyNumberFormat="1" applyFont="1"/>
    <xf numFmtId="174" fontId="32" fillId="0" borderId="7" xfId="1" applyNumberFormat="1" applyFont="1" applyBorder="1"/>
    <xf numFmtId="0" fontId="8" fillId="0" borderId="26" xfId="0" applyFont="1" applyBorder="1"/>
    <xf numFmtId="176" fontId="5" fillId="0" borderId="22" xfId="0" applyNumberFormat="1" applyFont="1" applyBorder="1"/>
    <xf numFmtId="176" fontId="5" fillId="0" borderId="27" xfId="0" applyNumberFormat="1" applyFont="1" applyBorder="1"/>
    <xf numFmtId="164" fontId="5" fillId="0" borderId="22" xfId="0" applyNumberFormat="1" applyFont="1" applyBorder="1"/>
    <xf numFmtId="164" fontId="5" fillId="0" borderId="27" xfId="0" applyNumberFormat="1" applyFont="1" applyBorder="1"/>
    <xf numFmtId="165" fontId="8" fillId="0" borderId="42" xfId="3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right"/>
    </xf>
    <xf numFmtId="164" fontId="28" fillId="4" borderId="23" xfId="1" applyNumberFormat="1" applyFont="1" applyFill="1" applyBorder="1"/>
    <xf numFmtId="9" fontId="28" fillId="0" borderId="0" xfId="2" applyFont="1" applyAlignment="1">
      <alignment horizontal="center"/>
    </xf>
    <xf numFmtId="0" fontId="37" fillId="14" borderId="0" xfId="0" applyFont="1" applyFill="1" applyAlignment="1">
      <alignment horizontal="center"/>
    </xf>
    <xf numFmtId="0" fontId="23" fillId="0" borderId="0" xfId="0" applyFont="1" applyAlignment="1">
      <alignment horizontal="left"/>
    </xf>
    <xf numFmtId="0" fontId="23" fillId="0" borderId="35" xfId="0" applyFont="1" applyBorder="1" applyAlignment="1">
      <alignment horizontal="left"/>
    </xf>
    <xf numFmtId="0" fontId="23" fillId="0" borderId="32" xfId="0" applyFont="1" applyBorder="1" applyAlignment="1">
      <alignment horizontal="left"/>
    </xf>
    <xf numFmtId="0" fontId="23" fillId="0" borderId="33" xfId="0" applyFont="1" applyBorder="1" applyAlignment="1">
      <alignment horizontal="left"/>
    </xf>
    <xf numFmtId="0" fontId="24" fillId="10" borderId="0" xfId="0" applyFont="1" applyFill="1" applyAlignment="1">
      <alignment horizontal="left"/>
    </xf>
    <xf numFmtId="0" fontId="5" fillId="0" borderId="0" xfId="0" applyFont="1" applyAlignment="1">
      <alignment horizontal="left"/>
    </xf>
  </cellXfs>
  <cellStyles count="5">
    <cellStyle name="Hipervínculo" xfId="4" builtinId="8"/>
    <cellStyle name="Millares" xfId="3" builtinId="3"/>
    <cellStyle name="Moneda" xfId="1" builtinId="4"/>
    <cellStyle name="Normal" xfId="0" builtinId="0"/>
    <cellStyle name="Porcentaje" xfId="2" builtinId="5"/>
  </cellStyles>
  <dxfs count="2">
    <dxf>
      <font>
        <color rgb="FF00B050"/>
      </font>
      <fill>
        <patternFill patternType="none">
          <bgColor auto="1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0000FF"/>
      <color rgb="FF507BC8"/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2"/>
          <c:tx>
            <c:strRef>
              <c:f>Inputs!$B$10</c:f>
              <c:strCache>
                <c:ptCount val="1"/>
                <c:pt idx="0">
                  <c:v>USD/COP Year Average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Inputs!$C$6:$M$6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Inputs!$C$10:$M$10</c:f>
              <c:numCache>
                <c:formatCode>_-"$"\ * #,##0_-;\-"$"\ * #,##0_-;_-"$"\ * "-"??_-;_-@_-</c:formatCode>
                <c:ptCount val="11"/>
                <c:pt idx="0">
                  <c:v>1898.9974999999997</c:v>
                </c:pt>
                <c:pt idx="1">
                  <c:v>1848.0166666666667</c:v>
                </c:pt>
                <c:pt idx="2">
                  <c:v>1798.0116666666665</c:v>
                </c:pt>
                <c:pt idx="3">
                  <c:v>1868.8949999999998</c:v>
                </c:pt>
                <c:pt idx="4">
                  <c:v>2001.1049999999996</c:v>
                </c:pt>
                <c:pt idx="5">
                  <c:v>2741.7816666666672</c:v>
                </c:pt>
                <c:pt idx="6">
                  <c:v>3055.2549999999997</c:v>
                </c:pt>
                <c:pt idx="7">
                  <c:v>2951.2708333333335</c:v>
                </c:pt>
                <c:pt idx="8">
                  <c:v>2956.3566666666666</c:v>
                </c:pt>
                <c:pt idx="9">
                  <c:v>3281.3883333333338</c:v>
                </c:pt>
                <c:pt idx="10">
                  <c:v>3693.27583333333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C-4851-BB3C-2DC182D7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593967"/>
        <c:axId val="1639930303"/>
      </c:barChart>
      <c:lineChart>
        <c:grouping val="standard"/>
        <c:varyColors val="0"/>
        <c:ser>
          <c:idx val="1"/>
          <c:order val="0"/>
          <c:tx>
            <c:strRef>
              <c:f>Inputs!$B$7</c:f>
              <c:strCache>
                <c:ptCount val="1"/>
                <c:pt idx="0">
                  <c:v>FOB/kg USD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Inputs!$C$6:$M$6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Inputs!$C$7:$M$7</c:f>
              <c:numCache>
                <c:formatCode>[$USD]\ #,##0.00</c:formatCode>
                <c:ptCount val="11"/>
                <c:pt idx="0">
                  <c:v>2.2148270000000001</c:v>
                </c:pt>
                <c:pt idx="1">
                  <c:v>1.94574</c:v>
                </c:pt>
                <c:pt idx="2">
                  <c:v>2.4730080000000001</c:v>
                </c:pt>
                <c:pt idx="3">
                  <c:v>2.0748069999999998</c:v>
                </c:pt>
                <c:pt idx="4">
                  <c:v>1.9873130000000001</c:v>
                </c:pt>
                <c:pt idx="5">
                  <c:v>2.3518780000000001</c:v>
                </c:pt>
                <c:pt idx="6">
                  <c:v>1.9052640000000001</c:v>
                </c:pt>
                <c:pt idx="7">
                  <c:v>1.8714930000000001</c:v>
                </c:pt>
                <c:pt idx="8">
                  <c:v>2.185454</c:v>
                </c:pt>
                <c:pt idx="9">
                  <c:v>1.9594640000000001</c:v>
                </c:pt>
                <c:pt idx="10">
                  <c:v>1.928742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F9C-4851-BB3C-2DC182D7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384943"/>
        <c:axId val="1515830271"/>
      </c:lineChart>
      <c:lineChart>
        <c:grouping val="standard"/>
        <c:varyColors val="0"/>
        <c:ser>
          <c:idx val="2"/>
          <c:order val="1"/>
          <c:tx>
            <c:strRef>
              <c:f>Inputs!$B$13</c:f>
              <c:strCache>
                <c:ptCount val="1"/>
                <c:pt idx="0">
                  <c:v>FOB/kg COP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Inputs!$C$6:$M$6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Inputs!$C$13:$M$13</c:f>
              <c:numCache>
                <c:formatCode>_-"$"\ * #,##0_-;\-"$"\ * #,##0_-;_-"$"\ * "-"??_-;_-@_-</c:formatCode>
                <c:ptCount val="11"/>
                <c:pt idx="0">
                  <c:v>4205.9509359324993</c:v>
                </c:pt>
                <c:pt idx="1">
                  <c:v>3595.7599490000002</c:v>
                </c:pt>
                <c:pt idx="2">
                  <c:v>4446.49723576</c:v>
                </c:pt>
                <c:pt idx="3">
                  <c:v>3877.5964282649993</c:v>
                </c:pt>
                <c:pt idx="4">
                  <c:v>3976.8219808649992</c:v>
                </c:pt>
                <c:pt idx="5">
                  <c:v>6448.3359826366686</c:v>
                </c:pt>
                <c:pt idx="6">
                  <c:v>5821.0673623199991</c:v>
                </c:pt>
                <c:pt idx="7">
                  <c:v>5523.2827056875003</c:v>
                </c:pt>
                <c:pt idx="8">
                  <c:v>6460.9815025933331</c:v>
                </c:pt>
                <c:pt idx="9">
                  <c:v>6429.7623091866681</c:v>
                </c:pt>
                <c:pt idx="10">
                  <c:v>7123.3762173349933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F9C-4851-BB3C-2DC182D7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593967"/>
        <c:axId val="1639930303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&quot;$&quot;\ 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FF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valAx>
        <c:axId val="1639930303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7593967"/>
        <c:crosses val="max"/>
        <c:crossBetween val="between"/>
      </c:valAx>
      <c:catAx>
        <c:axId val="15075939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99303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67431499964183E-2"/>
          <c:y val="5.4931314230709946E-2"/>
          <c:w val="0.81377979952430668"/>
          <c:h val="0.64282888797314852"/>
        </c:manualLayout>
      </c:layout>
      <c:lineChart>
        <c:grouping val="standard"/>
        <c:varyColors val="0"/>
        <c:ser>
          <c:idx val="0"/>
          <c:order val="0"/>
          <c:tx>
            <c:strRef>
              <c:f>Presentación!$B$36</c:f>
              <c:strCache>
                <c:ptCount val="1"/>
                <c:pt idx="0">
                  <c:v>Margen Neto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Presentación!$C$1:$R$1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Presentación!$C$36:$R$36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0.48505701312559857</c:v>
                </c:pt>
                <c:pt idx="4">
                  <c:v>0.57161049400126074</c:v>
                </c:pt>
                <c:pt idx="5">
                  <c:v>0.62074697944242541</c:v>
                </c:pt>
                <c:pt idx="6">
                  <c:v>0.65452152754016013</c:v>
                </c:pt>
                <c:pt idx="7">
                  <c:v>0.68587944954005053</c:v>
                </c:pt>
                <c:pt idx="8">
                  <c:v>0.69710124187248867</c:v>
                </c:pt>
                <c:pt idx="9">
                  <c:v>0.70903921751932908</c:v>
                </c:pt>
                <c:pt idx="10">
                  <c:v>0.72130772738614513</c:v>
                </c:pt>
                <c:pt idx="11">
                  <c:v>0.73384987831213944</c:v>
                </c:pt>
                <c:pt idx="12">
                  <c:v>0.7452913040858683</c:v>
                </c:pt>
                <c:pt idx="13">
                  <c:v>0.75928295448742245</c:v>
                </c:pt>
                <c:pt idx="14">
                  <c:v>0.77402145432451852</c:v>
                </c:pt>
                <c:pt idx="15">
                  <c:v>0.79192689064994859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18-4D4D-A8EE-4752579D0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384943"/>
        <c:axId val="1515830271"/>
        <c:extLst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88066787201594"/>
          <c:y val="0.86391897375565063"/>
          <c:w val="0.5475592373047018"/>
          <c:h val="0.106118491209416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PyG!$B$310</c:f>
              <c:strCache>
                <c:ptCount val="1"/>
                <c:pt idx="0">
                  <c:v>Calidad 1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Inputs!$C$59:$AC$59</c:f>
              <c:numCache>
                <c:formatCode>General</c:formatCode>
                <c:ptCount val="2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</c:numCache>
            </c:numRef>
          </c:cat>
          <c:val>
            <c:numRef>
              <c:f>PyG!$C$310:$R$310</c:f>
              <c:numCache>
                <c:formatCode>_-* #,##0_-;\-* #,##0_-;_-* "-"??_-;_-@_-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907592.67857142841</c:v>
                </c:pt>
                <c:pt idx="4">
                  <c:v>1260157.5267857141</c:v>
                </c:pt>
                <c:pt idx="5">
                  <c:v>1575196.9084821427</c:v>
                </c:pt>
                <c:pt idx="6">
                  <c:v>1855581.9581919638</c:v>
                </c:pt>
                <c:pt idx="7">
                  <c:v>2843230.4198102672</c:v>
                </c:pt>
                <c:pt idx="8">
                  <c:v>2840838.1713197539</c:v>
                </c:pt>
                <c:pt idx="9">
                  <c:v>2760079.7130037658</c:v>
                </c:pt>
                <c:pt idx="10">
                  <c:v>2680295.0050910776</c:v>
                </c:pt>
                <c:pt idx="11">
                  <c:v>2601588.5686871489</c:v>
                </c:pt>
                <c:pt idx="12">
                  <c:v>2637894.9844200881</c:v>
                </c:pt>
                <c:pt idx="13">
                  <c:v>2506000.2351990836</c:v>
                </c:pt>
                <c:pt idx="14">
                  <c:v>2380700.2234391295</c:v>
                </c:pt>
                <c:pt idx="15">
                  <c:v>2186583.6000866797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85-4DC4-94E0-7FA7AB4289DD}"/>
            </c:ext>
          </c:extLst>
        </c:ser>
        <c:ser>
          <c:idx val="1"/>
          <c:order val="1"/>
          <c:tx>
            <c:strRef>
              <c:f>PyG!$B$311</c:f>
              <c:strCache>
                <c:ptCount val="1"/>
                <c:pt idx="0">
                  <c:v>Calidad 2</c:v>
                </c:pt>
              </c:strCache>
            </c:strRef>
          </c:tx>
          <c:spPr>
            <a:ln w="22225" cap="rnd" cmpd="sng" algn="ctr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PyG!$C$311:$R$311</c:f>
              <c:numCache>
                <c:formatCode>_-* #,##0_-;\-* #,##0_-;_-* "-"??_-;_-@_-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302530.89285714278</c:v>
                </c:pt>
                <c:pt idx="4">
                  <c:v>420052.50892857136</c:v>
                </c:pt>
                <c:pt idx="5">
                  <c:v>525065.6361607142</c:v>
                </c:pt>
                <c:pt idx="6">
                  <c:v>618527.31939732132</c:v>
                </c:pt>
                <c:pt idx="7">
                  <c:v>947743.47327008913</c:v>
                </c:pt>
                <c:pt idx="8">
                  <c:v>946946.05710658454</c:v>
                </c:pt>
                <c:pt idx="9">
                  <c:v>920026.5710012553</c:v>
                </c:pt>
                <c:pt idx="10">
                  <c:v>893431.66836369259</c:v>
                </c:pt>
                <c:pt idx="11">
                  <c:v>867196.18956238299</c:v>
                </c:pt>
                <c:pt idx="12">
                  <c:v>879298.32814002945</c:v>
                </c:pt>
                <c:pt idx="13">
                  <c:v>835333.4117330279</c:v>
                </c:pt>
                <c:pt idx="14">
                  <c:v>793566.74114637647</c:v>
                </c:pt>
                <c:pt idx="15">
                  <c:v>728861.2000288933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85-4DC4-94E0-7FA7AB428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384943"/>
        <c:axId val="1515830271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PyG!$B$310</c:f>
              <c:strCache>
                <c:ptCount val="1"/>
                <c:pt idx="0">
                  <c:v>Calidad 1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Inputs!$C$59:$AC$59</c:f>
              <c:numCache>
                <c:formatCode>General</c:formatCode>
                <c:ptCount val="2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</c:numCache>
            </c:numRef>
          </c:cat>
          <c:val>
            <c:numRef>
              <c:f>PyG!$C$318:$R$318</c:f>
              <c:numCache>
                <c:formatCode>General</c:formatCode>
                <c:ptCount val="16"/>
                <c:pt idx="3" formatCode="_-&quot;$&quot;\ * #,##0_-;\-&quot;$&quot;\ * #,##0_-;_-&quot;$&quot;\ * &quot;-&quot;??_-;_-@_-">
                  <c:v>17109.934091868785</c:v>
                </c:pt>
                <c:pt idx="4" formatCode="_-&quot;$&quot;\ * #,##0_-;\-&quot;$&quot;\ * #,##0_-;_-&quot;$&quot;\ * &quot;-&quot;??_-;_-@_-">
                  <c:v>17452.132773706162</c:v>
                </c:pt>
                <c:pt idx="5" formatCode="_-&quot;$&quot;\ * #,##0_-;\-&quot;$&quot;\ * #,##0_-;_-&quot;$&quot;\ * &quot;-&quot;??_-;_-@_-">
                  <c:v>17801.175429180286</c:v>
                </c:pt>
                <c:pt idx="6" formatCode="_-&quot;$&quot;\ * #,##0_-;\-&quot;$&quot;\ * #,##0_-;_-&quot;$&quot;\ * &quot;-&quot;??_-;_-@_-">
                  <c:v>18157.198937763893</c:v>
                </c:pt>
                <c:pt idx="7" formatCode="_-&quot;$&quot;\ * #,##0_-;\-&quot;$&quot;\ * #,##0_-;_-&quot;$&quot;\ * &quot;-&quot;??_-;_-@_-">
                  <c:v>18520.34291651917</c:v>
                </c:pt>
                <c:pt idx="8" formatCode="_-&quot;$&quot;\ * #,##0_-;\-&quot;$&quot;\ * #,##0_-;_-&quot;$&quot;\ * &quot;-&quot;??_-;_-@_-">
                  <c:v>18890.749774849555</c:v>
                </c:pt>
                <c:pt idx="9" formatCode="_-&quot;$&quot;\ * #,##0_-;\-&quot;$&quot;\ * #,##0_-;_-&quot;$&quot;\ * &quot;-&quot;??_-;_-@_-">
                  <c:v>19268.564770346547</c:v>
                </c:pt>
                <c:pt idx="10" formatCode="_-&quot;$&quot;\ * #,##0_-;\-&quot;$&quot;\ * #,##0_-;_-&quot;$&quot;\ * &quot;-&quot;??_-;_-@_-">
                  <c:v>19653.936065753478</c:v>
                </c:pt>
                <c:pt idx="11" formatCode="_-&quot;$&quot;\ * #,##0_-;\-&quot;$&quot;\ * #,##0_-;_-&quot;$&quot;\ * &quot;-&quot;??_-;_-@_-">
                  <c:v>20047.014787068547</c:v>
                </c:pt>
                <c:pt idx="12" formatCode="_-&quot;$&quot;\ * #,##0_-;\-&quot;$&quot;\ * #,##0_-;_-&quot;$&quot;\ * &quot;-&quot;??_-;_-@_-">
                  <c:v>20447.955082809916</c:v>
                </c:pt>
                <c:pt idx="13" formatCode="_-&quot;$&quot;\ * #,##0_-;\-&quot;$&quot;\ * #,##0_-;_-&quot;$&quot;\ * &quot;-&quot;??_-;_-@_-">
                  <c:v>20856.914184466114</c:v>
                </c:pt>
                <c:pt idx="14" formatCode="_-&quot;$&quot;\ * #,##0_-;\-&quot;$&quot;\ * #,##0_-;_-&quot;$&quot;\ * &quot;-&quot;??_-;_-@_-">
                  <c:v>21274.052468155438</c:v>
                </c:pt>
                <c:pt idx="15" formatCode="_-&quot;$&quot;\ * #,##0_-;\-&quot;$&quot;\ * #,##0_-;_-&quot;$&quot;\ * &quot;-&quot;??_-;_-@_-">
                  <c:v>21699.533517518546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6F8-42A4-9D4A-03128B4451F5}"/>
            </c:ext>
          </c:extLst>
        </c:ser>
        <c:ser>
          <c:idx val="1"/>
          <c:order val="1"/>
          <c:tx>
            <c:strRef>
              <c:f>PyG!$B$311</c:f>
              <c:strCache>
                <c:ptCount val="1"/>
                <c:pt idx="0">
                  <c:v>Calidad 2</c:v>
                </c:pt>
              </c:strCache>
            </c:strRef>
          </c:tx>
          <c:spPr>
            <a:ln w="22225" cap="rnd" cmpd="sng" algn="ctr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PyG!$C$319:$R$319</c:f>
              <c:numCache>
                <c:formatCode>General</c:formatCode>
                <c:ptCount val="16"/>
                <c:pt idx="3" formatCode="_-&quot;$&quot;\ * #,##0_-;\-&quot;$&quot;\ * #,##0_-;_-&quot;$&quot;\ * &quot;-&quot;??_-;_-@_-">
                  <c:v>8492.8139522622896</c:v>
                </c:pt>
                <c:pt idx="4" formatCode="_-&quot;$&quot;\ * #,##0_-;\-&quot;$&quot;\ * #,##0_-;_-&quot;$&quot;\ * &quot;-&quot;??_-;_-@_-">
                  <c:v>8747.5983708301592</c:v>
                </c:pt>
                <c:pt idx="5" formatCode="_-&quot;$&quot;\ * #,##0_-;\-&quot;$&quot;\ * #,##0_-;_-&quot;$&quot;\ * &quot;-&quot;??_-;_-@_-">
                  <c:v>9010.0263219550634</c:v>
                </c:pt>
                <c:pt idx="6" formatCode="_-&quot;$&quot;\ * #,##0_-;\-&quot;$&quot;\ * #,##0_-;_-&quot;$&quot;\ * &quot;-&quot;??_-;_-@_-">
                  <c:v>9280.3271116137148</c:v>
                </c:pt>
                <c:pt idx="7" formatCode="_-&quot;$&quot;\ * #,##0_-;\-&quot;$&quot;\ * #,##0_-;_-&quot;$&quot;\ * &quot;-&quot;??_-;_-@_-">
                  <c:v>9558.7369249621261</c:v>
                </c:pt>
                <c:pt idx="8" formatCode="_-&quot;$&quot;\ * #,##0_-;\-&quot;$&quot;\ * #,##0_-;_-&quot;$&quot;\ * &quot;-&quot;??_-;_-@_-">
                  <c:v>9845.4990327109899</c:v>
                </c:pt>
                <c:pt idx="9" formatCode="_-&quot;$&quot;\ * #,##0_-;\-&quot;$&quot;\ * #,##0_-;_-&quot;$&quot;\ * &quot;-&quot;??_-;_-@_-">
                  <c:v>10140.864003692323</c:v>
                </c:pt>
                <c:pt idx="10" formatCode="_-&quot;$&quot;\ * #,##0_-;\-&quot;$&quot;\ * #,##0_-;_-&quot;$&quot;\ * &quot;-&quot;??_-;_-@_-">
                  <c:v>10445.089923803091</c:v>
                </c:pt>
                <c:pt idx="11" formatCode="_-&quot;$&quot;\ * #,##0_-;\-&quot;$&quot;\ * #,##0_-;_-&quot;$&quot;\ * &quot;-&quot;??_-;_-@_-">
                  <c:v>10758.442621517186</c:v>
                </c:pt>
                <c:pt idx="12" formatCode="_-&quot;$&quot;\ * #,##0_-;\-&quot;$&quot;\ * #,##0_-;_-&quot;$&quot;\ * &quot;-&quot;??_-;_-@_-">
                  <c:v>11081.195900162698</c:v>
                </c:pt>
                <c:pt idx="13" formatCode="_-&quot;$&quot;\ * #,##0_-;\-&quot;$&quot;\ * #,##0_-;_-&quot;$&quot;\ * &quot;-&quot;??_-;_-@_-">
                  <c:v>11413.631777167584</c:v>
                </c:pt>
                <c:pt idx="14" formatCode="_-&quot;$&quot;\ * #,##0_-;\-&quot;$&quot;\ * #,##0_-;_-&quot;$&quot;\ * &quot;-&quot;??_-;_-@_-">
                  <c:v>11756.040730482609</c:v>
                </c:pt>
                <c:pt idx="15" formatCode="_-&quot;$&quot;\ * #,##0_-;\-&quot;$&quot;\ * #,##0_-;_-&quot;$&quot;\ * &quot;-&quot;??_-;_-@_-">
                  <c:v>12108.721952397089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F8-42A4-9D4A-03128B445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384943"/>
        <c:axId val="1515830271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67431499964183E-2"/>
          <c:y val="5.4931314230709946E-2"/>
          <c:w val="0.81377979952430668"/>
          <c:h val="0.64282888797314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Presentación!$B$3</c:f>
              <c:strCache>
                <c:ptCount val="1"/>
                <c:pt idx="0">
                  <c:v>APORTES DE CAPITAL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DCF!$C$1:$R$1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Presentación!$C$3:$R$3</c:f>
              <c:numCache>
                <c:formatCode>_-"$"\ * #,##0_-;\-"$"\ * #,##0_-;_-"$"\ * "-"??_-;_-@_-</c:formatCode>
                <c:ptCount val="16"/>
                <c:pt idx="0">
                  <c:v>21428.571428571428</c:v>
                </c:pt>
                <c:pt idx="1">
                  <c:v>21428.571428571428</c:v>
                </c:pt>
                <c:pt idx="2">
                  <c:v>21428.571428571428</c:v>
                </c:pt>
                <c:pt idx="3">
                  <c:v>21428.571428571428</c:v>
                </c:pt>
                <c:pt idx="4">
                  <c:v>21428.571428571428</c:v>
                </c:pt>
                <c:pt idx="5">
                  <c:v>21428.571428571428</c:v>
                </c:pt>
                <c:pt idx="6">
                  <c:v>21428.571428571428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A0-4A06-A438-82087D936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0384943"/>
        <c:axId val="1515830271"/>
      </c:bar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&quot;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FF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37042970770863E-2"/>
          <c:y val="0.86391897375565063"/>
          <c:w val="0.31034149320930154"/>
          <c:h val="8.42702195994300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67431499964183E-2"/>
          <c:y val="5.4931314230709946E-2"/>
          <c:w val="0.81377979952430668"/>
          <c:h val="0.64282888797314852"/>
        </c:manualLayout>
      </c:layout>
      <c:lineChart>
        <c:grouping val="standard"/>
        <c:varyColors val="0"/>
        <c:ser>
          <c:idx val="0"/>
          <c:order val="0"/>
          <c:tx>
            <c:strRef>
              <c:f>'Balance G.'!$B$45</c:f>
              <c:strCache>
                <c:ptCount val="1"/>
                <c:pt idx="0">
                  <c:v>Dias cuentas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DCF!$C$1:$R$1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'Balance G.'!$C$45:$R$45</c:f>
              <c:numCache>
                <c:formatCode>0</c:formatCode>
                <c:ptCount val="16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B-4B1B-A05D-8C9CE753482C}"/>
            </c:ext>
          </c:extLst>
        </c:ser>
        <c:ser>
          <c:idx val="1"/>
          <c:order val="1"/>
          <c:tx>
            <c:strRef>
              <c:f>'Balance G.'!$B$46</c:f>
              <c:strCache>
                <c:ptCount val="1"/>
                <c:pt idx="0">
                  <c:v>Dias inventario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'Balance G.'!$C$46:$R$46</c:f>
              <c:numCache>
                <c:formatCode>0</c:formatCode>
                <c:ptCount val="16"/>
                <c:pt idx="0">
                  <c:v>150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B-4B1B-A05D-8C9CE753482C}"/>
            </c:ext>
          </c:extLst>
        </c:ser>
        <c:ser>
          <c:idx val="2"/>
          <c:order val="2"/>
          <c:tx>
            <c:strRef>
              <c:f>'Balance G.'!$B$47</c:f>
              <c:strCache>
                <c:ptCount val="1"/>
                <c:pt idx="0">
                  <c:v>Dias cuentas por Pagar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'Balance G.'!$C$47:$R$47</c:f>
              <c:numCache>
                <c:formatCode>0</c:formatCode>
                <c:ptCount val="16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B-4B1B-A05D-8C9CE753482C}"/>
            </c:ext>
          </c:extLst>
        </c:ser>
        <c:ser>
          <c:idx val="3"/>
          <c:order val="3"/>
          <c:tx>
            <c:strRef>
              <c:f>'Balance G.'!$B$57</c:f>
              <c:strCache>
                <c:ptCount val="1"/>
                <c:pt idx="0">
                  <c:v>Ciclo de Capital de Trabajo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'Balance G.'!$C$57:$R$57</c:f>
              <c:numCache>
                <c:formatCode>0</c:formatCode>
                <c:ptCount val="16"/>
                <c:pt idx="0">
                  <c:v>120</c:v>
                </c:pt>
                <c:pt idx="1">
                  <c:v>120</c:v>
                </c:pt>
                <c:pt idx="2">
                  <c:v>120</c:v>
                </c:pt>
                <c:pt idx="3">
                  <c:v>120</c:v>
                </c:pt>
                <c:pt idx="4">
                  <c:v>120</c:v>
                </c:pt>
                <c:pt idx="5">
                  <c:v>120</c:v>
                </c:pt>
                <c:pt idx="6">
                  <c:v>120</c:v>
                </c:pt>
                <c:pt idx="7">
                  <c:v>120</c:v>
                </c:pt>
                <c:pt idx="8">
                  <c:v>120</c:v>
                </c:pt>
                <c:pt idx="9">
                  <c:v>120</c:v>
                </c:pt>
                <c:pt idx="10">
                  <c:v>120</c:v>
                </c:pt>
                <c:pt idx="11">
                  <c:v>120</c:v>
                </c:pt>
                <c:pt idx="12">
                  <c:v>120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4B-4B1B-A05D-8C9CE7534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384943"/>
        <c:axId val="1515830271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FF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37042970770863E-2"/>
          <c:y val="0.86391897375565063"/>
          <c:w val="0.74211438852641065"/>
          <c:h val="0.13608102624434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67431499964183E-2"/>
          <c:y val="5.4931314230709946E-2"/>
          <c:w val="0.81377979952430668"/>
          <c:h val="0.64282888797314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PyG!$B$295</c:f>
              <c:strCache>
                <c:ptCount val="1"/>
                <c:pt idx="0">
                  <c:v>Tonelada/Hectarea Productiva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DCF!$C$1:$R$1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PyG!$C$295:$R$295</c:f>
              <c:numCache>
                <c:formatCode>0.0\x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6.3690714285714263</c:v>
                </c:pt>
                <c:pt idx="4">
                  <c:v>8.8432107142857124</c:v>
                </c:pt>
                <c:pt idx="5">
                  <c:v>11.054013392857142</c:v>
                </c:pt>
                <c:pt idx="6">
                  <c:v>13.021627776785712</c:v>
                </c:pt>
                <c:pt idx="7">
                  <c:v>19.952494174107137</c:v>
                </c:pt>
                <c:pt idx="8">
                  <c:v>19.935706465401783</c:v>
                </c:pt>
                <c:pt idx="9">
                  <c:v>19.36898044213169</c:v>
                </c:pt>
                <c:pt idx="10">
                  <c:v>18.809087755025107</c:v>
                </c:pt>
                <c:pt idx="11">
                  <c:v>18.256761885523851</c:v>
                </c:pt>
                <c:pt idx="12">
                  <c:v>18.51154375031641</c:v>
                </c:pt>
                <c:pt idx="13">
                  <c:v>17.585966562800586</c:v>
                </c:pt>
                <c:pt idx="14">
                  <c:v>16.706668234660555</c:v>
                </c:pt>
                <c:pt idx="15">
                  <c:v>15.344446316397754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62-4CCA-9F2E-477B3536C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0384943"/>
        <c:axId val="1515830271"/>
      </c:bar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FF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37042970770863E-2"/>
          <c:y val="0.86391897375565063"/>
          <c:w val="0.92986295702922916"/>
          <c:h val="8.42702195994300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PyG!$B$289</c:f>
              <c:strCache>
                <c:ptCount val="1"/>
                <c:pt idx="0">
                  <c:v>Kilogramos Totales Producción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PyG!$C$1:$R$1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PyG!$C$289:$R$289</c:f>
              <c:numCache>
                <c:formatCode>_-* #,##0_-;\-* #,##0_-;_-* "-"??_-;_-@_-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1210123.5714285711</c:v>
                </c:pt>
                <c:pt idx="4">
                  <c:v>1680210.0357142854</c:v>
                </c:pt>
                <c:pt idx="5">
                  <c:v>2100262.5446428568</c:v>
                </c:pt>
                <c:pt idx="6">
                  <c:v>2474109.2775892853</c:v>
                </c:pt>
                <c:pt idx="7">
                  <c:v>3790973.8930803565</c:v>
                </c:pt>
                <c:pt idx="8">
                  <c:v>3787784.2284263382</c:v>
                </c:pt>
                <c:pt idx="9">
                  <c:v>3680106.2840050212</c:v>
                </c:pt>
                <c:pt idx="10">
                  <c:v>3573726.6734547704</c:v>
                </c:pt>
                <c:pt idx="11">
                  <c:v>3468784.758249532</c:v>
                </c:pt>
                <c:pt idx="12">
                  <c:v>3517193.3125601178</c:v>
                </c:pt>
                <c:pt idx="13">
                  <c:v>3341333.6469321116</c:v>
                </c:pt>
                <c:pt idx="14">
                  <c:v>3174266.9645855059</c:v>
                </c:pt>
                <c:pt idx="15">
                  <c:v>2915444.8001155732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4-4A64-93AC-5CAF33A82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8859887"/>
        <c:axId val="1407885071"/>
      </c:lineChart>
      <c:catAx>
        <c:axId val="1468859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07885071"/>
        <c:crosses val="autoZero"/>
        <c:auto val="1"/>
        <c:lblAlgn val="ctr"/>
        <c:lblOffset val="100"/>
        <c:noMultiLvlLbl val="0"/>
      </c:catAx>
      <c:valAx>
        <c:axId val="1407885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68859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Inputs!$B$21</c:f>
              <c:strCache>
                <c:ptCount val="1"/>
                <c:pt idx="0">
                  <c:v>Peso neto en kilogramos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0000FF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numRef>
              <c:f>Inputs!$C$6:$M$6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Inputs!$C$24:$M$24</c:f>
              <c:numCache>
                <c:formatCode>_-* #,##0_-;\-* #,##0_-;_-* "-"??_-;_-@_-</c:formatCode>
                <c:ptCount val="11"/>
                <c:pt idx="0">
                  <c:v>56070.71</c:v>
                </c:pt>
                <c:pt idx="1">
                  <c:v>122581.34</c:v>
                </c:pt>
                <c:pt idx="2">
                  <c:v>5462.11</c:v>
                </c:pt>
                <c:pt idx="3">
                  <c:v>542274.57999999996</c:v>
                </c:pt>
                <c:pt idx="4">
                  <c:v>1759581.37</c:v>
                </c:pt>
                <c:pt idx="5">
                  <c:v>5542969.5099999998</c:v>
                </c:pt>
                <c:pt idx="6">
                  <c:v>18200724.309999999</c:v>
                </c:pt>
                <c:pt idx="7">
                  <c:v>28487048.469999999</c:v>
                </c:pt>
                <c:pt idx="8">
                  <c:v>30008706.98</c:v>
                </c:pt>
                <c:pt idx="9">
                  <c:v>44570067.979999997</c:v>
                </c:pt>
                <c:pt idx="10">
                  <c:v>77190059.980000004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B-4502-B9A8-8D3F18576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0384943"/>
        <c:axId val="1515830271"/>
      </c:bar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Inputs!$B$60</c:f>
              <c:strCache>
                <c:ptCount val="1"/>
                <c:pt idx="0">
                  <c:v>Precio de Venta Real/Proyectado</c:v>
                </c:pt>
              </c:strCache>
            </c:strRef>
          </c:tx>
          <c:spPr>
            <a:ln w="19050" cap="rnd" cmpd="sng" algn="ctr">
              <a:gradFill>
                <a:gsLst>
                  <a:gs pos="84956">
                    <a:schemeClr val="tx1"/>
                  </a:gs>
                  <a:gs pos="62000">
                    <a:schemeClr val="tx1"/>
                  </a:gs>
                  <a:gs pos="59000">
                    <a:srgbClr val="0000FF"/>
                  </a:gs>
                </a:gsLst>
                <a:lin ang="5400000" scaled="1"/>
              </a:gra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Inputs!$C$59:$AC$59</c:f>
              <c:numCache>
                <c:formatCode>General</c:formatCode>
                <c:ptCount val="2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</c:numCache>
            </c:numRef>
          </c:cat>
          <c:val>
            <c:numRef>
              <c:f>Inputs!$C$60:$AC$60</c:f>
              <c:numCache>
                <c:formatCode>_-"$"\ * #,##0_-;\-"$"\ * #,##0_-;_-"$"\ * "-"??_-;_-@_-</c:formatCode>
                <c:ptCount val="27"/>
                <c:pt idx="0">
                  <c:v>4205.9509359324993</c:v>
                </c:pt>
                <c:pt idx="1">
                  <c:v>3595.7599490000002</c:v>
                </c:pt>
                <c:pt idx="2">
                  <c:v>4446.49723576</c:v>
                </c:pt>
                <c:pt idx="3">
                  <c:v>3877.5964282649993</c:v>
                </c:pt>
                <c:pt idx="4">
                  <c:v>3976.8219808649992</c:v>
                </c:pt>
                <c:pt idx="5">
                  <c:v>6448.3359826366686</c:v>
                </c:pt>
                <c:pt idx="6">
                  <c:v>5821.0673623199991</c:v>
                </c:pt>
                <c:pt idx="7">
                  <c:v>5523.2827056875003</c:v>
                </c:pt>
                <c:pt idx="8">
                  <c:v>6460.9815025933331</c:v>
                </c:pt>
                <c:pt idx="9">
                  <c:v>6429.7623091866681</c:v>
                </c:pt>
                <c:pt idx="10">
                  <c:v>7123.3762173349933</c:v>
                </c:pt>
                <c:pt idx="11">
                  <c:v>7550.7787903750932</c:v>
                </c:pt>
                <c:pt idx="12">
                  <c:v>7928.3177298938481</c:v>
                </c:pt>
                <c:pt idx="13">
                  <c:v>8245.4504390896018</c:v>
                </c:pt>
                <c:pt idx="14">
                  <c:v>8492.8139522622896</c:v>
                </c:pt>
                <c:pt idx="15">
                  <c:v>8747.5983708301592</c:v>
                </c:pt>
                <c:pt idx="16">
                  <c:v>9010.0263219550634</c:v>
                </c:pt>
                <c:pt idx="17">
                  <c:v>9280.3271116137148</c:v>
                </c:pt>
                <c:pt idx="18">
                  <c:v>9558.7369249621261</c:v>
                </c:pt>
                <c:pt idx="19">
                  <c:v>9845.4990327109899</c:v>
                </c:pt>
                <c:pt idx="20">
                  <c:v>10140.864003692321</c:v>
                </c:pt>
                <c:pt idx="21">
                  <c:v>10445.089923803091</c:v>
                </c:pt>
                <c:pt idx="22">
                  <c:v>10758.442621517184</c:v>
                </c:pt>
                <c:pt idx="23">
                  <c:v>11081.1959001627</c:v>
                </c:pt>
                <c:pt idx="24">
                  <c:v>11413.631777167582</c:v>
                </c:pt>
                <c:pt idx="25">
                  <c:v>11756.040730482609</c:v>
                </c:pt>
                <c:pt idx="26">
                  <c:v>12108.721952397089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C65-4FF0-8673-C3117F9D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510384943"/>
        <c:axId val="1515830271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numFmt formatCode="&quot;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PyG!$B$302</c:f>
              <c:strCache>
                <c:ptCount val="1"/>
                <c:pt idx="0">
                  <c:v>Devaluación Esperada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PyG!$C$1:$R$1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PyG!$C$302:$R$302</c:f>
              <c:numCache>
                <c:formatCode>0%</c:formatCode>
                <c:ptCount val="16"/>
                <c:pt idx="0">
                  <c:v>0.06</c:v>
                </c:pt>
                <c:pt idx="1">
                  <c:v>0.04</c:v>
                </c:pt>
                <c:pt idx="2">
                  <c:v>0.03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F4-41FE-9DF8-8C555F8023D4}"/>
            </c:ext>
          </c:extLst>
        </c:ser>
        <c:ser>
          <c:idx val="1"/>
          <c:order val="1"/>
          <c:tx>
            <c:strRef>
              <c:f>PyG!$B$303</c:f>
              <c:strCache>
                <c:ptCount val="1"/>
                <c:pt idx="0">
                  <c:v>Inflación Esperada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PyG!$C$303:$R$303</c:f>
              <c:numCache>
                <c:formatCode>0%</c:formatCode>
                <c:ptCount val="16"/>
                <c:pt idx="0">
                  <c:v>0.06</c:v>
                </c:pt>
                <c:pt idx="1">
                  <c:v>0.05</c:v>
                </c:pt>
                <c:pt idx="2">
                  <c:v>0.04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8F4-41FE-9DF8-8C555F8023D4}"/>
            </c:ext>
          </c:extLst>
        </c:ser>
        <c:ser>
          <c:idx val="2"/>
          <c:order val="2"/>
          <c:tx>
            <c:strRef>
              <c:f>DCF!$B$30</c:f>
              <c:strCache>
                <c:ptCount val="1"/>
                <c:pt idx="0">
                  <c:v>Tasa libre de Riesgo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DCF!$C$30:$R$30</c:f>
              <c:numCache>
                <c:formatCode>0.0%</c:formatCode>
                <c:ptCount val="16"/>
                <c:pt idx="0">
                  <c:v>1.5530543155795605E-2</c:v>
                </c:pt>
                <c:pt idx="1">
                  <c:v>1.5530543155795605E-2</c:v>
                </c:pt>
                <c:pt idx="2">
                  <c:v>1.5530543155795605E-2</c:v>
                </c:pt>
                <c:pt idx="3">
                  <c:v>1.5530543155795605E-2</c:v>
                </c:pt>
                <c:pt idx="4">
                  <c:v>1.5530543155795605E-2</c:v>
                </c:pt>
                <c:pt idx="5">
                  <c:v>1.5530543155795605E-2</c:v>
                </c:pt>
                <c:pt idx="6">
                  <c:v>1.5530543155795605E-2</c:v>
                </c:pt>
                <c:pt idx="7">
                  <c:v>1.5530543155795605E-2</c:v>
                </c:pt>
                <c:pt idx="8">
                  <c:v>1.5530543155795605E-2</c:v>
                </c:pt>
                <c:pt idx="9">
                  <c:v>1.5530543155795605E-2</c:v>
                </c:pt>
                <c:pt idx="10">
                  <c:v>1.5530543155795605E-2</c:v>
                </c:pt>
                <c:pt idx="11">
                  <c:v>1.7275452629829671E-2</c:v>
                </c:pt>
                <c:pt idx="12">
                  <c:v>1.9020362103863736E-2</c:v>
                </c:pt>
                <c:pt idx="13">
                  <c:v>2.0765271577897801E-2</c:v>
                </c:pt>
                <c:pt idx="14">
                  <c:v>2.2510181051931866E-2</c:v>
                </c:pt>
                <c:pt idx="15">
                  <c:v>2.4255090525965931E-2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8F4-41FE-9DF8-8C555F802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384943"/>
        <c:axId val="1515830271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41172718108969"/>
          <c:y val="5.4931314230709946E-2"/>
          <c:w val="0.7519355038431812"/>
          <c:h val="0.64282888797314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DCF!$B$57</c:f>
              <c:strCache>
                <c:ptCount val="1"/>
                <c:pt idx="0">
                  <c:v>Capital Invertido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DCF!$C$1:$S$1</c:f>
              <c:strCache>
                <c:ptCount val="1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TERMINAL</c:v>
                </c:pt>
              </c:strCache>
            </c:strRef>
          </c:cat>
          <c:val>
            <c:numRef>
              <c:f>DCF!$C$57:$S$57</c:f>
              <c:numCache>
                <c:formatCode>_-"$"\ * #,##0_-;\-"$"\ * #,##0_-;_-"$"\ * "-"??_-;_-@_-</c:formatCode>
                <c:ptCount val="17"/>
                <c:pt idx="0">
                  <c:v>44969.713150684933</c:v>
                </c:pt>
                <c:pt idx="1">
                  <c:v>44620.087808219178</c:v>
                </c:pt>
                <c:pt idx="2">
                  <c:v>44226.355857534247</c:v>
                </c:pt>
                <c:pt idx="3">
                  <c:v>47755.908162699016</c:v>
                </c:pt>
                <c:pt idx="4">
                  <c:v>49380.829189743439</c:v>
                </c:pt>
                <c:pt idx="5">
                  <c:v>50881.98604221901</c:v>
                </c:pt>
                <c:pt idx="6">
                  <c:v>52264.948534089635</c:v>
                </c:pt>
                <c:pt idx="7">
                  <c:v>57781.852858013095</c:v>
                </c:pt>
                <c:pt idx="8">
                  <c:v>57736.65928007965</c:v>
                </c:pt>
                <c:pt idx="9">
                  <c:v>57227.880197448656</c:v>
                </c:pt>
                <c:pt idx="10">
                  <c:v>56711.155060362769</c:v>
                </c:pt>
                <c:pt idx="11">
                  <c:v>56186.983186425059</c:v>
                </c:pt>
                <c:pt idx="12">
                  <c:v>56383.211600889626</c:v>
                </c:pt>
                <c:pt idx="13">
                  <c:v>55498.255027731706</c:v>
                </c:pt>
                <c:pt idx="14">
                  <c:v>54627.08145479596</c:v>
                </c:pt>
                <c:pt idx="15">
                  <c:v>53257.812774135731</c:v>
                </c:pt>
                <c:pt idx="16">
                  <c:v>54044.424050178175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B-471F-A91A-734C8A426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0384943"/>
        <c:axId val="1515830271"/>
      </c:barChart>
      <c:lineChart>
        <c:grouping val="standard"/>
        <c:varyColors val="0"/>
        <c:ser>
          <c:idx val="1"/>
          <c:order val="1"/>
          <c:tx>
            <c:strRef>
              <c:f>DCF!$B$58</c:f>
              <c:strCache>
                <c:ptCount val="1"/>
                <c:pt idx="0">
                  <c:v>ROIC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DCF!$C$1:$S$1</c:f>
              <c:strCache>
                <c:ptCount val="1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TERMINAL</c:v>
                </c:pt>
              </c:strCache>
            </c:strRef>
          </c:cat>
          <c:val>
            <c:numRef>
              <c:f>DCF!$C$58:$S$58</c:f>
              <c:numCache>
                <c:formatCode>0.0%</c:formatCode>
                <c:ptCount val="17"/>
                <c:pt idx="0">
                  <c:v>-0.13170864533099183</c:v>
                </c:pt>
                <c:pt idx="1">
                  <c:v>-0.13893596594083935</c:v>
                </c:pt>
                <c:pt idx="2">
                  <c:v>-0.14299434528071447</c:v>
                </c:pt>
                <c:pt idx="3">
                  <c:v>0.17925704840889706</c:v>
                </c:pt>
                <c:pt idx="4">
                  <c:v>0.2798152791877665</c:v>
                </c:pt>
                <c:pt idx="5">
                  <c:v>0.36832735988674192</c:v>
                </c:pt>
                <c:pt idx="6">
                  <c:v>0.4466978661765264</c:v>
                </c:pt>
                <c:pt idx="7">
                  <c:v>0.67566147185707148</c:v>
                </c:pt>
                <c:pt idx="8">
                  <c:v>0.6895531949387953</c:v>
                </c:pt>
                <c:pt idx="9">
                  <c:v>0.68741008416573968</c:v>
                </c:pt>
                <c:pt idx="10">
                  <c:v>0.68492439228352542</c:v>
                </c:pt>
                <c:pt idx="11">
                  <c:v>0.68210265744415677</c:v>
                </c:pt>
                <c:pt idx="12">
                  <c:v>0.70480013115803208</c:v>
                </c:pt>
                <c:pt idx="13">
                  <c:v>0.68921965106855643</c:v>
                </c:pt>
                <c:pt idx="14">
                  <c:v>0.67361293276867018</c:v>
                </c:pt>
                <c:pt idx="15">
                  <c:v>0.6385295753911836</c:v>
                </c:pt>
                <c:pt idx="16">
                  <c:v>0.43664204301144482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AB-471F-A91A-734C8A426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373215"/>
        <c:axId val="1809713503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&quot;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valAx>
        <c:axId val="1809713503"/>
        <c:scaling>
          <c:orientation val="minMax"/>
          <c:max val="1"/>
          <c:min val="-0.2"/>
        </c:scaling>
        <c:delete val="0"/>
        <c:axPos val="r"/>
        <c:numFmt formatCode="0%" sourceLinked="0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2373215"/>
        <c:crosses val="max"/>
        <c:crossBetween val="between"/>
      </c:valAx>
      <c:catAx>
        <c:axId val="1372373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9713503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41172718108969"/>
          <c:y val="5.4931314230709946E-2"/>
          <c:w val="0.7519355038431812"/>
          <c:h val="0.64282888797314852"/>
        </c:manualLayout>
      </c:layout>
      <c:lineChart>
        <c:grouping val="standard"/>
        <c:varyColors val="0"/>
        <c:ser>
          <c:idx val="0"/>
          <c:order val="0"/>
          <c:tx>
            <c:v>Costo de Capital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DCF!$C$1:$S$1</c:f>
              <c:strCache>
                <c:ptCount val="1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TERMINAL</c:v>
                </c:pt>
              </c:strCache>
            </c:strRef>
          </c:cat>
          <c:val>
            <c:numRef>
              <c:f>DCF!$C$22:$S$22</c:f>
              <c:numCache>
                <c:formatCode>0.0%</c:formatCode>
                <c:ptCount val="17"/>
                <c:pt idx="0">
                  <c:v>9.5682336859866407E-2</c:v>
                </c:pt>
                <c:pt idx="1">
                  <c:v>8.1783776052417823E-2</c:v>
                </c:pt>
                <c:pt idx="2">
                  <c:v>6.6869286215207338E-2</c:v>
                </c:pt>
                <c:pt idx="3">
                  <c:v>4.8454192955290402E-2</c:v>
                </c:pt>
                <c:pt idx="4">
                  <c:v>3.8430524519282812E-2</c:v>
                </c:pt>
                <c:pt idx="5">
                  <c:v>3.2647857854074744E-2</c:v>
                </c:pt>
                <c:pt idx="6">
                  <c:v>2.8949446127210173E-2</c:v>
                </c:pt>
                <c:pt idx="7">
                  <c:v>2.7757250676735248E-2</c:v>
                </c:pt>
                <c:pt idx="8">
                  <c:v>2.5875784185610613E-2</c:v>
                </c:pt>
                <c:pt idx="9">
                  <c:v>2.4413724248127711E-2</c:v>
                </c:pt>
                <c:pt idx="10">
                  <c:v>2.3288619513216861E-2</c:v>
                </c:pt>
                <c:pt idx="11">
                  <c:v>2.4141214872097101E-2</c:v>
                </c:pt>
                <c:pt idx="12">
                  <c:v>2.5214154388720208E-2</c:v>
                </c:pt>
                <c:pt idx="13">
                  <c:v>2.6310859699514317E-2</c:v>
                </c:pt>
                <c:pt idx="14">
                  <c:v>2.7521789470970538E-2</c:v>
                </c:pt>
                <c:pt idx="15">
                  <c:v>2.8786905434859116E-2</c:v>
                </c:pt>
                <c:pt idx="16">
                  <c:v>3.053181490889318E-2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94F-4F2E-84D2-BFE39821ECA3}"/>
            </c:ext>
          </c:extLst>
        </c:ser>
        <c:ser>
          <c:idx val="1"/>
          <c:order val="1"/>
          <c:tx>
            <c:strRef>
              <c:f>DCF!$B$58</c:f>
              <c:strCache>
                <c:ptCount val="1"/>
                <c:pt idx="0">
                  <c:v>ROIC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DCF!$C$1:$S$1</c:f>
              <c:strCache>
                <c:ptCount val="1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TERMINAL</c:v>
                </c:pt>
              </c:strCache>
            </c:strRef>
          </c:cat>
          <c:val>
            <c:numRef>
              <c:f>DCF!$C$58:$S$58</c:f>
              <c:numCache>
                <c:formatCode>0.0%</c:formatCode>
                <c:ptCount val="17"/>
                <c:pt idx="0">
                  <c:v>-0.13170864533099183</c:v>
                </c:pt>
                <c:pt idx="1">
                  <c:v>-0.13893596594083935</c:v>
                </c:pt>
                <c:pt idx="2">
                  <c:v>-0.14299434528071447</c:v>
                </c:pt>
                <c:pt idx="3">
                  <c:v>0.17925704840889706</c:v>
                </c:pt>
                <c:pt idx="4">
                  <c:v>0.2798152791877665</c:v>
                </c:pt>
                <c:pt idx="5">
                  <c:v>0.36832735988674192</c:v>
                </c:pt>
                <c:pt idx="6">
                  <c:v>0.4466978661765264</c:v>
                </c:pt>
                <c:pt idx="7">
                  <c:v>0.67566147185707148</c:v>
                </c:pt>
                <c:pt idx="8">
                  <c:v>0.6895531949387953</c:v>
                </c:pt>
                <c:pt idx="9">
                  <c:v>0.68741008416573968</c:v>
                </c:pt>
                <c:pt idx="10">
                  <c:v>0.68492439228352542</c:v>
                </c:pt>
                <c:pt idx="11">
                  <c:v>0.68210265744415677</c:v>
                </c:pt>
                <c:pt idx="12">
                  <c:v>0.70480013115803208</c:v>
                </c:pt>
                <c:pt idx="13">
                  <c:v>0.68921965106855643</c:v>
                </c:pt>
                <c:pt idx="14">
                  <c:v>0.67361293276867018</c:v>
                </c:pt>
                <c:pt idx="15">
                  <c:v>0.6385295753911836</c:v>
                </c:pt>
                <c:pt idx="16">
                  <c:v>0.43664204301144482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94F-4F2E-84D2-BFE39821E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384943"/>
        <c:axId val="1515830271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67431499964183E-2"/>
          <c:y val="5.4931314230709946E-2"/>
          <c:w val="0.81377979952430668"/>
          <c:h val="0.64282888797314852"/>
        </c:manualLayout>
      </c:layout>
      <c:lineChart>
        <c:grouping val="standard"/>
        <c:varyColors val="0"/>
        <c:ser>
          <c:idx val="0"/>
          <c:order val="0"/>
          <c:tx>
            <c:strRef>
              <c:f>Presentación!$B$34</c:f>
              <c:strCache>
                <c:ptCount val="1"/>
                <c:pt idx="0">
                  <c:v>Margen Bruto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Presentación!$C$1:$R$1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Presentación!$C$34:$R$34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0.74999999999999989</c:v>
                </c:pt>
                <c:pt idx="8">
                  <c:v>0.75</c:v>
                </c:pt>
                <c:pt idx="9">
                  <c:v>0.74999999999999989</c:v>
                </c:pt>
                <c:pt idx="10">
                  <c:v>0.75</c:v>
                </c:pt>
                <c:pt idx="11">
                  <c:v>0.75</c:v>
                </c:pt>
                <c:pt idx="12">
                  <c:v>0.75</c:v>
                </c:pt>
                <c:pt idx="13">
                  <c:v>0.75</c:v>
                </c:pt>
                <c:pt idx="14">
                  <c:v>0.75</c:v>
                </c:pt>
                <c:pt idx="15">
                  <c:v>0.75000000000000011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36C-48A8-B0A7-B70399A64F26}"/>
            </c:ext>
          </c:extLst>
        </c:ser>
        <c:ser>
          <c:idx val="3"/>
          <c:order val="2"/>
          <c:tx>
            <c:strRef>
              <c:f>Presentación!$B$37</c:f>
              <c:strCache>
                <c:ptCount val="1"/>
                <c:pt idx="0">
                  <c:v>Margen EBITDA</c:v>
                </c:pt>
              </c:strCache>
            </c:strRef>
          </c:tx>
          <c:spPr>
            <a:ln w="19050" cap="rnd">
              <a:solidFill>
                <a:srgbClr val="507BC8"/>
              </a:solidFill>
              <a:round/>
            </a:ln>
            <a:effectLst/>
          </c:spPr>
          <c:marker>
            <c:symbol val="none"/>
          </c:marker>
          <c:val>
            <c:numRef>
              <c:f>Presentación!$C$37:$R$37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0.49478889261826803</c:v>
                </c:pt>
                <c:pt idx="4">
                  <c:v>0.55369825105839787</c:v>
                </c:pt>
                <c:pt idx="5">
                  <c:v>0.58390967524851367</c:v>
                </c:pt>
                <c:pt idx="6">
                  <c:v>0.60206574319351236</c:v>
                </c:pt>
                <c:pt idx="7">
                  <c:v>0.63896946580637715</c:v>
                </c:pt>
                <c:pt idx="8">
                  <c:v>0.63831584716752465</c:v>
                </c:pt>
                <c:pt idx="9">
                  <c:v>0.63560301631993321</c:v>
                </c:pt>
                <c:pt idx="10">
                  <c:v>0.63275036992521361</c:v>
                </c:pt>
                <c:pt idx="11">
                  <c:v>0.62975145674003108</c:v>
                </c:pt>
                <c:pt idx="12">
                  <c:v>0.63019874564854783</c:v>
                </c:pt>
                <c:pt idx="13">
                  <c:v>0.62530218584685748</c:v>
                </c:pt>
                <c:pt idx="14">
                  <c:v>0.62010629227421421</c:v>
                </c:pt>
                <c:pt idx="15">
                  <c:v>0.61131680850648507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36C-48A8-B0A7-B70399A64F26}"/>
            </c:ext>
          </c:extLst>
        </c:ser>
        <c:ser>
          <c:idx val="2"/>
          <c:order val="3"/>
          <c:tx>
            <c:strRef>
              <c:f>Presentación!$B$36</c:f>
              <c:strCache>
                <c:ptCount val="1"/>
                <c:pt idx="0">
                  <c:v>Margen Neto</c:v>
                </c:pt>
              </c:strCache>
            </c:strRef>
          </c:tx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Presentación!$C$36:$R$36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0.48505701312559857</c:v>
                </c:pt>
                <c:pt idx="4">
                  <c:v>0.57161049400126074</c:v>
                </c:pt>
                <c:pt idx="5">
                  <c:v>0.62074697944242541</c:v>
                </c:pt>
                <c:pt idx="6">
                  <c:v>0.65452152754016013</c:v>
                </c:pt>
                <c:pt idx="7">
                  <c:v>0.68587944954005053</c:v>
                </c:pt>
                <c:pt idx="8">
                  <c:v>0.69710124187248867</c:v>
                </c:pt>
                <c:pt idx="9">
                  <c:v>0.70903921751932908</c:v>
                </c:pt>
                <c:pt idx="10">
                  <c:v>0.72130772738614513</c:v>
                </c:pt>
                <c:pt idx="11">
                  <c:v>0.73384987831213944</c:v>
                </c:pt>
                <c:pt idx="12">
                  <c:v>0.7452913040858683</c:v>
                </c:pt>
                <c:pt idx="13">
                  <c:v>0.75928295448742245</c:v>
                </c:pt>
                <c:pt idx="14">
                  <c:v>0.77402145432451852</c:v>
                </c:pt>
                <c:pt idx="15">
                  <c:v>0.79192689064994859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36C-48A8-B0A7-B70399A64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384943"/>
        <c:axId val="1515830271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Presentación!$B$35</c15:sqref>
                        </c15:formulaRef>
                      </c:ext>
                    </c:extLst>
                    <c:strCache>
                      <c:ptCount val="1"/>
                      <c:pt idx="0">
                        <c:v>Margen Operacional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Presentación!$C$35:$R$35</c15:sqref>
                        </c15:formulaRef>
                      </c:ext>
                    </c:extLst>
                    <c:numCache>
                      <c:formatCode>0.0%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0.47300770837385381</c:v>
                      </c:pt>
                      <c:pt idx="4">
                        <c:v>0.53833994141149022</c:v>
                      </c:pt>
                      <c:pt idx="5">
                        <c:v>0.57188082494120673</c:v>
                      </c:pt>
                      <c:pt idx="6">
                        <c:v>0.59206886413995219</c:v>
                      </c:pt>
                      <c:pt idx="7">
                        <c:v>0.63258222943205245</c:v>
                      </c:pt>
                      <c:pt idx="8">
                        <c:v>0.63205758373697507</c:v>
                      </c:pt>
                      <c:pt idx="9">
                        <c:v>0.62929709153508251</c:v>
                      </c:pt>
                      <c:pt idx="10">
                        <c:v>0.62639336362344789</c:v>
                      </c:pt>
                      <c:pt idx="11">
                        <c:v>0.6233400081194217</c:v>
                      </c:pt>
                      <c:pt idx="12">
                        <c:v>0.62400873349127017</c:v>
                      </c:pt>
                      <c:pt idx="13">
                        <c:v>0.61892371225474918</c:v>
                      </c:pt>
                      <c:pt idx="14">
                        <c:v>0.61353370096388948</c:v>
                      </c:pt>
                      <c:pt idx="15">
                        <c:v>0.60431172532747535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B36C-48A8-B0A7-B70399A64F26}"/>
                  </c:ext>
                </c:extLst>
              </c15:ser>
            </c15:filteredLineSeries>
          </c:ext>
        </c:extLst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37042970770863E-2"/>
          <c:y val="0.86391897375565063"/>
          <c:w val="0.90979011200843707"/>
          <c:h val="0.106118491209416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67431499964183E-2"/>
          <c:y val="5.4931314230709946E-2"/>
          <c:w val="0.81377979952430668"/>
          <c:h val="0.64282888797314852"/>
        </c:manualLayout>
      </c:layout>
      <c:lineChart>
        <c:grouping val="standard"/>
        <c:varyColors val="0"/>
        <c:ser>
          <c:idx val="0"/>
          <c:order val="0"/>
          <c:tx>
            <c:strRef>
              <c:f>Presentación!$B$49</c:f>
              <c:strCache>
                <c:ptCount val="1"/>
                <c:pt idx="0">
                  <c:v>ROA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Presentación!$C$1:$R$1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Presentación!$C$49:$R$49</c:f>
              <c:numCache>
                <c:formatCode>0.0%</c:formatCode>
                <c:ptCount val="16"/>
                <c:pt idx="0">
                  <c:v>-0.14914066482311578</c:v>
                </c:pt>
                <c:pt idx="1">
                  <c:v>-0.16689276651097526</c:v>
                </c:pt>
                <c:pt idx="2">
                  <c:v>-0.15160847799584509</c:v>
                </c:pt>
                <c:pt idx="3">
                  <c:v>0.11827730623349399</c:v>
                </c:pt>
                <c:pt idx="4">
                  <c:v>0.1329316603688184</c:v>
                </c:pt>
                <c:pt idx="5">
                  <c:v>0.13366877968793414</c:v>
                </c:pt>
                <c:pt idx="6">
                  <c:v>0.12938824215672018</c:v>
                </c:pt>
                <c:pt idx="7">
                  <c:v>0.17499929426310695</c:v>
                </c:pt>
                <c:pt idx="8">
                  <c:v>0.15361919012751127</c:v>
                </c:pt>
                <c:pt idx="9">
                  <c:v>0.13423773499240818</c:v>
                </c:pt>
                <c:pt idx="10">
                  <c:v>0.11929153818109522</c:v>
                </c:pt>
                <c:pt idx="11">
                  <c:v>0.10740128460184706</c:v>
                </c:pt>
                <c:pt idx="12">
                  <c:v>0.10150035106680742</c:v>
                </c:pt>
                <c:pt idx="13">
                  <c:v>9.1192892537606693E-2</c:v>
                </c:pt>
                <c:pt idx="14">
                  <c:v>8.2746733646382603E-2</c:v>
                </c:pt>
                <c:pt idx="15">
                  <c:v>7.3584805698904091E-2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4E-4A51-B84F-79B0DCECDDC4}"/>
            </c:ext>
          </c:extLst>
        </c:ser>
        <c:ser>
          <c:idx val="1"/>
          <c:order val="1"/>
          <c:tx>
            <c:strRef>
              <c:f>Presentación!$B$50</c:f>
              <c:strCache>
                <c:ptCount val="1"/>
                <c:pt idx="0">
                  <c:v>ROE %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Presentación!$C$1:$R$1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Presentación!$C$50:$R$50</c:f>
              <c:numCache>
                <c:formatCode>0.0%</c:formatCode>
                <c:ptCount val="16"/>
                <c:pt idx="0">
                  <c:v>-0.46827229710271284</c:v>
                </c:pt>
                <c:pt idx="1">
                  <c:v>-0.26722869419088763</c:v>
                </c:pt>
                <c:pt idx="2">
                  <c:v>-0.15918763099499236</c:v>
                </c:pt>
                <c:pt idx="3">
                  <c:v>0.11990087406125043</c:v>
                </c:pt>
                <c:pt idx="4">
                  <c:v>0.1342115264018312</c:v>
                </c:pt>
                <c:pt idx="5">
                  <c:v>0.13464168776898847</c:v>
                </c:pt>
                <c:pt idx="6">
                  <c:v>0.13013634118253653</c:v>
                </c:pt>
                <c:pt idx="7">
                  <c:v>0.17589598520049171</c:v>
                </c:pt>
                <c:pt idx="8">
                  <c:v>0.15430407007473471</c:v>
                </c:pt>
                <c:pt idx="9">
                  <c:v>0.134768704992659</c:v>
                </c:pt>
                <c:pt idx="10">
                  <c:v>0.11971748942784845</c:v>
                </c:pt>
                <c:pt idx="11">
                  <c:v>0.10775221282100897</c:v>
                </c:pt>
                <c:pt idx="12">
                  <c:v>0.10180736120649128</c:v>
                </c:pt>
                <c:pt idx="13">
                  <c:v>9.1449357238163387E-2</c:v>
                </c:pt>
                <c:pt idx="14">
                  <c:v>8.2965198508705984E-2</c:v>
                </c:pt>
                <c:pt idx="15">
                  <c:v>7.3768495910296938E-2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04E-4A51-B84F-79B0DCECD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384943"/>
        <c:axId val="1515830271"/>
        <c:extLst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88066787201594"/>
          <c:y val="0.86391897375565063"/>
          <c:w val="0.5475592373047018"/>
          <c:h val="0.106118491209416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67431499964183E-2"/>
          <c:y val="5.4931314230709946E-2"/>
          <c:w val="0.81377979952430668"/>
          <c:h val="0.6428288879731485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DCF!$B$79</c:f>
              <c:strCache>
                <c:ptCount val="1"/>
                <c:pt idx="0">
                  <c:v>Valor Unidad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DCF!$C$1:$R$1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DCF!$C$79:$R$79</c:f>
              <c:numCache>
                <c:formatCode>_-"$"\ * #,##0_-;\-"$"\ * #,##0_-;_-"$"\ * "-"??_-;_-@_-</c:formatCode>
                <c:ptCount val="16"/>
                <c:pt idx="0">
                  <c:v>776.02533839046134</c:v>
                </c:pt>
                <c:pt idx="1">
                  <c:v>2083.018560483893</c:v>
                </c:pt>
                <c:pt idx="2">
                  <c:v>3616.2249171228586</c:v>
                </c:pt>
                <c:pt idx="3">
                  <c:v>8199.4581572539009</c:v>
                </c:pt>
                <c:pt idx="4">
                  <c:v>12398.742330675386</c:v>
                </c:pt>
                <c:pt idx="5">
                  <c:v>17142.97940697446</c:v>
                </c:pt>
                <c:pt idx="6">
                  <c:v>22413.432193501147</c:v>
                </c:pt>
                <c:pt idx="7">
                  <c:v>28298.564312920429</c:v>
                </c:pt>
                <c:pt idx="8">
                  <c:v>32847.436497608571</c:v>
                </c:pt>
                <c:pt idx="9">
                  <c:v>37321.267572961151</c:v>
                </c:pt>
                <c:pt idx="10">
                  <c:v>41834.581016586162</c:v>
                </c:pt>
                <c:pt idx="11">
                  <c:v>46385.699346485686</c:v>
                </c:pt>
                <c:pt idx="12">
                  <c:v>51366.226283215408</c:v>
                </c:pt>
                <c:pt idx="13">
                  <c:v>56004.953441880032</c:v>
                </c:pt>
                <c:pt idx="14">
                  <c:v>60597.057255476073</c:v>
                </c:pt>
                <c:pt idx="15">
                  <c:v>64867.646703743543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1A-41B0-8A85-9C8E33C9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9881055"/>
        <c:axId val="1370011279"/>
      </c:barChart>
      <c:lineChart>
        <c:grouping val="standard"/>
        <c:varyColors val="0"/>
        <c:ser>
          <c:idx val="0"/>
          <c:order val="1"/>
          <c:tx>
            <c:strRef>
              <c:f>DCF!$B$76</c:f>
              <c:strCache>
                <c:ptCount val="1"/>
                <c:pt idx="0">
                  <c:v>NAV - FCP Valuation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DCF!$C$1:$R$1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DCF!$C$76:$R$76</c:f>
              <c:numCache>
                <c:formatCode>"$"\ #,##0</c:formatCode>
                <c:ptCount val="16"/>
                <c:pt idx="0">
                  <c:v>7760.2533839046137</c:v>
                </c:pt>
                <c:pt idx="1">
                  <c:v>20830.185604838931</c:v>
                </c:pt>
                <c:pt idx="2">
                  <c:v>36162.249171228585</c:v>
                </c:pt>
                <c:pt idx="3">
                  <c:v>81994.581572538998</c:v>
                </c:pt>
                <c:pt idx="4">
                  <c:v>123987.42330675386</c:v>
                </c:pt>
                <c:pt idx="5">
                  <c:v>171429.79406974459</c:v>
                </c:pt>
                <c:pt idx="6">
                  <c:v>224134.32193501148</c:v>
                </c:pt>
                <c:pt idx="7">
                  <c:v>282985.64312920428</c:v>
                </c:pt>
                <c:pt idx="8">
                  <c:v>328474.36497608566</c:v>
                </c:pt>
                <c:pt idx="9">
                  <c:v>373212.67572961154</c:v>
                </c:pt>
                <c:pt idx="10">
                  <c:v>418345.81016586162</c:v>
                </c:pt>
                <c:pt idx="11">
                  <c:v>463856.99346485687</c:v>
                </c:pt>
                <c:pt idx="12">
                  <c:v>513662.26283215405</c:v>
                </c:pt>
                <c:pt idx="13">
                  <c:v>560049.53441880026</c:v>
                </c:pt>
                <c:pt idx="14">
                  <c:v>605970.57255476073</c:v>
                </c:pt>
                <c:pt idx="15">
                  <c:v>648676.46703743539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71A-41B0-8A85-9C8E33C9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384943"/>
        <c:axId val="1515830271"/>
      </c:lineChart>
      <c:catAx>
        <c:axId val="151038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830271"/>
        <c:crosses val="autoZero"/>
        <c:auto val="1"/>
        <c:lblAlgn val="ctr"/>
        <c:lblOffset val="100"/>
        <c:noMultiLvlLbl val="0"/>
      </c:catAx>
      <c:valAx>
        <c:axId val="151583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&quot;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FF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0384943"/>
        <c:crosses val="autoZero"/>
        <c:crossBetween val="between"/>
      </c:valAx>
      <c:valAx>
        <c:axId val="1370011279"/>
        <c:scaling>
          <c:orientation val="minMax"/>
        </c:scaling>
        <c:delete val="0"/>
        <c:axPos val="r"/>
        <c:numFmt formatCode="&quot;$&quot;\ 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9881055"/>
        <c:crosses val="max"/>
        <c:crossBetween val="between"/>
      </c:valAx>
      <c:catAx>
        <c:axId val="13198810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0011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37042970770863E-2"/>
          <c:y val="0.86391897375565063"/>
          <c:w val="0.87435660019158512"/>
          <c:h val="8.42702195994300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7939</xdr:colOff>
      <xdr:row>3</xdr:row>
      <xdr:rowOff>47624</xdr:rowOff>
    </xdr:from>
    <xdr:to>
      <xdr:col>2</xdr:col>
      <xdr:colOff>214314</xdr:colOff>
      <xdr:row>7</xdr:row>
      <xdr:rowOff>127588</xdr:rowOff>
    </xdr:to>
    <xdr:pic>
      <xdr:nvPicPr>
        <xdr:cNvPr id="3" name="Imagen 2" descr="Inspira Crea Transforma - EAFIT - Universidad EAFIT">
          <a:extLst>
            <a:ext uri="{FF2B5EF4-FFF2-40B4-BE49-F238E27FC236}">
              <a16:creationId xmlns:a16="http://schemas.microsoft.com/office/drawing/2014/main" id="{2CF2807B-EAB5-47AE-B764-CB979854ED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62" t="18488" r="20087" b="10504"/>
        <a:stretch/>
      </xdr:blipFill>
      <xdr:spPr bwMode="auto">
        <a:xfrm>
          <a:off x="754064" y="595312"/>
          <a:ext cx="1682750" cy="810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211931</xdr:colOff>
      <xdr:row>2</xdr:row>
      <xdr:rowOff>100012</xdr:rowOff>
    </xdr:from>
    <xdr:to>
      <xdr:col>6</xdr:col>
      <xdr:colOff>714374</xdr:colOff>
      <xdr:row>15</xdr:row>
      <xdr:rowOff>166688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69ECC1-E16E-4B30-9468-962A1B9B3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250032</xdr:colOff>
      <xdr:row>34</xdr:row>
      <xdr:rowOff>142875</xdr:rowOff>
    </xdr:from>
    <xdr:to>
      <xdr:col>6</xdr:col>
      <xdr:colOff>752475</xdr:colOff>
      <xdr:row>48</xdr:row>
      <xdr:rowOff>19051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823E60-95B8-4BD2-B950-306D3352C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202406</xdr:colOff>
      <xdr:row>2</xdr:row>
      <xdr:rowOff>107155</xdr:rowOff>
    </xdr:from>
    <xdr:to>
      <xdr:col>13</xdr:col>
      <xdr:colOff>704849</xdr:colOff>
      <xdr:row>15</xdr:row>
      <xdr:rowOff>173831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434C880-4BC3-43A4-B73D-DC3015D36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250032</xdr:colOff>
      <xdr:row>34</xdr:row>
      <xdr:rowOff>142875</xdr:rowOff>
    </xdr:from>
    <xdr:to>
      <xdr:col>13</xdr:col>
      <xdr:colOff>752475</xdr:colOff>
      <xdr:row>48</xdr:row>
      <xdr:rowOff>19051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67D8D9B-DBDF-4596-BB46-71ECC9DF7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190500</xdr:colOff>
      <xdr:row>51</xdr:row>
      <xdr:rowOff>83344</xdr:rowOff>
    </xdr:from>
    <xdr:to>
      <xdr:col>6</xdr:col>
      <xdr:colOff>692943</xdr:colOff>
      <xdr:row>64</xdr:row>
      <xdr:rowOff>150020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C5FDBB0-B4C6-4801-9BAB-FCDBA68EE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190500</xdr:colOff>
      <xdr:row>51</xdr:row>
      <xdr:rowOff>83344</xdr:rowOff>
    </xdr:from>
    <xdr:to>
      <xdr:col>13</xdr:col>
      <xdr:colOff>692943</xdr:colOff>
      <xdr:row>64</xdr:row>
      <xdr:rowOff>150020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22AA282-FAE8-4E04-9E7B-EF55AA7B0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166689</xdr:colOff>
      <xdr:row>67</xdr:row>
      <xdr:rowOff>107156</xdr:rowOff>
    </xdr:from>
    <xdr:to>
      <xdr:col>6</xdr:col>
      <xdr:colOff>669132</xdr:colOff>
      <xdr:row>80</xdr:row>
      <xdr:rowOff>173832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26364E8-831D-40CA-82C8-1BAE4C41D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190500</xdr:colOff>
      <xdr:row>67</xdr:row>
      <xdr:rowOff>119063</xdr:rowOff>
    </xdr:from>
    <xdr:to>
      <xdr:col>13</xdr:col>
      <xdr:colOff>692943</xdr:colOff>
      <xdr:row>80</xdr:row>
      <xdr:rowOff>185739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0529855-C649-4F6C-BDBF-B2FF4D71B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154782</xdr:colOff>
      <xdr:row>83</xdr:row>
      <xdr:rowOff>166687</xdr:rowOff>
    </xdr:from>
    <xdr:to>
      <xdr:col>6</xdr:col>
      <xdr:colOff>657225</xdr:colOff>
      <xdr:row>97</xdr:row>
      <xdr:rowOff>42863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8831F7F-A0B1-4A78-A9BE-EC6730CFB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142875</xdr:colOff>
      <xdr:row>84</xdr:row>
      <xdr:rowOff>47625</xdr:rowOff>
    </xdr:from>
    <xdr:to>
      <xdr:col>13</xdr:col>
      <xdr:colOff>645318</xdr:colOff>
      <xdr:row>97</xdr:row>
      <xdr:rowOff>114301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B705C55-8735-453D-9C13-90CA1D70F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214313</xdr:colOff>
      <xdr:row>18</xdr:row>
      <xdr:rowOff>166688</xdr:rowOff>
    </xdr:from>
    <xdr:to>
      <xdr:col>6</xdr:col>
      <xdr:colOff>716756</xdr:colOff>
      <xdr:row>32</xdr:row>
      <xdr:rowOff>42864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1721F96E-DE82-4916-ABB4-71EFB031F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214313</xdr:colOff>
      <xdr:row>18</xdr:row>
      <xdr:rowOff>166688</xdr:rowOff>
    </xdr:from>
    <xdr:to>
      <xdr:col>13</xdr:col>
      <xdr:colOff>716756</xdr:colOff>
      <xdr:row>32</xdr:row>
      <xdr:rowOff>42864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8DBA780-DA9B-42FB-A53F-9DF5941D4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154782</xdr:colOff>
      <xdr:row>100</xdr:row>
      <xdr:rowOff>166687</xdr:rowOff>
    </xdr:from>
    <xdr:to>
      <xdr:col>6</xdr:col>
      <xdr:colOff>657225</xdr:colOff>
      <xdr:row>114</xdr:row>
      <xdr:rowOff>42863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1F34B60-0940-4EA4-A645-99A0147AF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154782</xdr:colOff>
      <xdr:row>100</xdr:row>
      <xdr:rowOff>166687</xdr:rowOff>
    </xdr:from>
    <xdr:to>
      <xdr:col>13</xdr:col>
      <xdr:colOff>657225</xdr:colOff>
      <xdr:row>114</xdr:row>
      <xdr:rowOff>42863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54A3DC64-7286-4AD3-8EA3-8EBD7446C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154782</xdr:colOff>
      <xdr:row>116</xdr:row>
      <xdr:rowOff>166687</xdr:rowOff>
    </xdr:from>
    <xdr:to>
      <xdr:col>6</xdr:col>
      <xdr:colOff>657225</xdr:colOff>
      <xdr:row>130</xdr:row>
      <xdr:rowOff>42863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1A644F3A-4979-4B3D-B8B4-35FC082F3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130969</xdr:colOff>
      <xdr:row>116</xdr:row>
      <xdr:rowOff>130969</xdr:rowOff>
    </xdr:from>
    <xdr:to>
      <xdr:col>13</xdr:col>
      <xdr:colOff>633769</xdr:colOff>
      <xdr:row>130</xdr:row>
      <xdr:rowOff>5569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70616CC7-C5BB-4542-99E1-E8D758DE2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0</xdr:col>
      <xdr:colOff>266700</xdr:colOff>
      <xdr:row>2</xdr:row>
      <xdr:rowOff>14287</xdr:rowOff>
    </xdr:to>
    <xdr:pic>
      <xdr:nvPicPr>
        <xdr:cNvPr id="3" name="Gráfico 2" descr="Portapapeles con relleno sólido">
          <a:extLst>
            <a:ext uri="{FF2B5EF4-FFF2-40B4-BE49-F238E27FC236}">
              <a16:creationId xmlns:a16="http://schemas.microsoft.com/office/drawing/2014/main" id="{A5F8BDC2-882E-40AE-942D-FEA67D66B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71450"/>
          <a:ext cx="26670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central.gov.do/a/d/2585-entorno-internacional" TargetMode="External"/><Relationship Id="rId3" Type="http://schemas.openxmlformats.org/officeDocument/2006/relationships/hyperlink" Target="https://expeditiorepositorio.utadeo.edu.co/bitstream/handle/20.500.12010/3711/Implementacion%20modelo%20contable%20y%20financiero%20bajo%20NIIF%20para%20Pymes%20para%20cultivo%20de%20palma%20africana.pdf?sequence=1&amp;isAllowed=y" TargetMode="External"/><Relationship Id="rId7" Type="http://schemas.openxmlformats.org/officeDocument/2006/relationships/hyperlink" Target="https://pages.stern.nyu.edu/~adamodar/" TargetMode="External"/><Relationship Id="rId2" Type="http://schemas.openxmlformats.org/officeDocument/2006/relationships/hyperlink" Target="https://totoro.banrep.gov.co/analytics/saw.dll?Go&amp;NQUser=publico&amp;NQPassword=publico123&amp;Action=prompt&amp;path=%2Fshared%2FSeries%20Estad%C3%ADsticas_T%2F1.%20Tasa%20de%20Cambio%20Peso%20Colombiano%2F1.1%20TRM%20-%20Disponible%20desde%20el%2027%20de%20noviembre%20de%201991%2F1.1.12.TCM_Serie%20historica%20promedio%20mensual&amp;Options=rdf" TargetMode="External"/><Relationship Id="rId1" Type="http://schemas.openxmlformats.org/officeDocument/2006/relationships/hyperlink" Target="https://www.agronet.gov.co/Lists/Boletin/Attachments/687/EC%20Aguacate%20variedad-grande.pdf" TargetMode="External"/><Relationship Id="rId6" Type="http://schemas.openxmlformats.org/officeDocument/2006/relationships/hyperlink" Target="https://pages.stern.nyu.edu/~adamodar/" TargetMode="External"/><Relationship Id="rId5" Type="http://schemas.openxmlformats.org/officeDocument/2006/relationships/hyperlink" Target="https://es.tradingeconomics.com/colombia/government-bond-yield?embed" TargetMode="External"/><Relationship Id="rId4" Type="http://schemas.openxmlformats.org/officeDocument/2006/relationships/hyperlink" Target="https://es.tradingeconomics.com/colombia/government-bond-yield?embed" TargetMode="External"/><Relationship Id="rId9" Type="http://schemas.openxmlformats.org/officeDocument/2006/relationships/hyperlink" Target="http://pages.stern.nyu.edu/~adamoda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BE02-81D1-4260-8ABA-C55EB17B896C}">
  <sheetPr>
    <tabColor theme="1"/>
  </sheetPr>
  <dimension ref="B14:D27"/>
  <sheetViews>
    <sheetView showGridLines="0" tabSelected="1" zoomScale="80" zoomScaleNormal="80" workbookViewId="0">
      <selection activeCell="E19" sqref="E19"/>
    </sheetView>
  </sheetViews>
  <sheetFormatPr baseColWidth="10" defaultColWidth="11.453125" defaultRowHeight="14.5" x14ac:dyDescent="0.35"/>
  <cols>
    <col min="1" max="1" width="10.7265625" customWidth="1"/>
    <col min="2" max="2" width="21.1796875" customWidth="1"/>
    <col min="3" max="3" width="16.1796875" customWidth="1"/>
    <col min="4" max="4" width="16.26953125" bestFit="1" customWidth="1"/>
  </cols>
  <sheetData>
    <row r="14" spans="2:2" ht="28.5" x14ac:dyDescent="0.65">
      <c r="B14" s="2" t="s">
        <v>0</v>
      </c>
    </row>
    <row r="19" spans="2:4" x14ac:dyDescent="0.35">
      <c r="B19" s="16" t="s">
        <v>1</v>
      </c>
      <c r="C19" s="17" t="s">
        <v>2</v>
      </c>
    </row>
    <row r="20" spans="2:4" x14ac:dyDescent="0.35">
      <c r="B20" s="15" t="s">
        <v>3</v>
      </c>
      <c r="C20" s="14" t="s">
        <v>2</v>
      </c>
    </row>
    <row r="21" spans="2:4" x14ac:dyDescent="0.35">
      <c r="B21" s="12" t="s">
        <v>4</v>
      </c>
      <c r="C21" s="13" t="s">
        <v>2</v>
      </c>
    </row>
    <row r="26" spans="2:4" ht="21" x14ac:dyDescent="0.5">
      <c r="B26" s="1" t="s">
        <v>5</v>
      </c>
      <c r="D26" s="3"/>
    </row>
    <row r="27" spans="2:4" ht="21" x14ac:dyDescent="0.5">
      <c r="B27" s="1" t="s">
        <v>6</v>
      </c>
      <c r="D27" s="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8FF29-4E6D-4B2C-A89E-BCC62FDBC07D}">
  <sheetPr>
    <tabColor theme="3" tint="0.39997558519241921"/>
  </sheetPr>
  <dimension ref="A1:R17"/>
  <sheetViews>
    <sheetView showGridLines="0" zoomScale="80" zoomScaleNormal="80" workbookViewId="0">
      <pane xSplit="2" ySplit="1" topLeftCell="C2" activePane="bottomRight" state="frozen"/>
      <selection pane="topRight" activeCell="K30" sqref="K30"/>
      <selection pane="bottomLeft" activeCell="K30" sqref="K30"/>
      <selection pane="bottomRight" activeCell="G20" sqref="G20"/>
    </sheetView>
  </sheetViews>
  <sheetFormatPr baseColWidth="10" defaultColWidth="11.453125" defaultRowHeight="13" x14ac:dyDescent="0.3"/>
  <cols>
    <col min="1" max="1" width="5.26953125" style="4" bestFit="1" customWidth="1"/>
    <col min="2" max="2" width="28" style="4" bestFit="1" customWidth="1"/>
    <col min="3" max="3" width="11.453125" style="4"/>
    <col min="4" max="18" width="13.453125" style="4" bestFit="1" customWidth="1"/>
    <col min="19" max="16384" width="11.453125" style="4"/>
  </cols>
  <sheetData>
    <row r="1" spans="1:18" x14ac:dyDescent="0.3">
      <c r="A1" s="160" t="str">
        <f>+Presentación!A1</f>
        <v>$COP</v>
      </c>
      <c r="B1" s="170" t="s">
        <v>153</v>
      </c>
      <c r="C1" s="161">
        <f>+Presentación!C1</f>
        <v>2021</v>
      </c>
      <c r="D1" s="161">
        <f>+Presentación!D1</f>
        <v>2022</v>
      </c>
      <c r="E1" s="161">
        <f>+Presentación!E1</f>
        <v>2023</v>
      </c>
      <c r="F1" s="161">
        <f>+Presentación!F1</f>
        <v>2024</v>
      </c>
      <c r="G1" s="161">
        <f>+Presentación!G1</f>
        <v>2025</v>
      </c>
      <c r="H1" s="161">
        <f>+Presentación!H1</f>
        <v>2026</v>
      </c>
      <c r="I1" s="161">
        <f>+Presentación!I1</f>
        <v>2027</v>
      </c>
      <c r="J1" s="161">
        <f>+Presentación!J1</f>
        <v>2028</v>
      </c>
      <c r="K1" s="161">
        <f>+Presentación!K1</f>
        <v>2029</v>
      </c>
      <c r="L1" s="161">
        <f>+Presentación!L1</f>
        <v>2030</v>
      </c>
      <c r="M1" s="161">
        <f>+Presentación!M1</f>
        <v>2031</v>
      </c>
      <c r="N1" s="161">
        <f>+Presentación!N1</f>
        <v>2032</v>
      </c>
      <c r="O1" s="161">
        <f>+Presentación!O1</f>
        <v>2033</v>
      </c>
      <c r="P1" s="161">
        <f>+Presentación!P1</f>
        <v>2034</v>
      </c>
      <c r="Q1" s="161">
        <f>+Presentación!Q1</f>
        <v>2035</v>
      </c>
      <c r="R1" s="161">
        <f>+Presentación!R1</f>
        <v>2036</v>
      </c>
    </row>
    <row r="3" spans="1:18" x14ac:dyDescent="0.3">
      <c r="B3" s="87" t="s">
        <v>389</v>
      </c>
      <c r="C3" s="276">
        <v>0.06</v>
      </c>
      <c r="D3" s="276">
        <f>+C3</f>
        <v>0.06</v>
      </c>
      <c r="E3" s="276">
        <f>+D3</f>
        <v>0.06</v>
      </c>
      <c r="F3" s="276">
        <f t="shared" ref="F3:R3" si="0">+E3</f>
        <v>0.06</v>
      </c>
      <c r="G3" s="276">
        <f t="shared" si="0"/>
        <v>0.06</v>
      </c>
      <c r="H3" s="276">
        <f t="shared" si="0"/>
        <v>0.06</v>
      </c>
      <c r="I3" s="276">
        <f t="shared" si="0"/>
        <v>0.06</v>
      </c>
      <c r="J3" s="276">
        <f t="shared" si="0"/>
        <v>0.06</v>
      </c>
      <c r="K3" s="276">
        <f t="shared" si="0"/>
        <v>0.06</v>
      </c>
      <c r="L3" s="276">
        <f t="shared" si="0"/>
        <v>0.06</v>
      </c>
      <c r="M3" s="276">
        <f t="shared" si="0"/>
        <v>0.06</v>
      </c>
      <c r="N3" s="276">
        <f t="shared" si="0"/>
        <v>0.06</v>
      </c>
      <c r="O3" s="276">
        <f t="shared" si="0"/>
        <v>0.06</v>
      </c>
      <c r="P3" s="276">
        <f t="shared" si="0"/>
        <v>0.06</v>
      </c>
      <c r="Q3" s="276">
        <f t="shared" si="0"/>
        <v>0.06</v>
      </c>
      <c r="R3" s="276">
        <f t="shared" si="0"/>
        <v>0.06</v>
      </c>
    </row>
    <row r="5" spans="1:18" x14ac:dyDescent="0.3">
      <c r="B5" s="4" t="s">
        <v>390</v>
      </c>
      <c r="C5" s="251">
        <f ca="1">+CF!C39</f>
        <v>-30375.300744446915</v>
      </c>
      <c r="D5" s="251">
        <f ca="1">+CF!D39</f>
        <v>14181.797656051924</v>
      </c>
      <c r="E5" s="251">
        <f ca="1">+CF!E39</f>
        <v>14975.849890672844</v>
      </c>
      <c r="F5" s="251">
        <f ca="1">+CF!F39</f>
        <v>26677.672865484397</v>
      </c>
      <c r="G5" s="251">
        <f ca="1">+CF!G39</f>
        <v>59935.132093149834</v>
      </c>
      <c r="H5" s="251">
        <f ca="1">+CF!H39</f>
        <v>100205.17734838562</v>
      </c>
      <c r="I5" s="251">
        <f ca="1">+CF!I39</f>
        <v>146060.07984300412</v>
      </c>
      <c r="J5" s="251">
        <f ca="1">+CF!J39</f>
        <v>182873.48289513588</v>
      </c>
      <c r="K5" s="251">
        <f ca="1">+CF!K39</f>
        <v>226828.19108453766</v>
      </c>
      <c r="L5" s="251">
        <f ca="1">+CF!L39</f>
        <v>271660.88284966571</v>
      </c>
      <c r="M5" s="251">
        <f ca="1">+CF!M39</f>
        <v>316906.13154612528</v>
      </c>
      <c r="N5" s="251">
        <f ca="1">+CF!N39</f>
        <v>362550.1568492474</v>
      </c>
      <c r="O5" s="251">
        <f ca="1">+CF!O39</f>
        <v>409816.48983302369</v>
      </c>
      <c r="P5" s="251">
        <f ca="1">+CF!P39</f>
        <v>457626.36289862497</v>
      </c>
      <c r="Q5" s="251">
        <f ca="1">+CF!Q39</f>
        <v>504920.51378576277</v>
      </c>
      <c r="R5" s="251">
        <f ca="1">+CF!R39</f>
        <v>550854.21836486121</v>
      </c>
    </row>
    <row r="6" spans="1:18" x14ac:dyDescent="0.3">
      <c r="B6" s="4" t="s">
        <v>391</v>
      </c>
      <c r="C6" s="251">
        <v>0</v>
      </c>
      <c r="D6" s="253">
        <f ca="1">+C8</f>
        <v>30375.300744446915</v>
      </c>
      <c r="E6" s="253">
        <f t="shared" ref="E6:R6" ca="1" si="1">+D8</f>
        <v>16193.503088394991</v>
      </c>
      <c r="F6" s="253">
        <f t="shared" ca="1" si="1"/>
        <v>1217.6531977221475</v>
      </c>
      <c r="G6" s="253">
        <f t="shared" ca="1" si="1"/>
        <v>0</v>
      </c>
      <c r="H6" s="253">
        <f t="shared" ca="1" si="1"/>
        <v>0</v>
      </c>
      <c r="I6" s="253">
        <f t="shared" ca="1" si="1"/>
        <v>0</v>
      </c>
      <c r="J6" s="253">
        <f t="shared" ca="1" si="1"/>
        <v>0</v>
      </c>
      <c r="K6" s="253">
        <f t="shared" ca="1" si="1"/>
        <v>0</v>
      </c>
      <c r="L6" s="253">
        <f t="shared" ca="1" si="1"/>
        <v>0</v>
      </c>
      <c r="M6" s="253">
        <f t="shared" ca="1" si="1"/>
        <v>0</v>
      </c>
      <c r="N6" s="253">
        <f t="shared" ca="1" si="1"/>
        <v>0</v>
      </c>
      <c r="O6" s="253">
        <f t="shared" ca="1" si="1"/>
        <v>0</v>
      </c>
      <c r="P6" s="253">
        <f t="shared" ca="1" si="1"/>
        <v>0</v>
      </c>
      <c r="Q6" s="253">
        <f t="shared" ca="1" si="1"/>
        <v>0</v>
      </c>
      <c r="R6" s="253">
        <f t="shared" ca="1" si="1"/>
        <v>0</v>
      </c>
    </row>
    <row r="7" spans="1:18" x14ac:dyDescent="0.3">
      <c r="B7" s="21" t="s">
        <v>392</v>
      </c>
      <c r="C7" s="254">
        <f ca="1">-MIN(C5,0)</f>
        <v>30375.300744446915</v>
      </c>
      <c r="D7" s="254">
        <f ca="1">-MIN(D5,C8)</f>
        <v>-14181.797656051924</v>
      </c>
      <c r="E7" s="254">
        <f t="shared" ref="E7:R7" ca="1" si="2">-MIN(E5,D8)</f>
        <v>-14975.849890672844</v>
      </c>
      <c r="F7" s="254">
        <f t="shared" ca="1" si="2"/>
        <v>-1217.6531977221475</v>
      </c>
      <c r="G7" s="254">
        <f t="shared" ca="1" si="2"/>
        <v>0</v>
      </c>
      <c r="H7" s="254">
        <f t="shared" ca="1" si="2"/>
        <v>0</v>
      </c>
      <c r="I7" s="254">
        <f t="shared" ca="1" si="2"/>
        <v>0</v>
      </c>
      <c r="J7" s="254">
        <f t="shared" ca="1" si="2"/>
        <v>0</v>
      </c>
      <c r="K7" s="254">
        <f t="shared" ca="1" si="2"/>
        <v>0</v>
      </c>
      <c r="L7" s="254">
        <f t="shared" ca="1" si="2"/>
        <v>0</v>
      </c>
      <c r="M7" s="254">
        <f t="shared" ca="1" si="2"/>
        <v>0</v>
      </c>
      <c r="N7" s="254">
        <f t="shared" ca="1" si="2"/>
        <v>0</v>
      </c>
      <c r="O7" s="254">
        <f t="shared" ca="1" si="2"/>
        <v>0</v>
      </c>
      <c r="P7" s="254">
        <f t="shared" ca="1" si="2"/>
        <v>0</v>
      </c>
      <c r="Q7" s="254">
        <f t="shared" ca="1" si="2"/>
        <v>0</v>
      </c>
      <c r="R7" s="254">
        <f t="shared" ca="1" si="2"/>
        <v>0</v>
      </c>
    </row>
    <row r="8" spans="1:18" ht="13.5" thickBot="1" x14ac:dyDescent="0.35">
      <c r="B8" s="166" t="s">
        <v>393</v>
      </c>
      <c r="C8" s="275">
        <f ca="1">+C6+C7</f>
        <v>30375.300744446915</v>
      </c>
      <c r="D8" s="275">
        <f t="shared" ref="D8:R8" ca="1" si="3">+D6+D7</f>
        <v>16193.503088394991</v>
      </c>
      <c r="E8" s="275">
        <f t="shared" ca="1" si="3"/>
        <v>1217.6531977221475</v>
      </c>
      <c r="F8" s="275">
        <f t="shared" ca="1" si="3"/>
        <v>0</v>
      </c>
      <c r="G8" s="275">
        <f t="shared" ca="1" si="3"/>
        <v>0</v>
      </c>
      <c r="H8" s="275">
        <f t="shared" ca="1" si="3"/>
        <v>0</v>
      </c>
      <c r="I8" s="275">
        <f t="shared" ca="1" si="3"/>
        <v>0</v>
      </c>
      <c r="J8" s="275">
        <f t="shared" ca="1" si="3"/>
        <v>0</v>
      </c>
      <c r="K8" s="275">
        <f t="shared" ca="1" si="3"/>
        <v>0</v>
      </c>
      <c r="L8" s="275">
        <f t="shared" ca="1" si="3"/>
        <v>0</v>
      </c>
      <c r="M8" s="275">
        <f t="shared" ca="1" si="3"/>
        <v>0</v>
      </c>
      <c r="N8" s="275">
        <f t="shared" ca="1" si="3"/>
        <v>0</v>
      </c>
      <c r="O8" s="275">
        <f t="shared" ca="1" si="3"/>
        <v>0</v>
      </c>
      <c r="P8" s="275">
        <f t="shared" ca="1" si="3"/>
        <v>0</v>
      </c>
      <c r="Q8" s="275">
        <f t="shared" ca="1" si="3"/>
        <v>0</v>
      </c>
      <c r="R8" s="275">
        <f t="shared" ca="1" si="3"/>
        <v>0</v>
      </c>
    </row>
    <row r="9" spans="1:18" x14ac:dyDescent="0.3">
      <c r="B9" s="4" t="s">
        <v>394</v>
      </c>
      <c r="C9" s="158">
        <f ca="1">+AVERAGE(C6,C8)*C3</f>
        <v>911.25902233340742</v>
      </c>
      <c r="D9" s="158">
        <f t="shared" ref="D9:R9" ca="1" si="4">+AVERAGE(D6,D8)*D3</f>
        <v>1397.0641149852572</v>
      </c>
      <c r="E9" s="158">
        <f t="shared" ca="1" si="4"/>
        <v>522.33468858351421</v>
      </c>
      <c r="F9" s="158">
        <f t="shared" ca="1" si="4"/>
        <v>36.529595931664424</v>
      </c>
      <c r="G9" s="158">
        <f t="shared" ca="1" si="4"/>
        <v>0</v>
      </c>
      <c r="H9" s="158">
        <f t="shared" ca="1" si="4"/>
        <v>0</v>
      </c>
      <c r="I9" s="158">
        <f t="shared" ca="1" si="4"/>
        <v>0</v>
      </c>
      <c r="J9" s="158">
        <f t="shared" ca="1" si="4"/>
        <v>0</v>
      </c>
      <c r="K9" s="158">
        <f t="shared" ca="1" si="4"/>
        <v>0</v>
      </c>
      <c r="L9" s="158">
        <f t="shared" ca="1" si="4"/>
        <v>0</v>
      </c>
      <c r="M9" s="158">
        <f t="shared" ca="1" si="4"/>
        <v>0</v>
      </c>
      <c r="N9" s="158">
        <f t="shared" ca="1" si="4"/>
        <v>0</v>
      </c>
      <c r="O9" s="158">
        <f t="shared" ca="1" si="4"/>
        <v>0</v>
      </c>
      <c r="P9" s="158">
        <f t="shared" ca="1" si="4"/>
        <v>0</v>
      </c>
      <c r="Q9" s="158">
        <f t="shared" ca="1" si="4"/>
        <v>0</v>
      </c>
      <c r="R9" s="158">
        <f t="shared" ca="1" si="4"/>
        <v>0</v>
      </c>
    </row>
    <row r="11" spans="1:18" x14ac:dyDescent="0.3">
      <c r="B11" s="87" t="s">
        <v>395</v>
      </c>
      <c r="C11" s="276">
        <v>0.02</v>
      </c>
      <c r="D11" s="276">
        <f>+C11</f>
        <v>0.02</v>
      </c>
      <c r="E11" s="276">
        <f>+D11</f>
        <v>0.02</v>
      </c>
      <c r="F11" s="276">
        <f t="shared" ref="F11" si="5">+E11</f>
        <v>0.02</v>
      </c>
      <c r="G11" s="276">
        <f t="shared" ref="G11" si="6">+F11</f>
        <v>0.02</v>
      </c>
      <c r="H11" s="276">
        <f t="shared" ref="H11" si="7">+G11</f>
        <v>0.02</v>
      </c>
      <c r="I11" s="276">
        <f t="shared" ref="I11" si="8">+H11</f>
        <v>0.02</v>
      </c>
      <c r="J11" s="276">
        <f t="shared" ref="J11" si="9">+I11</f>
        <v>0.02</v>
      </c>
      <c r="K11" s="276">
        <f t="shared" ref="K11" si="10">+J11</f>
        <v>0.02</v>
      </c>
      <c r="L11" s="276">
        <f t="shared" ref="L11" si="11">+K11</f>
        <v>0.02</v>
      </c>
      <c r="M11" s="276">
        <f t="shared" ref="M11" si="12">+L11</f>
        <v>0.02</v>
      </c>
      <c r="N11" s="276">
        <f t="shared" ref="N11" si="13">+M11</f>
        <v>0.02</v>
      </c>
      <c r="O11" s="276">
        <f t="shared" ref="O11" si="14">+N11</f>
        <v>0.02</v>
      </c>
      <c r="P11" s="276">
        <f t="shared" ref="P11" si="15">+O11</f>
        <v>0.02</v>
      </c>
      <c r="Q11" s="276">
        <f t="shared" ref="Q11" si="16">+P11</f>
        <v>0.02</v>
      </c>
      <c r="R11" s="276">
        <f t="shared" ref="R11" si="17">+Q11</f>
        <v>0.02</v>
      </c>
    </row>
    <row r="13" spans="1:18" x14ac:dyDescent="0.3">
      <c r="B13" s="4" t="s">
        <v>396</v>
      </c>
      <c r="C13" s="251">
        <f ca="1">+CF!C37</f>
        <v>0</v>
      </c>
      <c r="D13" s="251">
        <f ca="1">+CF!D37</f>
        <v>0</v>
      </c>
      <c r="E13" s="251">
        <f ca="1">+CF!E37</f>
        <v>0</v>
      </c>
      <c r="F13" s="251">
        <f ca="1">+CF!F37</f>
        <v>25460.019667762252</v>
      </c>
      <c r="G13" s="251">
        <f ca="1">+CF!G37</f>
        <v>59935.132093149834</v>
      </c>
      <c r="H13" s="251">
        <f ca="1">+CF!H37</f>
        <v>100205.17734838562</v>
      </c>
      <c r="I13" s="251">
        <f ca="1">+CF!I37</f>
        <v>146060.07984300412</v>
      </c>
      <c r="J13" s="251">
        <f ca="1">+CF!J37</f>
        <v>182873.48289513591</v>
      </c>
      <c r="K13" s="251">
        <f ca="1">+CF!K37</f>
        <v>226828.19108453766</v>
      </c>
      <c r="L13" s="251">
        <f ca="1">+CF!L37</f>
        <v>271660.88284966571</v>
      </c>
      <c r="M13" s="251">
        <f ca="1">+CF!M37</f>
        <v>316906.13154612528</v>
      </c>
      <c r="N13" s="251">
        <f ca="1">+CF!N37</f>
        <v>362550.1568492474</v>
      </c>
      <c r="O13" s="251">
        <f ca="1">+CF!O37</f>
        <v>409816.48983302363</v>
      </c>
      <c r="P13" s="251">
        <f ca="1">+CF!P37</f>
        <v>457626.36289862497</v>
      </c>
      <c r="Q13" s="251">
        <f ca="1">+CF!Q37</f>
        <v>504920.51378576277</v>
      </c>
      <c r="R13" s="251">
        <f ca="1">+CF!R37</f>
        <v>550854.21836486133</v>
      </c>
    </row>
    <row r="14" spans="1:18" x14ac:dyDescent="0.3">
      <c r="B14" s="4" t="s">
        <v>397</v>
      </c>
      <c r="C14" s="251">
        <v>0</v>
      </c>
      <c r="D14" s="251">
        <f ca="1">+C16</f>
        <v>0</v>
      </c>
      <c r="E14" s="251">
        <f t="shared" ref="E14:R14" ca="1" si="18">+D16</f>
        <v>0</v>
      </c>
      <c r="F14" s="251">
        <f t="shared" ca="1" si="18"/>
        <v>0</v>
      </c>
      <c r="G14" s="251">
        <f t="shared" ca="1" si="18"/>
        <v>25460.019667762252</v>
      </c>
      <c r="H14" s="251">
        <f t="shared" ca="1" si="18"/>
        <v>59935.132093149834</v>
      </c>
      <c r="I14" s="251">
        <f t="shared" ca="1" si="18"/>
        <v>100205.17734838562</v>
      </c>
      <c r="J14" s="251">
        <f t="shared" ca="1" si="18"/>
        <v>146060.07984300412</v>
      </c>
      <c r="K14" s="251">
        <f t="shared" ca="1" si="18"/>
        <v>182873.48289513591</v>
      </c>
      <c r="L14" s="251">
        <f t="shared" ca="1" si="18"/>
        <v>226828.19108453766</v>
      </c>
      <c r="M14" s="251">
        <f t="shared" ca="1" si="18"/>
        <v>271660.88284966571</v>
      </c>
      <c r="N14" s="251">
        <f t="shared" ca="1" si="18"/>
        <v>316906.13154612528</v>
      </c>
      <c r="O14" s="251">
        <f t="shared" ca="1" si="18"/>
        <v>362550.1568492474</v>
      </c>
      <c r="P14" s="251">
        <f t="shared" ca="1" si="18"/>
        <v>409816.48983302363</v>
      </c>
      <c r="Q14" s="251">
        <f t="shared" ca="1" si="18"/>
        <v>457626.36289862497</v>
      </c>
      <c r="R14" s="251">
        <f t="shared" ca="1" si="18"/>
        <v>504920.51378576277</v>
      </c>
    </row>
    <row r="15" spans="1:18" x14ac:dyDescent="0.3">
      <c r="B15" s="4" t="s">
        <v>398</v>
      </c>
      <c r="C15" s="251">
        <f ca="1">+AVERAGE(C14,C16)*C11</f>
        <v>0</v>
      </c>
      <c r="D15" s="251">
        <f t="shared" ref="D15:R15" ca="1" si="19">+AVERAGE(D14,D16)*D11</f>
        <v>0</v>
      </c>
      <c r="E15" s="251">
        <f t="shared" ca="1" si="19"/>
        <v>0</v>
      </c>
      <c r="F15" s="251">
        <f t="shared" ca="1" si="19"/>
        <v>254.60019667762253</v>
      </c>
      <c r="G15" s="251">
        <f t="shared" ca="1" si="19"/>
        <v>853.95151760912097</v>
      </c>
      <c r="H15" s="251">
        <f t="shared" ca="1" si="19"/>
        <v>1601.4030944153544</v>
      </c>
      <c r="I15" s="251">
        <f t="shared" ca="1" si="19"/>
        <v>2462.6525719138976</v>
      </c>
      <c r="J15" s="251">
        <f t="shared" ca="1" si="19"/>
        <v>3289.3356273814002</v>
      </c>
      <c r="K15" s="251">
        <f t="shared" ca="1" si="19"/>
        <v>4097.0167397967352</v>
      </c>
      <c r="L15" s="251">
        <f t="shared" ca="1" si="19"/>
        <v>4984.8907393420341</v>
      </c>
      <c r="M15" s="251">
        <f t="shared" ca="1" si="19"/>
        <v>5885.6701439579101</v>
      </c>
      <c r="N15" s="251">
        <f t="shared" ca="1" si="19"/>
        <v>6794.5628839537267</v>
      </c>
      <c r="O15" s="251">
        <f t="shared" ca="1" si="19"/>
        <v>7723.6664668227104</v>
      </c>
      <c r="P15" s="251">
        <f t="shared" ca="1" si="19"/>
        <v>8674.428527316486</v>
      </c>
      <c r="Q15" s="251">
        <f t="shared" ca="1" si="19"/>
        <v>9625.4687668438764</v>
      </c>
      <c r="R15" s="251">
        <f t="shared" ca="1" si="19"/>
        <v>10557.74732150624</v>
      </c>
    </row>
    <row r="16" spans="1:18" ht="13.5" thickBot="1" x14ac:dyDescent="0.35">
      <c r="B16" s="166" t="s">
        <v>393</v>
      </c>
      <c r="C16" s="275">
        <f ca="1">+MAX('Balance G.'!C5,0)</f>
        <v>0</v>
      </c>
      <c r="D16" s="275">
        <f ca="1">+MAX('Balance G.'!D5,0)</f>
        <v>0</v>
      </c>
      <c r="E16" s="275">
        <f ca="1">+MAX('Balance G.'!E5,0)</f>
        <v>0</v>
      </c>
      <c r="F16" s="275">
        <f ca="1">+MAX('Balance G.'!F5,0)</f>
        <v>25460.019667762252</v>
      </c>
      <c r="G16" s="275">
        <f ca="1">+MAX('Balance G.'!G5,0)</f>
        <v>59935.132093149834</v>
      </c>
      <c r="H16" s="275">
        <f ca="1">+MAX('Balance G.'!H5,0)</f>
        <v>100205.17734838562</v>
      </c>
      <c r="I16" s="275">
        <f ca="1">+MAX('Balance G.'!I5,0)</f>
        <v>146060.07984300412</v>
      </c>
      <c r="J16" s="275">
        <f ca="1">+MAX('Balance G.'!J5,0)</f>
        <v>182873.48289513591</v>
      </c>
      <c r="K16" s="275">
        <f ca="1">+MAX('Balance G.'!K5,0)</f>
        <v>226828.19108453766</v>
      </c>
      <c r="L16" s="275">
        <f ca="1">+MAX('Balance G.'!L5,0)</f>
        <v>271660.88284966571</v>
      </c>
      <c r="M16" s="275">
        <f ca="1">+MAX('Balance G.'!M5,0)</f>
        <v>316906.13154612528</v>
      </c>
      <c r="N16" s="275">
        <f ca="1">+MAX('Balance G.'!N5,0)</f>
        <v>362550.1568492474</v>
      </c>
      <c r="O16" s="275">
        <f ca="1">+MAX('Balance G.'!O5,0)</f>
        <v>409816.48983302363</v>
      </c>
      <c r="P16" s="275">
        <f ca="1">+MAX('Balance G.'!P5,0)</f>
        <v>457626.36289862497</v>
      </c>
      <c r="Q16" s="275">
        <f ca="1">+MAX('Balance G.'!Q5,0)</f>
        <v>504920.51378576277</v>
      </c>
      <c r="R16" s="275">
        <f ca="1">+MAX('Balance G.'!R5,0)</f>
        <v>550854.21836486133</v>
      </c>
    </row>
    <row r="17" spans="3:18" x14ac:dyDescent="0.3"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8AAC-BC4C-43D5-825E-AB8ECE6DC370}">
  <sheetPr>
    <tabColor theme="3" tint="0.79998168889431442"/>
  </sheetPr>
  <dimension ref="A2:AC61"/>
  <sheetViews>
    <sheetView showGridLines="0" topLeftCell="C56" zoomScale="80" zoomScaleNormal="80" workbookViewId="0">
      <selection activeCell="O17" sqref="O8:O17"/>
    </sheetView>
  </sheetViews>
  <sheetFormatPr baseColWidth="10" defaultColWidth="9.1796875" defaultRowHeight="13" x14ac:dyDescent="0.3"/>
  <cols>
    <col min="1" max="1" width="4.26953125" style="4" customWidth="1"/>
    <col min="2" max="2" width="30.453125" style="4" customWidth="1"/>
    <col min="3" max="8" width="11.26953125" style="4" customWidth="1"/>
    <col min="9" max="13" width="12" style="4" customWidth="1"/>
    <col min="14" max="18" width="11.26953125" style="4" bestFit="1" customWidth="1"/>
    <col min="19" max="19" width="11.453125" style="4" bestFit="1" customWidth="1"/>
    <col min="20" max="21" width="11.26953125" style="4" bestFit="1" customWidth="1"/>
    <col min="22" max="29" width="12.26953125" style="4" bestFit="1" customWidth="1"/>
    <col min="30" max="16384" width="9.1796875" style="4"/>
  </cols>
  <sheetData>
    <row r="2" spans="1:19" ht="20.149999999999999" customHeight="1" x14ac:dyDescent="0.3">
      <c r="B2" s="90" t="s">
        <v>399</v>
      </c>
    </row>
    <row r="3" spans="1:19" x14ac:dyDescent="0.3">
      <c r="B3" s="91"/>
    </row>
    <row r="4" spans="1:19" x14ac:dyDescent="0.3">
      <c r="A4" s="92" t="s">
        <v>400</v>
      </c>
      <c r="B4" s="93" t="s">
        <v>401</v>
      </c>
    </row>
    <row r="5" spans="1:19" x14ac:dyDescent="0.3">
      <c r="B5" s="91"/>
    </row>
    <row r="6" spans="1:19" x14ac:dyDescent="0.3">
      <c r="B6" s="102" t="s">
        <v>402</v>
      </c>
      <c r="C6" s="148">
        <v>2010</v>
      </c>
      <c r="D6" s="148">
        <v>2011</v>
      </c>
      <c r="E6" s="148">
        <v>2012</v>
      </c>
      <c r="F6" s="148">
        <v>2013</v>
      </c>
      <c r="G6" s="148">
        <v>2014</v>
      </c>
      <c r="H6" s="148">
        <v>2015</v>
      </c>
      <c r="I6" s="148">
        <v>2016</v>
      </c>
      <c r="J6" s="148">
        <v>2017</v>
      </c>
      <c r="K6" s="148">
        <v>2018</v>
      </c>
      <c r="L6" s="148">
        <v>2019</v>
      </c>
      <c r="M6" s="148">
        <v>2020</v>
      </c>
      <c r="O6" s="145" t="s">
        <v>403</v>
      </c>
      <c r="P6" s="145" t="s">
        <v>404</v>
      </c>
      <c r="Q6" s="145" t="s">
        <v>405</v>
      </c>
      <c r="S6" s="145" t="s">
        <v>406</v>
      </c>
    </row>
    <row r="7" spans="1:19" ht="15" customHeight="1" x14ac:dyDescent="0.3">
      <c r="B7" s="104" t="s">
        <v>407</v>
      </c>
      <c r="C7" s="154">
        <v>2.2148270000000001</v>
      </c>
      <c r="D7" s="154">
        <v>1.94574</v>
      </c>
      <c r="E7" s="154">
        <v>2.4730080000000001</v>
      </c>
      <c r="F7" s="154">
        <v>2.0748069999999998</v>
      </c>
      <c r="G7" s="154">
        <v>1.9873130000000001</v>
      </c>
      <c r="H7" s="154">
        <v>2.3518780000000001</v>
      </c>
      <c r="I7" s="154">
        <v>1.9052640000000001</v>
      </c>
      <c r="J7" s="154">
        <v>1.8714930000000001</v>
      </c>
      <c r="K7" s="154">
        <v>2.185454</v>
      </c>
      <c r="L7" s="154">
        <v>1.9594640000000001</v>
      </c>
      <c r="M7" s="154">
        <v>1.928742</v>
      </c>
      <c r="O7" s="146">
        <f>+RATE(10,0,C7,-M7)</f>
        <v>-1.3735428193196978E-2</v>
      </c>
      <c r="P7" s="146">
        <f>+RATE(5,0,I7,-M7)</f>
        <v>2.4524814784552865E-3</v>
      </c>
      <c r="Q7" s="146">
        <f>+RATE(3,0,K7,-M7)</f>
        <v>-4.0796350091115152E-2</v>
      </c>
      <c r="S7" s="147">
        <f>+AVERAGE(C7:M7)</f>
        <v>2.0816354545454545</v>
      </c>
    </row>
    <row r="8" spans="1:19" x14ac:dyDescent="0.3">
      <c r="B8" s="149" t="s">
        <v>408</v>
      </c>
      <c r="D8" s="150">
        <f>+D7/C7-1</f>
        <v>-0.12149346201757527</v>
      </c>
      <c r="E8" s="150">
        <f t="shared" ref="E8:M8" si="0">+E7/D7-1</f>
        <v>0.27098584600203535</v>
      </c>
      <c r="F8" s="150">
        <f t="shared" si="0"/>
        <v>-0.16101888873792569</v>
      </c>
      <c r="G8" s="150">
        <f t="shared" si="0"/>
        <v>-4.2169705423203085E-2</v>
      </c>
      <c r="H8" s="150">
        <f t="shared" si="0"/>
        <v>0.18344619091205061</v>
      </c>
      <c r="I8" s="150">
        <f t="shared" si="0"/>
        <v>-0.18989675484867841</v>
      </c>
      <c r="J8" s="150">
        <f t="shared" si="0"/>
        <v>-1.772510266293803E-2</v>
      </c>
      <c r="K8" s="150">
        <f t="shared" si="0"/>
        <v>0.16775964430537549</v>
      </c>
      <c r="L8" s="150">
        <f t="shared" si="0"/>
        <v>-0.1034064317986102</v>
      </c>
      <c r="M8" s="150">
        <f t="shared" si="0"/>
        <v>-1.5678777461591631E-2</v>
      </c>
    </row>
    <row r="10" spans="1:19" ht="14.5" x14ac:dyDescent="0.35">
      <c r="B10" s="104" t="s">
        <v>409</v>
      </c>
      <c r="C10" s="155">
        <v>1898.9974999999997</v>
      </c>
      <c r="D10" s="155">
        <v>1848.0166666666667</v>
      </c>
      <c r="E10" s="155">
        <v>1798.0116666666665</v>
      </c>
      <c r="F10" s="155">
        <v>1868.8949999999998</v>
      </c>
      <c r="G10" s="155">
        <v>2001.1049999999996</v>
      </c>
      <c r="H10" s="155">
        <v>2741.7816666666672</v>
      </c>
      <c r="I10" s="155">
        <v>3055.2549999999997</v>
      </c>
      <c r="J10" s="155">
        <v>2951.2708333333335</v>
      </c>
      <c r="K10" s="155">
        <v>2956.3566666666666</v>
      </c>
      <c r="L10" s="155">
        <v>3281.3883333333338</v>
      </c>
      <c r="M10" s="155">
        <v>3693.27583333333</v>
      </c>
      <c r="O10" s="146">
        <f>+RATE(10,0,C10,-M10)</f>
        <v>6.8781025825232059E-2</v>
      </c>
      <c r="P10" s="146">
        <f>+RATE(5,0,I10,-M10)</f>
        <v>3.8658683167736435E-2</v>
      </c>
      <c r="Q10" s="146">
        <f>+RATE(3,0,K10,-M10)</f>
        <v>7.7006453065955091E-2</v>
      </c>
      <c r="S10" s="147">
        <f>+AVERAGE(C10:M10)</f>
        <v>2554.0321969696965</v>
      </c>
    </row>
    <row r="11" spans="1:19" x14ac:dyDescent="0.3">
      <c r="B11" s="149" t="s">
        <v>138</v>
      </c>
      <c r="C11" s="144"/>
      <c r="D11" s="150">
        <f>+C10/D10-1</f>
        <v>2.758678222598987E-2</v>
      </c>
      <c r="E11" s="150">
        <f t="shared" ref="E11:M11" si="1">+D10/E10-1</f>
        <v>2.7811276715853817E-2</v>
      </c>
      <c r="F11" s="150">
        <f t="shared" si="1"/>
        <v>-3.7927937809953627E-2</v>
      </c>
      <c r="G11" s="150">
        <f t="shared" si="1"/>
        <v>-6.6068497155321593E-2</v>
      </c>
      <c r="H11" s="150">
        <f t="shared" si="1"/>
        <v>-0.27014429181997868</v>
      </c>
      <c r="I11" s="150">
        <f t="shared" si="1"/>
        <v>-0.10260136497062688</v>
      </c>
      <c r="J11" s="150">
        <f t="shared" si="1"/>
        <v>3.5233691700609082E-2</v>
      </c>
      <c r="K11" s="150">
        <f t="shared" si="1"/>
        <v>-1.7203043836613308E-3</v>
      </c>
      <c r="L11" s="150">
        <f t="shared" si="1"/>
        <v>-9.9053093888613386E-2</v>
      </c>
      <c r="M11" s="150">
        <f t="shared" si="1"/>
        <v>-0.1115236225473718</v>
      </c>
      <c r="O11" s="146"/>
      <c r="P11" s="146"/>
      <c r="Q11" s="146"/>
      <c r="S11" s="147"/>
    </row>
    <row r="12" spans="1:19" x14ac:dyDescent="0.3">
      <c r="B12" s="149"/>
      <c r="C12" s="144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O12" s="146"/>
      <c r="P12" s="146"/>
      <c r="Q12" s="146"/>
      <c r="S12" s="147"/>
    </row>
    <row r="13" spans="1:19" x14ac:dyDescent="0.3">
      <c r="B13" s="104" t="s">
        <v>410</v>
      </c>
      <c r="C13" s="153">
        <f>+C7*C10</f>
        <v>4205.9509359324993</v>
      </c>
      <c r="D13" s="153">
        <f t="shared" ref="D13:M13" si="2">+D7*D10</f>
        <v>3595.7599490000002</v>
      </c>
      <c r="E13" s="153">
        <f t="shared" si="2"/>
        <v>4446.49723576</v>
      </c>
      <c r="F13" s="153">
        <f t="shared" si="2"/>
        <v>3877.5964282649993</v>
      </c>
      <c r="G13" s="153">
        <f t="shared" si="2"/>
        <v>3976.8219808649992</v>
      </c>
      <c r="H13" s="153">
        <f t="shared" si="2"/>
        <v>6448.3359826366686</v>
      </c>
      <c r="I13" s="153">
        <f t="shared" si="2"/>
        <v>5821.0673623199991</v>
      </c>
      <c r="J13" s="153">
        <f t="shared" si="2"/>
        <v>5523.2827056875003</v>
      </c>
      <c r="K13" s="153">
        <f t="shared" si="2"/>
        <v>6460.9815025933331</v>
      </c>
      <c r="L13" s="153">
        <f t="shared" si="2"/>
        <v>6429.7623091866681</v>
      </c>
      <c r="M13" s="153">
        <f t="shared" si="2"/>
        <v>7123.3762173349933</v>
      </c>
      <c r="O13" s="146">
        <f>+RATE(10,0,C13,-M13)</f>
        <v>5.4100860790424352E-2</v>
      </c>
      <c r="P13" s="146">
        <f>+RATE(5,0,I13,-M13)</f>
        <v>4.120597435056346E-2</v>
      </c>
      <c r="Q13" s="146">
        <f>+RATE(3,0,K13,-M13)</f>
        <v>3.3068520752125713E-2</v>
      </c>
      <c r="S13" s="147">
        <f>+AVERAGE(C13:M13)</f>
        <v>5264.4938735983333</v>
      </c>
    </row>
    <row r="14" spans="1:19" x14ac:dyDescent="0.3">
      <c r="B14" s="149" t="s">
        <v>408</v>
      </c>
      <c r="D14" s="150">
        <f t="shared" ref="D14:I14" si="3">+D13/C13-1</f>
        <v>-0.14507800880877697</v>
      </c>
      <c r="E14" s="150">
        <f t="shared" si="3"/>
        <v>0.23659457217008995</v>
      </c>
      <c r="F14" s="150">
        <f t="shared" si="3"/>
        <v>-0.12794358735225064</v>
      </c>
      <c r="G14" s="150">
        <f t="shared" si="3"/>
        <v>2.558944811190611E-2</v>
      </c>
      <c r="H14" s="150">
        <f t="shared" si="3"/>
        <v>0.6214796673483709</v>
      </c>
      <c r="I14" s="150">
        <f t="shared" si="3"/>
        <v>-9.7276044859589517E-2</v>
      </c>
      <c r="J14" s="150">
        <f t="shared" ref="J14" si="4">+J13/I13-1</f>
        <v>-5.1156366710351175E-2</v>
      </c>
      <c r="K14" s="150">
        <f t="shared" ref="K14" si="5">+K13/J13-1</f>
        <v>0.16977200821899885</v>
      </c>
      <c r="L14" s="150">
        <f t="shared" ref="L14" si="6">+L13/K13-1</f>
        <v>-4.831958332357722E-3</v>
      </c>
      <c r="M14" s="150">
        <f t="shared" ref="M14" si="7">+M13/L13-1</f>
        <v>0.10787551308969978</v>
      </c>
    </row>
    <row r="16" spans="1:19" x14ac:dyDescent="0.3">
      <c r="B16" s="4" t="s">
        <v>411</v>
      </c>
      <c r="C16" s="152">
        <v>0</v>
      </c>
      <c r="D16" s="152">
        <f>+D8-D11</f>
        <v>-0.14908024424356514</v>
      </c>
      <c r="E16" s="152">
        <f t="shared" ref="E16:M16" si="8">+E8-E11</f>
        <v>0.24317456928618153</v>
      </c>
      <c r="F16" s="152">
        <f t="shared" si="8"/>
        <v>-0.12309095092797206</v>
      </c>
      <c r="G16" s="152">
        <f t="shared" si="8"/>
        <v>2.3898791732118507E-2</v>
      </c>
      <c r="H16" s="152">
        <f t="shared" si="8"/>
        <v>0.45359048273202929</v>
      </c>
      <c r="I16" s="152">
        <f t="shared" si="8"/>
        <v>-8.7295389878051521E-2</v>
      </c>
      <c r="J16" s="152">
        <f t="shared" si="8"/>
        <v>-5.2958794363547113E-2</v>
      </c>
      <c r="K16" s="152">
        <f t="shared" si="8"/>
        <v>0.16947994868903682</v>
      </c>
      <c r="L16" s="152">
        <f t="shared" si="8"/>
        <v>-4.3533379099968128E-3</v>
      </c>
      <c r="M16" s="152">
        <f t="shared" si="8"/>
        <v>9.5844845085780173E-2</v>
      </c>
    </row>
    <row r="17" spans="1:19" x14ac:dyDescent="0.3">
      <c r="B17" s="104" t="s">
        <v>412</v>
      </c>
      <c r="C17" s="153">
        <f>+C13*(1+C16)</f>
        <v>4205.9509359324993</v>
      </c>
      <c r="D17" s="153">
        <f t="shared" ref="D17:M17" si="9">+D13*(1+D16)</f>
        <v>3059.7031775618507</v>
      </c>
      <c r="E17" s="153">
        <f t="shared" si="9"/>
        <v>5527.7722858981351</v>
      </c>
      <c r="F17" s="153">
        <f t="shared" si="9"/>
        <v>3400.2993965949527</v>
      </c>
      <c r="G17" s="153">
        <f t="shared" si="9"/>
        <v>4071.8632211414028</v>
      </c>
      <c r="H17" s="153">
        <f t="shared" si="9"/>
        <v>9373.2398138191493</v>
      </c>
      <c r="I17" s="153">
        <f t="shared" si="9"/>
        <v>5312.9150174198739</v>
      </c>
      <c r="J17" s="153">
        <f t="shared" si="9"/>
        <v>5230.7763126652599</v>
      </c>
      <c r="K17" s="153">
        <f t="shared" si="9"/>
        <v>7555.9883161336675</v>
      </c>
      <c r="L17" s="153">
        <f t="shared" si="9"/>
        <v>6401.7713811738167</v>
      </c>
      <c r="M17" s="153">
        <f t="shared" si="9"/>
        <v>7806.1151073731953</v>
      </c>
      <c r="O17" s="146">
        <f>+RATE(10,0,C17,-M17)</f>
        <v>6.3792869313464617E-2</v>
      </c>
      <c r="P17" s="146">
        <f>+RATE(5,0,I17,-M17)</f>
        <v>7.9991696314138772E-2</v>
      </c>
      <c r="Q17" s="146">
        <f>+RATE(3,0,K17,-M17)</f>
        <v>1.0914807028157836E-2</v>
      </c>
      <c r="S17" s="147">
        <f>+AVERAGE(C17:M17)</f>
        <v>5631.4904514285272</v>
      </c>
    </row>
    <row r="21" spans="1:19" x14ac:dyDescent="0.3">
      <c r="A21" s="92" t="s">
        <v>413</v>
      </c>
      <c r="B21" s="93" t="s">
        <v>414</v>
      </c>
    </row>
    <row r="23" spans="1:19" x14ac:dyDescent="0.3">
      <c r="B23" s="94" t="s">
        <v>402</v>
      </c>
      <c r="C23" s="95">
        <v>2010</v>
      </c>
      <c r="D23" s="95">
        <v>2011</v>
      </c>
      <c r="E23" s="95">
        <v>2012</v>
      </c>
      <c r="F23" s="95">
        <v>2013</v>
      </c>
      <c r="G23" s="95">
        <v>2014</v>
      </c>
      <c r="H23" s="95">
        <v>2015</v>
      </c>
      <c r="I23" s="95">
        <v>2016</v>
      </c>
      <c r="J23" s="95">
        <v>2017</v>
      </c>
      <c r="K23" s="95">
        <v>2018</v>
      </c>
      <c r="L23" s="95">
        <v>2019</v>
      </c>
      <c r="M23" s="95">
        <v>2020</v>
      </c>
      <c r="P23" s="145" t="s">
        <v>404</v>
      </c>
      <c r="Q23" s="145" t="s">
        <v>405</v>
      </c>
    </row>
    <row r="24" spans="1:19" x14ac:dyDescent="0.3">
      <c r="B24" s="104" t="s">
        <v>415</v>
      </c>
      <c r="C24" s="151">
        <v>56070.71</v>
      </c>
      <c r="D24" s="151">
        <v>122581.34</v>
      </c>
      <c r="E24" s="151">
        <v>5462.11</v>
      </c>
      <c r="F24" s="151">
        <v>542274.57999999996</v>
      </c>
      <c r="G24" s="151">
        <v>1759581.37</v>
      </c>
      <c r="H24" s="151">
        <v>5542969.5099999998</v>
      </c>
      <c r="I24" s="151">
        <v>18200724.309999999</v>
      </c>
      <c r="J24" s="151">
        <v>28487048.469999999</v>
      </c>
      <c r="K24" s="151">
        <v>30008706.98</v>
      </c>
      <c r="L24" s="151">
        <v>44570067.979999997</v>
      </c>
      <c r="M24" s="151">
        <v>77190059.980000004</v>
      </c>
      <c r="O24" s="146"/>
      <c r="P24" s="146">
        <f>+RATE(5,0,I24,-M24)</f>
        <v>0.33504080949125747</v>
      </c>
      <c r="Q24" s="146">
        <f>+RATE(3,0,K24,-M24)</f>
        <v>0.37016025382660317</v>
      </c>
    </row>
    <row r="25" spans="1:19" x14ac:dyDescent="0.3">
      <c r="B25" s="149" t="s">
        <v>408</v>
      </c>
      <c r="D25" s="150">
        <f>+D24/C24-1</f>
        <v>1.1861920421553429</v>
      </c>
      <c r="E25" s="150">
        <f t="shared" ref="E25" si="10">+E24/D24-1</f>
        <v>-0.95544093415849429</v>
      </c>
      <c r="F25" s="150">
        <f t="shared" ref="F25" si="11">+F24/E24-1</f>
        <v>98.279322459635566</v>
      </c>
      <c r="G25" s="150">
        <f t="shared" ref="G25" si="12">+G24/F24-1</f>
        <v>2.2448162515749868</v>
      </c>
      <c r="H25" s="150">
        <f t="shared" ref="H25" si="13">+H24/G24-1</f>
        <v>2.1501637858327629</v>
      </c>
      <c r="I25" s="150">
        <f t="shared" ref="I25" si="14">+I24/H24-1</f>
        <v>2.2835692632197069</v>
      </c>
      <c r="J25" s="150">
        <f t="shared" ref="J25" si="15">+J24/I24-1</f>
        <v>0.56516015433234146</v>
      </c>
      <c r="K25" s="150">
        <f t="shared" ref="K25" si="16">+K24/J24-1</f>
        <v>5.3415800924496493E-2</v>
      </c>
      <c r="L25" s="150">
        <f t="shared" ref="L25" si="17">+L24/K24-1</f>
        <v>0.48523786811956793</v>
      </c>
      <c r="M25" s="150">
        <f t="shared" ref="M25" si="18">+M24/L24-1</f>
        <v>0.73188113634104468</v>
      </c>
      <c r="O25" s="146"/>
      <c r="P25" s="146"/>
      <c r="Q25" s="146"/>
    </row>
    <row r="26" spans="1:19" x14ac:dyDescent="0.3">
      <c r="B26" s="149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19" x14ac:dyDescent="0.3">
      <c r="B27" s="4" t="s">
        <v>416</v>
      </c>
    </row>
    <row r="29" spans="1:19" x14ac:dyDescent="0.3">
      <c r="A29" s="98" t="s">
        <v>417</v>
      </c>
      <c r="B29" s="99" t="s">
        <v>418</v>
      </c>
      <c r="C29" s="100"/>
      <c r="D29" s="101"/>
      <c r="E29" s="101"/>
      <c r="F29" s="101"/>
      <c r="G29" s="101"/>
    </row>
    <row r="31" spans="1:19" x14ac:dyDescent="0.3">
      <c r="B31" s="94" t="s">
        <v>419</v>
      </c>
      <c r="C31" s="102" t="s">
        <v>420</v>
      </c>
    </row>
    <row r="32" spans="1:19" x14ac:dyDescent="0.3">
      <c r="B32" s="96" t="s">
        <v>421</v>
      </c>
      <c r="C32" s="97">
        <v>715557</v>
      </c>
    </row>
    <row r="33" spans="1:7" x14ac:dyDescent="0.3">
      <c r="B33" s="96" t="s">
        <v>422</v>
      </c>
      <c r="C33" s="97">
        <v>475453</v>
      </c>
    </row>
    <row r="34" spans="1:7" x14ac:dyDescent="0.3">
      <c r="B34" s="96" t="s">
        <v>423</v>
      </c>
      <c r="C34" s="97">
        <v>368743</v>
      </c>
    </row>
    <row r="35" spans="1:7" x14ac:dyDescent="0.3">
      <c r="B35" s="96" t="s">
        <v>424</v>
      </c>
      <c r="C35" s="97">
        <v>348921</v>
      </c>
    </row>
    <row r="36" spans="1:7" x14ac:dyDescent="0.3">
      <c r="B36" s="96" t="s">
        <v>425</v>
      </c>
      <c r="C36" s="97">
        <v>302464</v>
      </c>
    </row>
    <row r="37" spans="1:7" x14ac:dyDescent="0.3">
      <c r="C37" s="103">
        <f>SUM(C32:C36)</f>
        <v>2211138</v>
      </c>
    </row>
    <row r="38" spans="1:7" x14ac:dyDescent="0.3">
      <c r="B38" s="104" t="s">
        <v>426</v>
      </c>
    </row>
    <row r="40" spans="1:7" x14ac:dyDescent="0.3">
      <c r="A40" s="98" t="s">
        <v>427</v>
      </c>
      <c r="B40" s="433" t="s">
        <v>428</v>
      </c>
      <c r="C40" s="433"/>
      <c r="D40" s="433"/>
      <c r="E40" s="433"/>
      <c r="F40" s="433"/>
      <c r="G40" s="433"/>
    </row>
    <row r="41" spans="1:7" x14ac:dyDescent="0.3">
      <c r="A41" s="98"/>
    </row>
    <row r="42" spans="1:7" x14ac:dyDescent="0.3">
      <c r="B42" s="91" t="s">
        <v>248</v>
      </c>
      <c r="C42" s="429" t="s">
        <v>249</v>
      </c>
      <c r="D42" s="434"/>
      <c r="E42" s="434"/>
    </row>
    <row r="43" spans="1:7" x14ac:dyDescent="0.3">
      <c r="B43" s="91" t="s">
        <v>250</v>
      </c>
      <c r="C43" s="429" t="s">
        <v>251</v>
      </c>
      <c r="D43" s="434"/>
      <c r="E43" s="434"/>
    </row>
    <row r="45" spans="1:7" x14ac:dyDescent="0.3">
      <c r="B45" s="91" t="s">
        <v>429</v>
      </c>
      <c r="C45" s="105" t="s">
        <v>430</v>
      </c>
    </row>
    <row r="46" spans="1:7" x14ac:dyDescent="0.3">
      <c r="B46" s="91" t="s">
        <v>429</v>
      </c>
      <c r="C46" s="105">
        <v>35</v>
      </c>
      <c r="D46" s="91" t="s">
        <v>261</v>
      </c>
    </row>
    <row r="47" spans="1:7" x14ac:dyDescent="0.3">
      <c r="B47" s="91" t="s">
        <v>431</v>
      </c>
      <c r="C47" s="103">
        <v>10000</v>
      </c>
      <c r="D47" s="91" t="s">
        <v>261</v>
      </c>
    </row>
    <row r="48" spans="1:7" x14ac:dyDescent="0.3">
      <c r="B48" s="91" t="s">
        <v>432</v>
      </c>
      <c r="C48" s="106">
        <f>C47/C46</f>
        <v>285.71428571428572</v>
      </c>
      <c r="D48" s="91" t="s">
        <v>433</v>
      </c>
    </row>
    <row r="49" spans="1:29" x14ac:dyDescent="0.3">
      <c r="B49" s="104" t="s">
        <v>263</v>
      </c>
    </row>
    <row r="50" spans="1:29" x14ac:dyDescent="0.3">
      <c r="B50" s="91" t="s">
        <v>254</v>
      </c>
      <c r="C50" s="107" t="s">
        <v>255</v>
      </c>
    </row>
    <row r="51" spans="1:29" x14ac:dyDescent="0.3">
      <c r="B51" s="107" t="s">
        <v>256</v>
      </c>
      <c r="C51" s="429" t="s">
        <v>257</v>
      </c>
      <c r="D51" s="429"/>
    </row>
    <row r="52" spans="1:29" x14ac:dyDescent="0.3">
      <c r="B52" s="91" t="s">
        <v>258</v>
      </c>
      <c r="C52" s="429" t="s">
        <v>259</v>
      </c>
      <c r="D52" s="429"/>
    </row>
    <row r="53" spans="1:29" x14ac:dyDescent="0.3">
      <c r="B53" s="91"/>
      <c r="C53" s="287"/>
      <c r="D53" s="287"/>
    </row>
    <row r="54" spans="1:29" x14ac:dyDescent="0.3">
      <c r="B54" s="108" t="s">
        <v>238</v>
      </c>
      <c r="C54" s="102">
        <v>1</v>
      </c>
      <c r="D54" s="102">
        <v>2</v>
      </c>
      <c r="E54" s="102">
        <v>3</v>
      </c>
      <c r="F54" s="102">
        <v>4</v>
      </c>
      <c r="G54" s="102">
        <v>5</v>
      </c>
      <c r="H54" s="102">
        <v>6</v>
      </c>
      <c r="I54" s="102">
        <v>7</v>
      </c>
    </row>
    <row r="55" spans="1:29" x14ac:dyDescent="0.3">
      <c r="B55" s="91" t="s">
        <v>415</v>
      </c>
      <c r="C55" s="58">
        <f>12*(C54)-10</f>
        <v>2</v>
      </c>
      <c r="D55" s="58">
        <f>12*(D54)-10</f>
        <v>14</v>
      </c>
      <c r="E55" s="58">
        <f t="shared" ref="E55:I55" si="19">12*(E54)-10</f>
        <v>26</v>
      </c>
      <c r="F55" s="58">
        <f t="shared" si="19"/>
        <v>38</v>
      </c>
      <c r="G55" s="58">
        <f t="shared" si="19"/>
        <v>50</v>
      </c>
      <c r="H55" s="58">
        <f t="shared" si="19"/>
        <v>62</v>
      </c>
      <c r="I55" s="58">
        <f t="shared" si="19"/>
        <v>74</v>
      </c>
    </row>
    <row r="57" spans="1:29" x14ac:dyDescent="0.3">
      <c r="A57" s="98" t="s">
        <v>434</v>
      </c>
      <c r="B57" s="433" t="s">
        <v>435</v>
      </c>
      <c r="C57" s="433"/>
      <c r="D57" s="433"/>
      <c r="E57" s="433"/>
      <c r="F57" s="433"/>
      <c r="G57" s="433"/>
    </row>
    <row r="59" spans="1:29" x14ac:dyDescent="0.3">
      <c r="B59" s="94" t="s">
        <v>238</v>
      </c>
      <c r="C59" s="95">
        <v>2010</v>
      </c>
      <c r="D59" s="95">
        <v>2011</v>
      </c>
      <c r="E59" s="95">
        <v>2012</v>
      </c>
      <c r="F59" s="95">
        <v>2013</v>
      </c>
      <c r="G59" s="95">
        <v>2014</v>
      </c>
      <c r="H59" s="95">
        <v>2015</v>
      </c>
      <c r="I59" s="95">
        <v>2016</v>
      </c>
      <c r="J59" s="95">
        <v>2017</v>
      </c>
      <c r="K59" s="95">
        <v>2018</v>
      </c>
      <c r="L59" s="95">
        <v>2019</v>
      </c>
      <c r="M59" s="95">
        <v>2020</v>
      </c>
      <c r="N59" s="95">
        <v>2021</v>
      </c>
      <c r="O59" s="95">
        <v>2022</v>
      </c>
      <c r="P59" s="95">
        <v>2023</v>
      </c>
      <c r="Q59" s="95">
        <v>2024</v>
      </c>
      <c r="R59" s="95">
        <v>2025</v>
      </c>
      <c r="S59" s="95">
        <v>2026</v>
      </c>
      <c r="T59" s="95">
        <v>2027</v>
      </c>
      <c r="U59" s="95">
        <v>2028</v>
      </c>
      <c r="V59" s="95">
        <v>2029</v>
      </c>
      <c r="W59" s="95">
        <v>2030</v>
      </c>
      <c r="X59" s="95">
        <v>2031</v>
      </c>
      <c r="Y59" s="95">
        <v>2032</v>
      </c>
      <c r="Z59" s="95">
        <v>2033</v>
      </c>
      <c r="AA59" s="95">
        <v>2034</v>
      </c>
      <c r="AB59" s="95">
        <v>2035</v>
      </c>
      <c r="AC59" s="95">
        <v>2036</v>
      </c>
    </row>
    <row r="60" spans="1:29" x14ac:dyDescent="0.3">
      <c r="B60" s="4" t="s">
        <v>436</v>
      </c>
      <c r="C60" s="159">
        <f>+C13</f>
        <v>4205.9509359324993</v>
      </c>
      <c r="D60" s="159">
        <f t="shared" ref="D60:M60" si="20">+D13</f>
        <v>3595.7599490000002</v>
      </c>
      <c r="E60" s="159">
        <f t="shared" si="20"/>
        <v>4446.49723576</v>
      </c>
      <c r="F60" s="159">
        <f t="shared" si="20"/>
        <v>3877.5964282649993</v>
      </c>
      <c r="G60" s="159">
        <f t="shared" si="20"/>
        <v>3976.8219808649992</v>
      </c>
      <c r="H60" s="159">
        <f t="shared" si="20"/>
        <v>6448.3359826366686</v>
      </c>
      <c r="I60" s="159">
        <f t="shared" si="20"/>
        <v>5821.0673623199991</v>
      </c>
      <c r="J60" s="159">
        <f t="shared" si="20"/>
        <v>5523.2827056875003</v>
      </c>
      <c r="K60" s="159">
        <f t="shared" si="20"/>
        <v>6460.9815025933331</v>
      </c>
      <c r="L60" s="159">
        <f t="shared" si="20"/>
        <v>6429.7623091866681</v>
      </c>
      <c r="M60" s="159">
        <f t="shared" si="20"/>
        <v>7123.3762173349933</v>
      </c>
      <c r="N60" s="158">
        <f>+PyG!C33</f>
        <v>7550.7787903750932</v>
      </c>
      <c r="O60" s="158">
        <f>+PyG!D33</f>
        <v>7928.3177298938481</v>
      </c>
      <c r="P60" s="158">
        <f>+PyG!E33</f>
        <v>8245.4504390896018</v>
      </c>
      <c r="Q60" s="158">
        <f>+PyG!F33</f>
        <v>8492.8139522622896</v>
      </c>
      <c r="R60" s="158">
        <f>+PyG!G33</f>
        <v>8747.5983708301592</v>
      </c>
      <c r="S60" s="158">
        <f>+PyG!H33</f>
        <v>9010.0263219550634</v>
      </c>
      <c r="T60" s="158">
        <f>+PyG!I33</f>
        <v>9280.3271116137148</v>
      </c>
      <c r="U60" s="158">
        <f>+PyG!J33</f>
        <v>9558.7369249621261</v>
      </c>
      <c r="V60" s="158">
        <f>+PyG!K33</f>
        <v>9845.4990327109899</v>
      </c>
      <c r="W60" s="158">
        <f>+PyG!L33</f>
        <v>10140.864003692321</v>
      </c>
      <c r="X60" s="158">
        <f>+PyG!M33</f>
        <v>10445.089923803091</v>
      </c>
      <c r="Y60" s="158">
        <f>+PyG!N33</f>
        <v>10758.442621517184</v>
      </c>
      <c r="Z60" s="158">
        <f>+PyG!O33</f>
        <v>11081.1959001627</v>
      </c>
      <c r="AA60" s="158">
        <f>+PyG!P33</f>
        <v>11413.631777167582</v>
      </c>
      <c r="AB60" s="158">
        <f>+PyG!Q33</f>
        <v>11756.040730482609</v>
      </c>
      <c r="AC60" s="158">
        <f>+PyG!R33</f>
        <v>12108.721952397089</v>
      </c>
    </row>
    <row r="61" spans="1:29" x14ac:dyDescent="0.3">
      <c r="B61" s="4" t="s">
        <v>437</v>
      </c>
      <c r="N61" s="370">
        <f>+PyG!C303</f>
        <v>0.06</v>
      </c>
      <c r="O61" s="370">
        <f>+PyG!D303</f>
        <v>0.05</v>
      </c>
      <c r="P61" s="370">
        <f>+PyG!E303</f>
        <v>0.04</v>
      </c>
      <c r="Q61" s="370">
        <f>+PyG!F303</f>
        <v>0.03</v>
      </c>
      <c r="R61" s="370">
        <f>+PyG!G303</f>
        <v>0.03</v>
      </c>
      <c r="S61" s="370">
        <f>+PyG!H303</f>
        <v>0.03</v>
      </c>
      <c r="T61" s="370">
        <f>+PyG!I303</f>
        <v>0.03</v>
      </c>
      <c r="U61" s="370">
        <f>+PyG!J303</f>
        <v>0.03</v>
      </c>
      <c r="V61" s="370">
        <f>+PyG!K303</f>
        <v>0.03</v>
      </c>
      <c r="W61" s="370">
        <f>+PyG!L303</f>
        <v>0.03</v>
      </c>
      <c r="X61" s="370">
        <f>+PyG!M303</f>
        <v>0.03</v>
      </c>
      <c r="Y61" s="370">
        <f>+PyG!N303</f>
        <v>0.03</v>
      </c>
      <c r="Z61" s="370">
        <f>+PyG!O303</f>
        <v>0.03</v>
      </c>
      <c r="AA61" s="370">
        <f>+PyG!P303</f>
        <v>0.03</v>
      </c>
      <c r="AB61" s="370">
        <f>+PyG!Q303</f>
        <v>0.03</v>
      </c>
      <c r="AC61" s="370">
        <f>+PyG!R303</f>
        <v>0.03</v>
      </c>
    </row>
  </sheetData>
  <mergeCells count="6">
    <mergeCell ref="B57:G57"/>
    <mergeCell ref="C42:E42"/>
    <mergeCell ref="C43:E43"/>
    <mergeCell ref="B40:G40"/>
    <mergeCell ref="C51:D51"/>
    <mergeCell ref="C52:D52"/>
  </mergeCells>
  <pageMargins left="0.7" right="0.7" top="0.75" bottom="0.75" header="0.3" footer="0.3"/>
  <pageSetup paperSize="9" orientation="portrait" r:id="rId1"/>
  <ignoredErrors>
    <ignoredError sqref="A4 A21 A29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55E9-2AE7-4921-8AE3-68EC7C011CC4}">
  <sheetPr>
    <tabColor theme="3" tint="0.79998168889431442"/>
  </sheetPr>
  <dimension ref="B2:G13"/>
  <sheetViews>
    <sheetView showGridLines="0" zoomScale="80" zoomScaleNormal="80" workbookViewId="0">
      <selection activeCell="E3" sqref="E3"/>
    </sheetView>
  </sheetViews>
  <sheetFormatPr baseColWidth="10" defaultColWidth="11.453125" defaultRowHeight="13" x14ac:dyDescent="0.3"/>
  <cols>
    <col min="1" max="1" width="5.26953125" style="4" customWidth="1"/>
    <col min="2" max="2" width="7.453125" style="4" customWidth="1"/>
    <col min="3" max="4" width="11" style="4" customWidth="1"/>
    <col min="5" max="5" width="86" style="4" customWidth="1"/>
    <col min="6" max="6" width="79.7265625" style="4" customWidth="1"/>
    <col min="7" max="7" width="78.54296875" style="4" customWidth="1"/>
    <col min="8" max="16384" width="11.453125" style="4"/>
  </cols>
  <sheetData>
    <row r="2" spans="2:7" ht="21" customHeight="1" x14ac:dyDescent="0.3">
      <c r="B2" s="131" t="s">
        <v>438</v>
      </c>
      <c r="C2" s="131" t="s">
        <v>439</v>
      </c>
      <c r="D2" s="131" t="s">
        <v>440</v>
      </c>
      <c r="E2" s="131" t="s">
        <v>441</v>
      </c>
      <c r="F2" s="131" t="s">
        <v>442</v>
      </c>
      <c r="G2" s="131" t="s">
        <v>443</v>
      </c>
    </row>
    <row r="3" spans="2:7" ht="44.25" customHeight="1" x14ac:dyDescent="0.3">
      <c r="B3" s="128">
        <v>1</v>
      </c>
      <c r="C3" s="128" t="s">
        <v>444</v>
      </c>
      <c r="D3" s="128" t="s">
        <v>445</v>
      </c>
      <c r="E3" s="130" t="s">
        <v>446</v>
      </c>
      <c r="F3" s="129" t="s">
        <v>447</v>
      </c>
      <c r="G3" s="130" t="s">
        <v>448</v>
      </c>
    </row>
    <row r="4" spans="2:7" ht="72.5" x14ac:dyDescent="0.3">
      <c r="B4" s="128">
        <v>2</v>
      </c>
      <c r="C4" s="128" t="s">
        <v>449</v>
      </c>
      <c r="D4" s="128" t="s">
        <v>450</v>
      </c>
      <c r="E4" s="130" t="s">
        <v>451</v>
      </c>
      <c r="F4" s="129" t="s">
        <v>452</v>
      </c>
      <c r="G4" s="130" t="s">
        <v>453</v>
      </c>
    </row>
    <row r="5" spans="2:7" ht="43.5" x14ac:dyDescent="0.3">
      <c r="B5" s="128">
        <v>3</v>
      </c>
      <c r="C5" s="128" t="s">
        <v>454</v>
      </c>
      <c r="D5" s="128" t="s">
        <v>455</v>
      </c>
      <c r="E5" s="130" t="s">
        <v>456</v>
      </c>
      <c r="F5" s="129" t="s">
        <v>457</v>
      </c>
      <c r="G5" s="130" t="s">
        <v>458</v>
      </c>
    </row>
    <row r="6" spans="2:7" ht="40.5" customHeight="1" x14ac:dyDescent="0.3">
      <c r="B6" s="128">
        <v>4</v>
      </c>
      <c r="C6" s="128" t="s">
        <v>459</v>
      </c>
      <c r="D6" s="128" t="s">
        <v>460</v>
      </c>
      <c r="E6" s="130" t="s">
        <v>461</v>
      </c>
      <c r="F6" s="129" t="s">
        <v>462</v>
      </c>
      <c r="G6" s="130" t="s">
        <v>463</v>
      </c>
    </row>
    <row r="7" spans="2:7" ht="30.75" customHeight="1" x14ac:dyDescent="0.3">
      <c r="B7" s="128">
        <v>5</v>
      </c>
      <c r="C7" s="128" t="s">
        <v>459</v>
      </c>
      <c r="D7" s="128" t="s">
        <v>464</v>
      </c>
      <c r="E7" s="130" t="s">
        <v>465</v>
      </c>
      <c r="F7" s="130" t="s">
        <v>466</v>
      </c>
      <c r="G7" s="130" t="s">
        <v>467</v>
      </c>
    </row>
    <row r="8" spans="2:7" ht="23.25" customHeight="1" x14ac:dyDescent="0.3">
      <c r="B8" s="128">
        <v>6</v>
      </c>
      <c r="C8" s="128" t="s">
        <v>128</v>
      </c>
      <c r="D8" s="128" t="s">
        <v>128</v>
      </c>
      <c r="E8" s="130" t="s">
        <v>468</v>
      </c>
      <c r="F8" s="129" t="s">
        <v>469</v>
      </c>
      <c r="G8" s="130" t="s">
        <v>470</v>
      </c>
    </row>
    <row r="9" spans="2:7" ht="26.25" customHeight="1" x14ac:dyDescent="0.3">
      <c r="B9" s="128">
        <v>7</v>
      </c>
      <c r="C9" s="128" t="s">
        <v>129</v>
      </c>
      <c r="D9" s="128" t="s">
        <v>129</v>
      </c>
      <c r="E9" s="130" t="s">
        <v>468</v>
      </c>
      <c r="F9" s="129" t="s">
        <v>469</v>
      </c>
      <c r="G9" s="130" t="s">
        <v>471</v>
      </c>
    </row>
    <row r="10" spans="2:7" ht="45" customHeight="1" x14ac:dyDescent="0.3">
      <c r="B10" s="128">
        <v>8</v>
      </c>
      <c r="C10" s="128" t="s">
        <v>472</v>
      </c>
      <c r="D10" s="128" t="s">
        <v>472</v>
      </c>
      <c r="E10" s="130" t="s">
        <v>473</v>
      </c>
      <c r="F10" s="129" t="s">
        <v>474</v>
      </c>
      <c r="G10" s="130" t="s">
        <v>475</v>
      </c>
    </row>
    <row r="11" spans="2:7" ht="36" customHeight="1" x14ac:dyDescent="0.3">
      <c r="B11" s="128">
        <v>9</v>
      </c>
      <c r="C11" s="128" t="s">
        <v>127</v>
      </c>
      <c r="D11" s="128" t="s">
        <v>127</v>
      </c>
      <c r="E11" s="130" t="s">
        <v>476</v>
      </c>
      <c r="F11" s="129" t="s">
        <v>477</v>
      </c>
      <c r="G11" s="130" t="s">
        <v>478</v>
      </c>
    </row>
    <row r="12" spans="2:7" ht="30.75" customHeight="1" x14ac:dyDescent="0.3">
      <c r="B12" s="128">
        <v>10</v>
      </c>
      <c r="C12" s="128" t="s">
        <v>129</v>
      </c>
      <c r="D12" s="128" t="s">
        <v>129</v>
      </c>
      <c r="E12" s="130" t="s">
        <v>468</v>
      </c>
      <c r="F12" s="129" t="s">
        <v>479</v>
      </c>
      <c r="G12" s="130" t="s">
        <v>480</v>
      </c>
    </row>
    <row r="13" spans="2:7" ht="33" customHeight="1" x14ac:dyDescent="0.3">
      <c r="B13" s="128">
        <v>11</v>
      </c>
      <c r="C13" s="128" t="s">
        <v>481</v>
      </c>
      <c r="D13" s="128" t="s">
        <v>482</v>
      </c>
      <c r="E13" s="130" t="s">
        <v>483</v>
      </c>
      <c r="F13" s="129" t="s">
        <v>474</v>
      </c>
      <c r="G13" s="130" t="s">
        <v>484</v>
      </c>
    </row>
  </sheetData>
  <hyperlinks>
    <hyperlink ref="F3" r:id="rId1" xr:uid="{91407708-E912-4283-9422-D3448BF5BE0B}"/>
    <hyperlink ref="F4" r:id="rId2" display="https://totoro.banrep.gov.co/analytics/saw.dll?Go&amp;NQUser=publico&amp;NQPassword=publico123&amp;Action=prompt&amp;path=%2Fshared%2FSeries%20Estad%C3%ADsticas_T%2F1.%20Tasa%20de%20Cambio%20Peso%20Colombiano%2F1.1%20TRM%20-%20Disponible%20desde%20el%2027%20de%20noviembre%20de%201991%2F1.1.12.TCM_Serie%20historica%20promedio%20mensual&amp;Options=rdf" xr:uid="{29B90183-6D16-4F11-933C-780A29C8AA87}"/>
    <hyperlink ref="F5" r:id="rId3" xr:uid="{A97A9425-37D4-4DAE-B564-960F71FC2C17}"/>
    <hyperlink ref="F6" r:id="rId4" xr:uid="{7CF59DFB-394B-4ACE-BEB7-87C93D1A0ECF}"/>
    <hyperlink ref="F7" r:id="rId5" display="https://es.tradingeconomics.com/colombia/government-bond-yield?embed" xr:uid="{5E6F352C-25A4-40B8-9954-44C85E245828}"/>
    <hyperlink ref="F8" r:id="rId6" xr:uid="{BA4257B7-3657-4AA4-8BF4-DC0522309761}"/>
    <hyperlink ref="F9" r:id="rId7" xr:uid="{CAB8604D-F2A3-4ACF-A5F0-8D2430CA845A}"/>
    <hyperlink ref="F11" r:id="rId8" xr:uid="{75E6EEB2-DDE9-4D13-8470-ED64454A03D0}"/>
    <hyperlink ref="F12" r:id="rId9" xr:uid="{0D632E07-E406-4857-84C8-D91EE37E54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DB9D-5942-41CF-872C-644A952F054E}">
  <dimension ref="A1:V72"/>
  <sheetViews>
    <sheetView showGridLines="0" zoomScale="80" zoomScaleNormal="80"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G56" sqref="G56"/>
    </sheetView>
  </sheetViews>
  <sheetFormatPr baseColWidth="10" defaultColWidth="11.453125" defaultRowHeight="13" x14ac:dyDescent="0.3"/>
  <cols>
    <col min="1" max="1" width="5.7265625" style="4" customWidth="1"/>
    <col min="2" max="2" width="31.7265625" style="4" bestFit="1" customWidth="1"/>
    <col min="3" max="3" width="13.54296875" style="4" bestFit="1" customWidth="1"/>
    <col min="4" max="18" width="13.453125" style="4" bestFit="1" customWidth="1"/>
    <col min="19" max="19" width="9.26953125" style="4" customWidth="1"/>
    <col min="20" max="20" width="11.453125" style="4" customWidth="1"/>
    <col min="21" max="21" width="11.453125" style="4"/>
    <col min="22" max="22" width="13.81640625" style="4" bestFit="1" customWidth="1"/>
    <col min="23" max="16384" width="11.453125" style="4"/>
  </cols>
  <sheetData>
    <row r="1" spans="1:22" s="11" customFormat="1" ht="15.75" customHeight="1" x14ac:dyDescent="0.35">
      <c r="A1" s="11" t="s">
        <v>7</v>
      </c>
      <c r="B1" s="10"/>
      <c r="C1" s="20">
        <v>2021</v>
      </c>
      <c r="D1" s="10">
        <v>2022</v>
      </c>
      <c r="E1" s="10">
        <v>2023</v>
      </c>
      <c r="F1" s="10">
        <v>2024</v>
      </c>
      <c r="G1" s="10">
        <v>2025</v>
      </c>
      <c r="H1" s="10">
        <v>2026</v>
      </c>
      <c r="I1" s="10">
        <v>2027</v>
      </c>
      <c r="J1" s="10">
        <v>2028</v>
      </c>
      <c r="K1" s="10">
        <v>2029</v>
      </c>
      <c r="L1" s="10">
        <v>2030</v>
      </c>
      <c r="M1" s="10">
        <v>2031</v>
      </c>
      <c r="N1" s="10">
        <v>2032</v>
      </c>
      <c r="O1" s="10">
        <v>2033</v>
      </c>
      <c r="P1" s="10">
        <v>2034</v>
      </c>
      <c r="Q1" s="10">
        <v>2035</v>
      </c>
      <c r="R1" s="10">
        <v>2036</v>
      </c>
      <c r="T1" s="10" t="s">
        <v>8</v>
      </c>
      <c r="U1" s="10" t="s">
        <v>9</v>
      </c>
      <c r="V1" s="10" t="s">
        <v>10</v>
      </c>
    </row>
    <row r="3" spans="1:22" ht="14.5" x14ac:dyDescent="0.35">
      <c r="B3" s="5" t="s">
        <v>11</v>
      </c>
      <c r="C3" s="274">
        <f>+V3</f>
        <v>21428.571428571428</v>
      </c>
      <c r="D3" s="274">
        <f>+IF(C3=$T$3,0,$V$3)</f>
        <v>21428.571428571428</v>
      </c>
      <c r="E3" s="274">
        <f>+IF(SUM($C$3:D3)=$T$3,0,$V$3)</f>
        <v>21428.571428571428</v>
      </c>
      <c r="F3" s="274">
        <f>+IF(SUM($C$3:E3)=$T$3,0,$V$3)</f>
        <v>21428.571428571428</v>
      </c>
      <c r="G3" s="274">
        <f>+IF(SUM($C$3:F3)=$T$3,0,$V$3)</f>
        <v>21428.571428571428</v>
      </c>
      <c r="H3" s="274">
        <f>+IF(SUM($C$3:G3)=$T$3,0,$V$3)</f>
        <v>21428.571428571428</v>
      </c>
      <c r="I3" s="274">
        <f>+IF(SUM($C$3:H3)=$T$3,0,$V$3)</f>
        <v>21428.571428571428</v>
      </c>
      <c r="J3" s="274">
        <f>+IF(SUM($C$3:I3)=$T$3,0,$V$3)</f>
        <v>0</v>
      </c>
      <c r="K3" s="274">
        <f>+IF(SUM($C$3:J3)=$T$3,0,$V$3)</f>
        <v>0</v>
      </c>
      <c r="L3" s="274">
        <f>+IF(SUM($C$3:K3)=$T$3,0,$V$3)</f>
        <v>0</v>
      </c>
      <c r="M3" s="274">
        <f>+IF(SUM($C$3:L3)=$T$3,0,$V$3)</f>
        <v>0</v>
      </c>
      <c r="N3" s="274">
        <f>+IF(SUM($C$3:M3)=$T$3,0,$V$3)</f>
        <v>0</v>
      </c>
      <c r="O3" s="274">
        <f>+IF(SUM($C$3:N3)=$T$3,0,$V$3)</f>
        <v>0</v>
      </c>
      <c r="P3" s="274">
        <f>+IF(SUM($C$3:O3)=$T$3,0,$V$3)</f>
        <v>0</v>
      </c>
      <c r="Q3" s="274">
        <f>+IF(SUM($C$3:P3)=$T$3,0,$V$3)</f>
        <v>0</v>
      </c>
      <c r="R3" s="274">
        <f>+IF(SUM($C$3:Q3)=$T$3,0,$V$3)</f>
        <v>0</v>
      </c>
      <c r="T3" s="412">
        <v>150000</v>
      </c>
      <c r="U3" s="413">
        <v>7</v>
      </c>
      <c r="V3" s="426">
        <f>+T3/U3</f>
        <v>21428.571428571428</v>
      </c>
    </row>
    <row r="5" spans="1:22" x14ac:dyDescent="0.3">
      <c r="B5" s="5" t="s">
        <v>12</v>
      </c>
      <c r="C5" s="6">
        <f>+C$1</f>
        <v>2021</v>
      </c>
      <c r="D5" s="6">
        <f>+D1</f>
        <v>2022</v>
      </c>
      <c r="E5" s="6">
        <f t="shared" ref="E5:R5" si="0">+E1</f>
        <v>2023</v>
      </c>
      <c r="F5" s="6">
        <f t="shared" si="0"/>
        <v>2024</v>
      </c>
      <c r="G5" s="6">
        <f t="shared" si="0"/>
        <v>2025</v>
      </c>
      <c r="H5" s="6">
        <f t="shared" si="0"/>
        <v>2026</v>
      </c>
      <c r="I5" s="6">
        <f t="shared" si="0"/>
        <v>2027</v>
      </c>
      <c r="J5" s="6">
        <f t="shared" si="0"/>
        <v>2028</v>
      </c>
      <c r="K5" s="6">
        <f t="shared" si="0"/>
        <v>2029</v>
      </c>
      <c r="L5" s="6">
        <f t="shared" si="0"/>
        <v>2030</v>
      </c>
      <c r="M5" s="6">
        <f t="shared" si="0"/>
        <v>2031</v>
      </c>
      <c r="N5" s="6">
        <f t="shared" si="0"/>
        <v>2032</v>
      </c>
      <c r="O5" s="6">
        <f t="shared" si="0"/>
        <v>2033</v>
      </c>
      <c r="P5" s="6">
        <f t="shared" si="0"/>
        <v>2034</v>
      </c>
      <c r="Q5" s="6">
        <f t="shared" si="0"/>
        <v>2035</v>
      </c>
      <c r="R5" s="6">
        <f t="shared" si="0"/>
        <v>2036</v>
      </c>
    </row>
    <row r="6" spans="1:22" ht="7.5" customHeight="1" x14ac:dyDescent="0.3"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</row>
    <row r="7" spans="1:22" x14ac:dyDescent="0.3">
      <c r="B7" s="8" t="s">
        <v>13</v>
      </c>
      <c r="C7" s="281">
        <f>+PyG!C3</f>
        <v>0</v>
      </c>
      <c r="D7" s="281">
        <f>+PyG!D3</f>
        <v>0</v>
      </c>
      <c r="E7" s="281">
        <f>+PyG!E3</f>
        <v>0</v>
      </c>
      <c r="F7" s="281">
        <f>+PyG!F3</f>
        <v>18098.189500467299</v>
      </c>
      <c r="G7" s="281">
        <f>+PyG!G3</f>
        <v>25666.887116016154</v>
      </c>
      <c r="H7" s="281">
        <f>+PyG!H3</f>
        <v>32771.211705955182</v>
      </c>
      <c r="I7" s="281">
        <f>+PyG!I3</f>
        <v>39432.30661169369</v>
      </c>
      <c r="J7" s="281">
        <f>+PyG!J3</f>
        <v>61716.832898903565</v>
      </c>
      <c r="K7" s="281">
        <f>+PyG!K3</f>
        <v>62988.719534515025</v>
      </c>
      <c r="L7" s="281">
        <f>+PyG!L3</f>
        <v>62512.639057639681</v>
      </c>
      <c r="M7" s="281">
        <f>+PyG!M3</f>
        <v>62010.320784250624</v>
      </c>
      <c r="N7" s="281">
        <f>+PyG!N3</f>
        <v>61483.764953345002</v>
      </c>
      <c r="O7" s="281">
        <f>+PyG!O3</f>
        <v>63683.235183396726</v>
      </c>
      <c r="P7" s="281">
        <f>+PyG!P3</f>
        <v>61801.619824485075</v>
      </c>
      <c r="Q7" s="281">
        <f>+PyG!Q3</f>
        <v>59976.344395666565</v>
      </c>
      <c r="R7" s="281">
        <f>+PyG!R3</f>
        <v>56273.421731977622</v>
      </c>
    </row>
    <row r="8" spans="1:22" x14ac:dyDescent="0.3">
      <c r="B8" s="4" t="s">
        <v>14</v>
      </c>
      <c r="C8" s="251">
        <f>+PyG!C5</f>
        <v>-2065.8000000000002</v>
      </c>
      <c r="D8" s="251">
        <f>+PyG!D5</f>
        <v>-2169.09</v>
      </c>
      <c r="E8" s="251">
        <f>+PyG!E5</f>
        <v>-2148.4320000000002</v>
      </c>
      <c r="F8" s="251">
        <f>+PyG!F5</f>
        <v>13573.642125350474</v>
      </c>
      <c r="G8" s="251">
        <f>+PyG!G5</f>
        <v>19250.165337012117</v>
      </c>
      <c r="H8" s="251">
        <f>+PyG!H5</f>
        <v>24578.408779466386</v>
      </c>
      <c r="I8" s="251">
        <f>+PyG!I5</f>
        <v>29574.229958770266</v>
      </c>
      <c r="J8" s="251">
        <f>+PyG!J5</f>
        <v>46287.62467417767</v>
      </c>
      <c r="K8" s="251">
        <f>+PyG!K5</f>
        <v>47241.539650886269</v>
      </c>
      <c r="L8" s="251">
        <f>+PyG!L5</f>
        <v>46884.479293229757</v>
      </c>
      <c r="M8" s="251">
        <f>+PyG!M5</f>
        <v>46507.740588187968</v>
      </c>
      <c r="N8" s="251">
        <f>+PyG!N5</f>
        <v>46112.823715008752</v>
      </c>
      <c r="O8" s="251">
        <f>+PyG!O5</f>
        <v>47762.426387547544</v>
      </c>
      <c r="P8" s="251">
        <f>+PyG!P5</f>
        <v>46351.214868363808</v>
      </c>
      <c r="Q8" s="251">
        <f>+PyG!Q5</f>
        <v>44982.258296749926</v>
      </c>
      <c r="R8" s="251">
        <f>+PyG!R5</f>
        <v>42205.06629898322</v>
      </c>
    </row>
    <row r="9" spans="1:22" x14ac:dyDescent="0.3">
      <c r="B9" s="4" t="s">
        <v>15</v>
      </c>
      <c r="C9" s="251">
        <f>+PyG!C7+PyG!C8</f>
        <v>3462.9</v>
      </c>
      <c r="D9" s="251">
        <f>+PyG!D7+PyG!D8</f>
        <v>3636.0450000000005</v>
      </c>
      <c r="E9" s="251">
        <f>+PyG!E7+PyG!E8</f>
        <v>3781.4868000000006</v>
      </c>
      <c r="F9" s="251">
        <f>+PyG!F7+PyG!F8</f>
        <v>4075.9132990046737</v>
      </c>
      <c r="G9" s="251">
        <f>+PyG!G7+PyG!G8</f>
        <v>4268.4482172801627</v>
      </c>
      <c r="H9" s="251">
        <f>+PyG!H7+PyG!H8</f>
        <v>4459.8448435631526</v>
      </c>
      <c r="I9" s="251">
        <f>+PyG!I7+PyG!I8</f>
        <v>4650.4197744156463</v>
      </c>
      <c r="J9" s="251">
        <f>+PyG!J7+PyG!J8</f>
        <v>5000.9479385367067</v>
      </c>
      <c r="K9" s="251">
        <f>+PyG!K7+PyG!K8</f>
        <v>5145.1801931792506</v>
      </c>
      <c r="L9" s="251">
        <f>+PyG!L7+PyG!L8</f>
        <v>5275.8781783455206</v>
      </c>
      <c r="M9" s="251">
        <f>+PyG!M7+PyG!M8</f>
        <v>5410.3775492447039</v>
      </c>
      <c r="N9" s="251">
        <f>+PyG!N7+PyG!N8</f>
        <v>5548.8202211777143</v>
      </c>
      <c r="O9" s="251">
        <f>+PyG!O7+PyG!O8</f>
        <v>5718.8344006275602</v>
      </c>
      <c r="P9" s="251">
        <f>+PyG!P7+PyG!P8</f>
        <v>5852.4783085022518</v>
      </c>
      <c r="Q9" s="251">
        <f>+PyG!Q7+PyG!Q8</f>
        <v>5991.2594175217891</v>
      </c>
      <c r="R9" s="251">
        <f>+PyG!R7+PyG!R8</f>
        <v>6115.975070091853</v>
      </c>
    </row>
    <row r="10" spans="1:22" x14ac:dyDescent="0.3">
      <c r="B10" s="4" t="s">
        <v>16</v>
      </c>
      <c r="C10" s="251">
        <f ca="1">+PyG!C15-PyG!C16</f>
        <v>-911.25902233340742</v>
      </c>
      <c r="D10" s="251">
        <f ca="1">+PyG!D15-PyG!D16</f>
        <v>-1397.0641149852572</v>
      </c>
      <c r="E10" s="251">
        <f ca="1">+PyG!E15-PyG!E16</f>
        <v>-522.33468858351421</v>
      </c>
      <c r="F10" s="251">
        <f ca="1">+PyG!F15-PyG!F16</f>
        <v>218.0706007459581</v>
      </c>
      <c r="G10" s="251">
        <f ca="1">+PyG!G15-PyG!G16</f>
        <v>853.95151760912097</v>
      </c>
      <c r="H10" s="251">
        <f ca="1">+PyG!H15-PyG!H16</f>
        <v>1601.4030944153544</v>
      </c>
      <c r="I10" s="251">
        <f ca="1">+PyG!I15-PyG!I16</f>
        <v>2462.6525719138976</v>
      </c>
      <c r="J10" s="251">
        <f ca="1">+PyG!J15-PyG!J16</f>
        <v>3289.3356273814002</v>
      </c>
      <c r="K10" s="251">
        <f ca="1">+PyG!K15-PyG!K16</f>
        <v>4097.0167397967352</v>
      </c>
      <c r="L10" s="251">
        <f ca="1">+PyG!L15-PyG!L16</f>
        <v>4984.8907393420341</v>
      </c>
      <c r="M10" s="251">
        <f ca="1">+PyG!M15-PyG!M16</f>
        <v>5885.6701439579101</v>
      </c>
      <c r="N10" s="251">
        <f ca="1">+PyG!N15-PyG!N16</f>
        <v>6794.5628839537267</v>
      </c>
      <c r="O10" s="251">
        <f ca="1">+PyG!O15-PyG!O16</f>
        <v>7723.6664668227104</v>
      </c>
      <c r="P10" s="251">
        <f ca="1">+PyG!P15-PyG!P16</f>
        <v>8674.428527316486</v>
      </c>
      <c r="Q10" s="251">
        <f ca="1">+PyG!Q15-PyG!Q16</f>
        <v>9625.4687668438764</v>
      </c>
      <c r="R10" s="251">
        <f ca="1">+PyG!R15-PyG!R16</f>
        <v>10557.74732150624</v>
      </c>
    </row>
    <row r="11" spans="1:22" x14ac:dyDescent="0.3">
      <c r="B11" s="4" t="s">
        <v>17</v>
      </c>
      <c r="C11" s="251">
        <f ca="1">+PyG!C17</f>
        <v>-6834.1590223334078</v>
      </c>
      <c r="D11" s="251">
        <f ca="1">+PyG!D17</f>
        <v>-7596.3991149852573</v>
      </c>
      <c r="E11" s="251">
        <f ca="1">+PyG!E17</f>
        <v>-6846.4534885835155</v>
      </c>
      <c r="F11" s="251">
        <f ca="1">+PyG!F17</f>
        <v>8778.6537420777368</v>
      </c>
      <c r="G11" s="251">
        <f ca="1">+PyG!G17</f>
        <v>14671.462023860589</v>
      </c>
      <c r="H11" s="251">
        <f ca="1">+PyG!H17</f>
        <v>20342.630679139933</v>
      </c>
      <c r="I11" s="251">
        <f ca="1">+PyG!I17</f>
        <v>25809.29355791771</v>
      </c>
      <c r="J11" s="251">
        <f ca="1">+PyG!J17</f>
        <v>42330.307376055258</v>
      </c>
      <c r="K11" s="251">
        <f ca="1">+PyG!K17</f>
        <v>43909.514611468308</v>
      </c>
      <c r="L11" s="251">
        <f ca="1">+PyG!L17</f>
        <v>44323.912682497088</v>
      </c>
      <c r="M11" s="251">
        <f ca="1">+PyG!M17</f>
        <v>44728.523559373658</v>
      </c>
      <c r="N11" s="251">
        <f ca="1">+PyG!N17</f>
        <v>45119.853429184412</v>
      </c>
      <c r="O11" s="251">
        <f ca="1">+PyG!O17</f>
        <v>47462.561398240796</v>
      </c>
      <c r="P11" s="251">
        <f ca="1">+PyG!P17</f>
        <v>46924.916492443488</v>
      </c>
      <c r="Q11" s="251">
        <f ca="1">+PyG!Q17</f>
        <v>46422.97731420202</v>
      </c>
      <c r="R11" s="251">
        <f ca="1">+PyG!R17</f>
        <v>44564.435898438285</v>
      </c>
    </row>
    <row r="12" spans="1:22" x14ac:dyDescent="0.3">
      <c r="B12" s="4" t="s">
        <v>18</v>
      </c>
      <c r="C12" s="251">
        <f ca="1">+PyG!C19</f>
        <v>0</v>
      </c>
      <c r="D12" s="251">
        <f ca="1">+PyG!D19</f>
        <v>0</v>
      </c>
      <c r="E12" s="251">
        <f ca="1">+PyG!E19</f>
        <v>0</v>
      </c>
      <c r="F12" s="251">
        <f ca="1">+PyG!F19</f>
        <v>0</v>
      </c>
      <c r="G12" s="251">
        <f ca="1">+PyG!G19</f>
        <v>0</v>
      </c>
      <c r="H12" s="251">
        <f ca="1">+PyG!H19</f>
        <v>0</v>
      </c>
      <c r="I12" s="251">
        <f ca="1">+PyG!I19</f>
        <v>0</v>
      </c>
      <c r="J12" s="251">
        <f ca="1">+PyG!J19</f>
        <v>0</v>
      </c>
      <c r="K12" s="251">
        <f ca="1">+PyG!K19</f>
        <v>0</v>
      </c>
      <c r="L12" s="251">
        <f ca="1">+PyG!L19</f>
        <v>0</v>
      </c>
      <c r="M12" s="251">
        <f ca="1">+PyG!M19</f>
        <v>0</v>
      </c>
      <c r="N12" s="251">
        <f ca="1">+PyG!N19</f>
        <v>0</v>
      </c>
      <c r="O12" s="251">
        <f ca="1">+PyG!O19</f>
        <v>0</v>
      </c>
      <c r="P12" s="251">
        <f ca="1">+PyG!P19</f>
        <v>0</v>
      </c>
      <c r="Q12" s="251">
        <f ca="1">+PyG!Q19</f>
        <v>0</v>
      </c>
      <c r="R12" s="251">
        <f ca="1">+PyG!R19</f>
        <v>0</v>
      </c>
    </row>
    <row r="13" spans="1:22" x14ac:dyDescent="0.3">
      <c r="B13" s="8" t="s">
        <v>19</v>
      </c>
      <c r="C13" s="281">
        <f ca="1">+PyG!C21</f>
        <v>-6834.1590223334078</v>
      </c>
      <c r="D13" s="281">
        <f ca="1">+PyG!D21</f>
        <v>-7596.3991149852573</v>
      </c>
      <c r="E13" s="281">
        <f ca="1">+PyG!E21</f>
        <v>-6846.4534885835155</v>
      </c>
      <c r="F13" s="281">
        <f ca="1">+PyG!F21</f>
        <v>8778.6537420777368</v>
      </c>
      <c r="G13" s="281">
        <f ca="1">+PyG!G21</f>
        <v>14671.462023860589</v>
      </c>
      <c r="H13" s="281">
        <f ca="1">+PyG!H21</f>
        <v>20342.630679139933</v>
      </c>
      <c r="I13" s="281">
        <f ca="1">+PyG!I21</f>
        <v>25809.29355791771</v>
      </c>
      <c r="J13" s="281">
        <f ca="1">+PyG!J21</f>
        <v>42330.307376055258</v>
      </c>
      <c r="K13" s="281">
        <f ca="1">+PyG!K21</f>
        <v>43909.514611468308</v>
      </c>
      <c r="L13" s="281">
        <f ca="1">+PyG!L21</f>
        <v>44323.912682497088</v>
      </c>
      <c r="M13" s="281">
        <f ca="1">+PyG!M21</f>
        <v>44728.523559373658</v>
      </c>
      <c r="N13" s="281">
        <f ca="1">+PyG!N21</f>
        <v>45119.853429184412</v>
      </c>
      <c r="O13" s="281">
        <f ca="1">+PyG!O21</f>
        <v>47462.561398240796</v>
      </c>
      <c r="P13" s="281">
        <f ca="1">+PyG!P21</f>
        <v>46924.916492443488</v>
      </c>
      <c r="Q13" s="281">
        <f ca="1">+PyG!Q21</f>
        <v>46422.97731420202</v>
      </c>
      <c r="R13" s="281">
        <f ca="1">+PyG!R21</f>
        <v>44564.435898438285</v>
      </c>
    </row>
    <row r="14" spans="1:22" x14ac:dyDescent="0.3">
      <c r="B14" s="4" t="s">
        <v>20</v>
      </c>
      <c r="C14" s="251">
        <f>+PyG!C10</f>
        <v>394.2</v>
      </c>
      <c r="D14" s="251">
        <f>+PyG!D10</f>
        <v>394.2</v>
      </c>
      <c r="E14" s="251">
        <f>+PyG!E10</f>
        <v>394.2</v>
      </c>
      <c r="F14" s="251">
        <f>+PyG!F10</f>
        <v>394.2</v>
      </c>
      <c r="G14" s="251">
        <f>+PyG!G10</f>
        <v>394.2</v>
      </c>
      <c r="H14" s="251">
        <f>+PyG!H10</f>
        <v>394.2</v>
      </c>
      <c r="I14" s="251">
        <f>+PyG!I10</f>
        <v>394.2</v>
      </c>
      <c r="J14" s="251">
        <f>+PyG!J10</f>
        <v>394.2</v>
      </c>
      <c r="K14" s="251">
        <f>+PyG!K10</f>
        <v>394.2</v>
      </c>
      <c r="L14" s="251">
        <f>+PyG!L10</f>
        <v>394.2</v>
      </c>
      <c r="M14" s="251">
        <f>+PyG!M10</f>
        <v>394.2</v>
      </c>
      <c r="N14" s="251">
        <f>+PyG!N10</f>
        <v>394.2</v>
      </c>
      <c r="O14" s="251">
        <f>+PyG!O10</f>
        <v>394.2</v>
      </c>
      <c r="P14" s="251">
        <f>+PyG!P10</f>
        <v>394.2</v>
      </c>
      <c r="Q14" s="251">
        <f>+PyG!Q10</f>
        <v>394.2</v>
      </c>
      <c r="R14" s="251">
        <f>+PyG!R10</f>
        <v>394.2</v>
      </c>
    </row>
    <row r="15" spans="1:22" x14ac:dyDescent="0.3">
      <c r="B15" s="4" t="s">
        <v>21</v>
      </c>
      <c r="C15" s="251">
        <f>+PyG!C13</f>
        <v>-5528.7000000000007</v>
      </c>
      <c r="D15" s="251">
        <f>+PyG!D13</f>
        <v>-5805.1350000000002</v>
      </c>
      <c r="E15" s="251">
        <f>+PyG!E13</f>
        <v>-5929.9188000000013</v>
      </c>
      <c r="F15" s="251">
        <f>+PyG!F13</f>
        <v>8954.7831413317799</v>
      </c>
      <c r="G15" s="251">
        <f>+PyG!G13</f>
        <v>14211.710506251469</v>
      </c>
      <c r="H15" s="251">
        <f>+PyG!H13</f>
        <v>19135.427584724581</v>
      </c>
      <c r="I15" s="251">
        <f>+PyG!I13</f>
        <v>23740.840986003812</v>
      </c>
      <c r="J15" s="251">
        <f>+PyG!J13</f>
        <v>39435.171748673856</v>
      </c>
      <c r="K15" s="251">
        <f>+PyG!K13</f>
        <v>40206.697871671568</v>
      </c>
      <c r="L15" s="251">
        <f>+PyG!L13</f>
        <v>39733.221943155047</v>
      </c>
      <c r="M15" s="251">
        <f>+PyG!M13</f>
        <v>39237.053415415743</v>
      </c>
      <c r="N15" s="251">
        <f>+PyG!N13</f>
        <v>38719.490545230685</v>
      </c>
      <c r="O15" s="251">
        <f>+PyG!O13</f>
        <v>40133.094931418083</v>
      </c>
      <c r="P15" s="251">
        <f>+PyG!P13</f>
        <v>38644.687965126999</v>
      </c>
      <c r="Q15" s="251">
        <f>+PyG!Q13</f>
        <v>37191.708547358139</v>
      </c>
      <c r="R15" s="251">
        <f>+PyG!R13</f>
        <v>34400.88857693204</v>
      </c>
    </row>
    <row r="16" spans="1:22" x14ac:dyDescent="0.3">
      <c r="B16" s="4" t="s">
        <v>22</v>
      </c>
      <c r="C16" s="251">
        <f>+'Capex&amp;DA'!C44</f>
        <v>45368.82</v>
      </c>
      <c r="D16" s="251">
        <f>+'Capex&amp;DA'!D44</f>
        <v>44.82</v>
      </c>
      <c r="E16" s="251">
        <f>+'Capex&amp;DA'!E44</f>
        <v>44.82</v>
      </c>
      <c r="F16" s="251">
        <f>+'Capex&amp;DA'!F44</f>
        <v>44.82</v>
      </c>
      <c r="G16" s="251">
        <f>+'Capex&amp;DA'!G44</f>
        <v>44.82</v>
      </c>
      <c r="H16" s="251">
        <f>+'Capex&amp;DA'!H44</f>
        <v>44.82</v>
      </c>
      <c r="I16" s="251">
        <f>+'Capex&amp;DA'!I44</f>
        <v>44.82</v>
      </c>
      <c r="J16" s="251">
        <f>+'Capex&amp;DA'!J44</f>
        <v>44.82</v>
      </c>
      <c r="K16" s="251">
        <f>+'Capex&amp;DA'!K44</f>
        <v>44.82</v>
      </c>
      <c r="L16" s="251">
        <f>+'Capex&amp;DA'!L44</f>
        <v>44.82</v>
      </c>
      <c r="M16" s="251">
        <f>+'Capex&amp;DA'!M44</f>
        <v>44.82</v>
      </c>
      <c r="N16" s="251">
        <f>+'Capex&amp;DA'!N44</f>
        <v>44.82</v>
      </c>
      <c r="O16" s="251">
        <f>+'Capex&amp;DA'!O44</f>
        <v>44.82</v>
      </c>
      <c r="P16" s="251">
        <f>+'Capex&amp;DA'!P44</f>
        <v>44.82</v>
      </c>
      <c r="Q16" s="251">
        <f>+'Capex&amp;DA'!Q44</f>
        <v>44.82</v>
      </c>
      <c r="R16" s="251">
        <f>+'Capex&amp;DA'!R44</f>
        <v>44.82</v>
      </c>
    </row>
    <row r="18" spans="2:18" x14ac:dyDescent="0.3">
      <c r="B18" s="5" t="s">
        <v>23</v>
      </c>
      <c r="C18" s="6">
        <f>+C$1</f>
        <v>2021</v>
      </c>
      <c r="D18" s="6">
        <f>+D1</f>
        <v>2022</v>
      </c>
      <c r="E18" s="6">
        <f t="shared" ref="E18:R18" si="1">+E1</f>
        <v>2023</v>
      </c>
      <c r="F18" s="6">
        <f t="shared" si="1"/>
        <v>2024</v>
      </c>
      <c r="G18" s="6">
        <f t="shared" si="1"/>
        <v>2025</v>
      </c>
      <c r="H18" s="6">
        <f t="shared" si="1"/>
        <v>2026</v>
      </c>
      <c r="I18" s="6">
        <f t="shared" si="1"/>
        <v>2027</v>
      </c>
      <c r="J18" s="6">
        <f t="shared" si="1"/>
        <v>2028</v>
      </c>
      <c r="K18" s="6">
        <f t="shared" si="1"/>
        <v>2029</v>
      </c>
      <c r="L18" s="6">
        <f t="shared" si="1"/>
        <v>2030</v>
      </c>
      <c r="M18" s="6">
        <f t="shared" si="1"/>
        <v>2031</v>
      </c>
      <c r="N18" s="6">
        <f t="shared" si="1"/>
        <v>2032</v>
      </c>
      <c r="O18" s="6">
        <f t="shared" si="1"/>
        <v>2033</v>
      </c>
      <c r="P18" s="6">
        <f t="shared" si="1"/>
        <v>2034</v>
      </c>
      <c r="Q18" s="6">
        <f t="shared" si="1"/>
        <v>2035</v>
      </c>
      <c r="R18" s="6">
        <f t="shared" si="1"/>
        <v>2036</v>
      </c>
    </row>
    <row r="19" spans="2:18" ht="7.5" customHeight="1" x14ac:dyDescent="0.3"/>
    <row r="20" spans="2:18" x14ac:dyDescent="0.3">
      <c r="B20" s="4" t="s">
        <v>24</v>
      </c>
      <c r="C20" s="253">
        <f ca="1">+'Balance G.'!C5</f>
        <v>0</v>
      </c>
      <c r="D20" s="253">
        <f ca="1">+'Balance G.'!D5</f>
        <v>0</v>
      </c>
      <c r="E20" s="253">
        <f ca="1">+'Balance G.'!E5</f>
        <v>0</v>
      </c>
      <c r="F20" s="253">
        <f ca="1">+'Balance G.'!F5</f>
        <v>25460.019667762252</v>
      </c>
      <c r="G20" s="253">
        <f ca="1">+'Balance G.'!G5</f>
        <v>59935.132093149834</v>
      </c>
      <c r="H20" s="253">
        <f ca="1">+'Balance G.'!H5</f>
        <v>100205.17734838562</v>
      </c>
      <c r="I20" s="253">
        <f ca="1">+'Balance G.'!I5</f>
        <v>146060.07984300412</v>
      </c>
      <c r="J20" s="253">
        <f ca="1">+'Balance G.'!J5</f>
        <v>182873.48289513591</v>
      </c>
      <c r="K20" s="253">
        <f ca="1">+'Balance G.'!K5</f>
        <v>226828.19108453766</v>
      </c>
      <c r="L20" s="253">
        <f ca="1">+'Balance G.'!L5</f>
        <v>271660.88284966571</v>
      </c>
      <c r="M20" s="253">
        <f ca="1">+'Balance G.'!M5</f>
        <v>316906.13154612528</v>
      </c>
      <c r="N20" s="253">
        <f ca="1">+'Balance G.'!N5</f>
        <v>362550.1568492474</v>
      </c>
      <c r="O20" s="253">
        <f ca="1">+'Balance G.'!O5</f>
        <v>409816.48983302363</v>
      </c>
      <c r="P20" s="253">
        <f ca="1">+'Balance G.'!P5</f>
        <v>457626.36289862497</v>
      </c>
      <c r="Q20" s="253">
        <f ca="1">+'Balance G.'!Q5</f>
        <v>504920.51378576277</v>
      </c>
      <c r="R20" s="253">
        <f ca="1">+'Balance G.'!R5</f>
        <v>550854.21836486133</v>
      </c>
    </row>
    <row r="21" spans="2:18" x14ac:dyDescent="0.3">
      <c r="B21" s="4" t="s">
        <v>25</v>
      </c>
      <c r="C21" s="253">
        <f>+'Balance G.'!C6+'Balance G.'!C7</f>
        <v>848.95890410958907</v>
      </c>
      <c r="D21" s="253">
        <f>+'Balance G.'!D6+'Balance G.'!D7</f>
        <v>891.40684931506848</v>
      </c>
      <c r="E21" s="253">
        <f>+'Balance G.'!E6+'Balance G.'!E7</f>
        <v>882.9172602739726</v>
      </c>
      <c r="F21" s="253">
        <f>+'Balance G.'!F6+'Balance G.'!F7</f>
        <v>4834.4478802618123</v>
      </c>
      <c r="G21" s="253">
        <f>+'Balance G.'!G6+'Balance G.'!G7</f>
        <v>6856.223270716644</v>
      </c>
      <c r="H21" s="253">
        <f>+'Balance G.'!H6+'Balance G.'!H7</f>
        <v>8753.9538118647397</v>
      </c>
      <c r="I21" s="253">
        <f>+'Balance G.'!I6+'Balance G.'!I7</f>
        <v>10533.287382575712</v>
      </c>
      <c r="J21" s="253">
        <f>+'Balance G.'!J6+'Balance G.'!J7</f>
        <v>16486.003308611227</v>
      </c>
      <c r="K21" s="253">
        <f>+'Balance G.'!K6+'Balance G.'!K7</f>
        <v>16825.753848260862</v>
      </c>
      <c r="L21" s="253">
        <f>+'Balance G.'!L6+'Balance G.'!L7</f>
        <v>16698.581666081831</v>
      </c>
      <c r="M21" s="253">
        <f>+'Balance G.'!M6+'Balance G.'!M7</f>
        <v>16564.400757436808</v>
      </c>
      <c r="N21" s="253">
        <f>+'Balance G.'!N6+'Balance G.'!N7</f>
        <v>16423.745432742842</v>
      </c>
      <c r="O21" s="253">
        <f>+'Balance G.'!O6+'Balance G.'!O7</f>
        <v>17011.275151729264</v>
      </c>
      <c r="P21" s="253">
        <f>+'Balance G.'!P6+'Balance G.'!P7</f>
        <v>16508.651870924095</v>
      </c>
      <c r="Q21" s="253">
        <f>+'Balance G.'!Q6+'Balance G.'!Q7</f>
        <v>16021.078297472575</v>
      </c>
      <c r="R21" s="253">
        <f>+'Balance G.'!R6+'Balance G.'!R7</f>
        <v>15031.941421555664</v>
      </c>
    </row>
    <row r="22" spans="2:18" x14ac:dyDescent="0.3">
      <c r="B22" s="4" t="s">
        <v>26</v>
      </c>
      <c r="C22" s="253">
        <f>+'Balance G.'!C14</f>
        <v>44974.62</v>
      </c>
      <c r="D22" s="253">
        <f>+'Balance G.'!D14</f>
        <v>44625.24</v>
      </c>
      <c r="E22" s="253">
        <f>+'Balance G.'!E14</f>
        <v>44275.86</v>
      </c>
      <c r="F22" s="253">
        <f>+'Balance G.'!F14</f>
        <v>43926.479999999996</v>
      </c>
      <c r="G22" s="253">
        <f>+'Balance G.'!G14</f>
        <v>43577.1</v>
      </c>
      <c r="H22" s="253">
        <f>+'Balance G.'!H14</f>
        <v>43227.72</v>
      </c>
      <c r="I22" s="253">
        <f>+'Balance G.'!I14</f>
        <v>42878.34</v>
      </c>
      <c r="J22" s="253">
        <f>+'Balance G.'!J14</f>
        <v>42528.959999999999</v>
      </c>
      <c r="K22" s="253">
        <f>+'Balance G.'!K14</f>
        <v>42179.58</v>
      </c>
      <c r="L22" s="253">
        <f>+'Balance G.'!L14</f>
        <v>41830.199999999997</v>
      </c>
      <c r="M22" s="253">
        <f>+'Balance G.'!M14</f>
        <v>41480.82</v>
      </c>
      <c r="N22" s="253">
        <f>+'Balance G.'!N14</f>
        <v>41131.439999999995</v>
      </c>
      <c r="O22" s="253">
        <f>+'Balance G.'!O14</f>
        <v>40782.060000000005</v>
      </c>
      <c r="P22" s="253">
        <f>+'Balance G.'!P14</f>
        <v>40432.680000000008</v>
      </c>
      <c r="Q22" s="253">
        <f>+'Balance G.'!Q14</f>
        <v>40083.300000000003</v>
      </c>
      <c r="R22" s="253">
        <f>+'Balance G.'!R14</f>
        <v>39733.920000000006</v>
      </c>
    </row>
    <row r="23" spans="2:18" x14ac:dyDescent="0.3">
      <c r="B23" s="8" t="s">
        <v>27</v>
      </c>
      <c r="C23" s="249">
        <f ca="1">+'Balance G.'!C16</f>
        <v>45823.578904109592</v>
      </c>
      <c r="D23" s="249">
        <f ca="1">+'Balance G.'!D16</f>
        <v>45516.646849315068</v>
      </c>
      <c r="E23" s="249">
        <f ca="1">+'Balance G.'!E16</f>
        <v>45158.777260273971</v>
      </c>
      <c r="F23" s="249">
        <f ca="1">+'Balance G.'!F16</f>
        <v>74220.947548024065</v>
      </c>
      <c r="G23" s="249">
        <f ca="1">+'Balance G.'!G16</f>
        <v>110368.45536386647</v>
      </c>
      <c r="H23" s="249">
        <f ca="1">+'Balance G.'!H16</f>
        <v>152186.85116025037</v>
      </c>
      <c r="I23" s="249">
        <f ca="1">+'Balance G.'!I16</f>
        <v>199471.70722557983</v>
      </c>
      <c r="J23" s="249">
        <f ca="1">+'Balance G.'!J16</f>
        <v>241888.44620374712</v>
      </c>
      <c r="K23" s="249">
        <f ca="1">+'Balance G.'!K16</f>
        <v>285833.52493279852</v>
      </c>
      <c r="L23" s="249">
        <f ca="1">+'Balance G.'!L16</f>
        <v>330189.66451574757</v>
      </c>
      <c r="M23" s="249">
        <f ca="1">+'Balance G.'!M16</f>
        <v>374951.35230356205</v>
      </c>
      <c r="N23" s="249">
        <f ca="1">+'Balance G.'!N16</f>
        <v>420105.34228199028</v>
      </c>
      <c r="O23" s="249">
        <f ca="1">+'Balance G.'!O16</f>
        <v>467609.82498475292</v>
      </c>
      <c r="P23" s="249">
        <f ca="1">+'Balance G.'!P16</f>
        <v>514567.69476954907</v>
      </c>
      <c r="Q23" s="249">
        <f ca="1">+'Balance G.'!Q16</f>
        <v>561024.89208323532</v>
      </c>
      <c r="R23" s="249">
        <f ca="1">+'Balance G.'!R16</f>
        <v>605620.07978641696</v>
      </c>
    </row>
    <row r="24" spans="2:18" x14ac:dyDescent="0.3">
      <c r="B24" s="8" t="s">
        <v>28</v>
      </c>
      <c r="C24" s="249">
        <f ca="1">+C25+C26</f>
        <v>30375.300744446915</v>
      </c>
      <c r="D24" s="249">
        <f t="shared" ref="D24:R24" ca="1" si="2">+D25+D26</f>
        <v>16193.503088394991</v>
      </c>
      <c r="E24" s="249">
        <f t="shared" ca="1" si="2"/>
        <v>1217.6531977221475</v>
      </c>
      <c r="F24" s="249">
        <f t="shared" ca="1" si="2"/>
        <v>0</v>
      </c>
      <c r="G24" s="249">
        <f t="shared" ca="1" si="2"/>
        <v>0</v>
      </c>
      <c r="H24" s="249">
        <f t="shared" ca="1" si="2"/>
        <v>0</v>
      </c>
      <c r="I24" s="249">
        <f t="shared" ca="1" si="2"/>
        <v>0</v>
      </c>
      <c r="J24" s="249">
        <f t="shared" ca="1" si="2"/>
        <v>0</v>
      </c>
      <c r="K24" s="249">
        <f t="shared" ca="1" si="2"/>
        <v>0</v>
      </c>
      <c r="L24" s="249">
        <f t="shared" ca="1" si="2"/>
        <v>0</v>
      </c>
      <c r="M24" s="249">
        <f t="shared" ca="1" si="2"/>
        <v>0</v>
      </c>
      <c r="N24" s="249">
        <f t="shared" ca="1" si="2"/>
        <v>0</v>
      </c>
      <c r="O24" s="249">
        <f t="shared" ca="1" si="2"/>
        <v>0</v>
      </c>
      <c r="P24" s="249">
        <f t="shared" ca="1" si="2"/>
        <v>0</v>
      </c>
      <c r="Q24" s="249">
        <f t="shared" ca="1" si="2"/>
        <v>0</v>
      </c>
      <c r="R24" s="249">
        <f t="shared" ca="1" si="2"/>
        <v>0</v>
      </c>
    </row>
    <row r="25" spans="2:18" x14ac:dyDescent="0.3">
      <c r="B25" s="7" t="s">
        <v>29</v>
      </c>
      <c r="C25" s="253">
        <f ca="1">+'Balance G.'!C21</f>
        <v>30375.300744446915</v>
      </c>
      <c r="D25" s="253">
        <f ca="1">+'Balance G.'!D21</f>
        <v>16193.503088394991</v>
      </c>
      <c r="E25" s="253">
        <f ca="1">+'Balance G.'!E21</f>
        <v>1217.6531977221475</v>
      </c>
      <c r="F25" s="253">
        <f ca="1">+'Balance G.'!F21</f>
        <v>0</v>
      </c>
      <c r="G25" s="253">
        <f ca="1">+'Balance G.'!G21</f>
        <v>0</v>
      </c>
      <c r="H25" s="253">
        <f ca="1">+'Balance G.'!H21</f>
        <v>0</v>
      </c>
      <c r="I25" s="253">
        <f ca="1">+'Balance G.'!I21</f>
        <v>0</v>
      </c>
      <c r="J25" s="253">
        <f ca="1">+'Balance G.'!J21</f>
        <v>0</v>
      </c>
      <c r="K25" s="253">
        <f ca="1">+'Balance G.'!K21</f>
        <v>0</v>
      </c>
      <c r="L25" s="253">
        <f ca="1">+'Balance G.'!L21</f>
        <v>0</v>
      </c>
      <c r="M25" s="253">
        <f ca="1">+'Balance G.'!M21</f>
        <v>0</v>
      </c>
      <c r="N25" s="253">
        <f ca="1">+'Balance G.'!N21</f>
        <v>0</v>
      </c>
      <c r="O25" s="253">
        <f ca="1">+'Balance G.'!O21</f>
        <v>0</v>
      </c>
      <c r="P25" s="253">
        <f ca="1">+'Balance G.'!P21</f>
        <v>0</v>
      </c>
      <c r="Q25" s="253">
        <f ca="1">+'Balance G.'!Q21</f>
        <v>0</v>
      </c>
      <c r="R25" s="253">
        <f ca="1">+'Balance G.'!R21</f>
        <v>0</v>
      </c>
    </row>
    <row r="26" spans="2:18" x14ac:dyDescent="0.3">
      <c r="B26" s="7" t="s">
        <v>30</v>
      </c>
      <c r="C26" s="253">
        <f>+'Balance G.'!C25</f>
        <v>0</v>
      </c>
      <c r="D26" s="253">
        <f>+'Balance G.'!D25</f>
        <v>0</v>
      </c>
      <c r="E26" s="253">
        <f>+'Balance G.'!E25</f>
        <v>0</v>
      </c>
      <c r="F26" s="253">
        <f>+'Balance G.'!F25</f>
        <v>0</v>
      </c>
      <c r="G26" s="253">
        <f>+'Balance G.'!G25</f>
        <v>0</v>
      </c>
      <c r="H26" s="253">
        <f>+'Balance G.'!H25</f>
        <v>0</v>
      </c>
      <c r="I26" s="253">
        <f>+'Balance G.'!I25</f>
        <v>0</v>
      </c>
      <c r="J26" s="253">
        <f>+'Balance G.'!J25</f>
        <v>0</v>
      </c>
      <c r="K26" s="253">
        <f>+'Balance G.'!K25</f>
        <v>0</v>
      </c>
      <c r="L26" s="253">
        <f>+'Balance G.'!L25</f>
        <v>0</v>
      </c>
      <c r="M26" s="253">
        <f>+'Balance G.'!M25</f>
        <v>0</v>
      </c>
      <c r="N26" s="253">
        <f>+'Balance G.'!N25</f>
        <v>0</v>
      </c>
      <c r="O26" s="253">
        <f>+'Balance G.'!O25</f>
        <v>0</v>
      </c>
      <c r="P26" s="253">
        <f>+'Balance G.'!P25</f>
        <v>0</v>
      </c>
      <c r="Q26" s="253">
        <f>+'Balance G.'!Q25</f>
        <v>0</v>
      </c>
      <c r="R26" s="253">
        <f>+'Balance G.'!R25</f>
        <v>0</v>
      </c>
    </row>
    <row r="27" spans="2:18" x14ac:dyDescent="0.3">
      <c r="B27" s="4" t="s">
        <v>31</v>
      </c>
      <c r="C27" s="253">
        <f>+'Balance G.'!C20+'Balance G.'!C22</f>
        <v>853.86575342465756</v>
      </c>
      <c r="D27" s="253">
        <f>+'Balance G.'!D20+'Balance G.'!D22</f>
        <v>896.55904109589051</v>
      </c>
      <c r="E27" s="253">
        <f>+'Balance G.'!E20+'Balance G.'!E22</f>
        <v>932.42140273972609</v>
      </c>
      <c r="F27" s="253">
        <f>+'Balance G.'!F20+'Balance G.'!F22</f>
        <v>1005.0197175627962</v>
      </c>
      <c r="G27" s="253">
        <f>+'Balance G.'!G20+'Balance G.'!G22</f>
        <v>1052.4940809731906</v>
      </c>
      <c r="H27" s="253">
        <f>+'Balance G.'!H20+'Balance G.'!H22</f>
        <v>1099.6877696457088</v>
      </c>
      <c r="I27" s="253">
        <f>+'Balance G.'!I20+'Balance G.'!I22</f>
        <v>1146.6788484860497</v>
      </c>
      <c r="J27" s="253">
        <f>+'Balance G.'!J20+'Balance G.'!J22</f>
        <v>1233.110450598092</v>
      </c>
      <c r="K27" s="253">
        <f>+'Balance G.'!K20+'Balance G.'!K22</f>
        <v>1268.6745681811851</v>
      </c>
      <c r="L27" s="253">
        <f>+'Balance G.'!L20+'Balance G.'!L22</f>
        <v>1300.901468633142</v>
      </c>
      <c r="M27" s="253">
        <f>+'Balance G.'!M20+'Balance G.'!M22</f>
        <v>1334.0656970740365</v>
      </c>
      <c r="N27" s="253">
        <f>+'Balance G.'!N20+'Balance G.'!N22</f>
        <v>1368.2022463177925</v>
      </c>
      <c r="O27" s="253">
        <f>+'Balance G.'!O20+'Balance G.'!O22</f>
        <v>1410.1235508396724</v>
      </c>
      <c r="P27" s="253">
        <f>+'Balance G.'!P20+'Balance G.'!P22</f>
        <v>1443.0768431923359</v>
      </c>
      <c r="Q27" s="253">
        <f>+'Balance G.'!Q20+'Balance G.'!Q22</f>
        <v>1477.2968426766054</v>
      </c>
      <c r="R27" s="253">
        <f>+'Balance G.'!R20+'Balance G.'!R22</f>
        <v>1508.0486474199088</v>
      </c>
    </row>
    <row r="28" spans="2:18" x14ac:dyDescent="0.3">
      <c r="B28" s="8" t="s">
        <v>32</v>
      </c>
      <c r="C28" s="249">
        <f ca="1">+'Balance G.'!C36</f>
        <v>14594.41240623802</v>
      </c>
      <c r="D28" s="249">
        <f ca="1">+'Balance G.'!D36</f>
        <v>28426.58471982419</v>
      </c>
      <c r="E28" s="249">
        <f ca="1">+'Balance G.'!E36</f>
        <v>43008.702659812101</v>
      </c>
      <c r="F28" s="249">
        <f ca="1">+'Balance G.'!F36</f>
        <v>73215.927830461267</v>
      </c>
      <c r="G28" s="249">
        <f ca="1">+'Balance G.'!G36</f>
        <v>109315.96128289327</v>
      </c>
      <c r="H28" s="249">
        <f ca="1">+'Balance G.'!H36</f>
        <v>151087.16339060463</v>
      </c>
      <c r="I28" s="249">
        <f ca="1">+'Balance G.'!I36</f>
        <v>198325.02837709375</v>
      </c>
      <c r="J28" s="249">
        <f ca="1">+'Balance G.'!J36</f>
        <v>240655.335753149</v>
      </c>
      <c r="K28" s="249">
        <f ca="1">+'Balance G.'!K36</f>
        <v>284564.8503646173</v>
      </c>
      <c r="L28" s="249">
        <f ca="1">+'Balance G.'!L36</f>
        <v>328888.76304711436</v>
      </c>
      <c r="M28" s="249">
        <f ca="1">+'Balance G.'!M36</f>
        <v>373617.28660648805</v>
      </c>
      <c r="N28" s="249">
        <f ca="1">+'Balance G.'!N36</f>
        <v>418737.14003567246</v>
      </c>
      <c r="O28" s="249">
        <f ca="1">+'Balance G.'!O36</f>
        <v>466199.70143391326</v>
      </c>
      <c r="P28" s="249">
        <f ca="1">+'Balance G.'!P36</f>
        <v>513124.61792635667</v>
      </c>
      <c r="Q28" s="249">
        <f ca="1">+'Balance G.'!Q36</f>
        <v>559547.59524055873</v>
      </c>
      <c r="R28" s="249">
        <f ca="1">+'Balance G.'!R36</f>
        <v>604112.03113899706</v>
      </c>
    </row>
    <row r="29" spans="2:18" x14ac:dyDescent="0.3">
      <c r="B29" s="8" t="s">
        <v>33</v>
      </c>
      <c r="C29" s="249">
        <f ca="1">+'Balance G.'!C39</f>
        <v>45823.578904109592</v>
      </c>
      <c r="D29" s="249">
        <f ca="1">+'Balance G.'!D39</f>
        <v>45516.646849315075</v>
      </c>
      <c r="E29" s="249">
        <f ca="1">+'Balance G.'!E39</f>
        <v>45158.777260273971</v>
      </c>
      <c r="F29" s="249">
        <f ca="1">+'Balance G.'!F39</f>
        <v>74220.947548024065</v>
      </c>
      <c r="G29" s="249">
        <f ca="1">+'Balance G.'!G39</f>
        <v>110368.45536386647</v>
      </c>
      <c r="H29" s="249">
        <f ca="1">+'Balance G.'!H39</f>
        <v>152186.85116025034</v>
      </c>
      <c r="I29" s="249">
        <f ca="1">+'Balance G.'!I39</f>
        <v>199471.7072255798</v>
      </c>
      <c r="J29" s="249">
        <f ca="1">+'Balance G.'!J39</f>
        <v>241888.44620374709</v>
      </c>
      <c r="K29" s="249">
        <f ca="1">+'Balance G.'!K39</f>
        <v>285833.52493279846</v>
      </c>
      <c r="L29" s="249">
        <f ca="1">+'Balance G.'!L39</f>
        <v>330189.66451574751</v>
      </c>
      <c r="M29" s="249">
        <f ca="1">+'Balance G.'!M39</f>
        <v>374951.3523035621</v>
      </c>
      <c r="N29" s="249">
        <f ca="1">+'Balance G.'!N39</f>
        <v>420105.34228199028</v>
      </c>
      <c r="O29" s="249">
        <f ca="1">+'Balance G.'!O39</f>
        <v>467609.82498475292</v>
      </c>
      <c r="P29" s="249">
        <f ca="1">+'Balance G.'!P39</f>
        <v>514567.69476954901</v>
      </c>
      <c r="Q29" s="249">
        <f ca="1">+'Balance G.'!Q39</f>
        <v>561024.89208323532</v>
      </c>
      <c r="R29" s="249">
        <f ca="1">+'Balance G.'!R39</f>
        <v>605620.07978641696</v>
      </c>
    </row>
    <row r="31" spans="2:18" x14ac:dyDescent="0.3">
      <c r="B31" s="5" t="s">
        <v>34</v>
      </c>
      <c r="C31" s="6">
        <f>+C$1</f>
        <v>2021</v>
      </c>
      <c r="D31" s="6">
        <f>+D1</f>
        <v>2022</v>
      </c>
      <c r="E31" s="6">
        <f t="shared" ref="E31:R31" si="3">+E1</f>
        <v>2023</v>
      </c>
      <c r="F31" s="6">
        <f t="shared" si="3"/>
        <v>2024</v>
      </c>
      <c r="G31" s="6">
        <f t="shared" si="3"/>
        <v>2025</v>
      </c>
      <c r="H31" s="6">
        <f t="shared" si="3"/>
        <v>2026</v>
      </c>
      <c r="I31" s="6">
        <f t="shared" si="3"/>
        <v>2027</v>
      </c>
      <c r="J31" s="6">
        <f t="shared" si="3"/>
        <v>2028</v>
      </c>
      <c r="K31" s="6">
        <f t="shared" si="3"/>
        <v>2029</v>
      </c>
      <c r="L31" s="6">
        <f t="shared" si="3"/>
        <v>2030</v>
      </c>
      <c r="M31" s="6">
        <f t="shared" si="3"/>
        <v>2031</v>
      </c>
      <c r="N31" s="6">
        <f t="shared" si="3"/>
        <v>2032</v>
      </c>
      <c r="O31" s="6">
        <f t="shared" si="3"/>
        <v>2033</v>
      </c>
      <c r="P31" s="6">
        <f t="shared" si="3"/>
        <v>2034</v>
      </c>
      <c r="Q31" s="6">
        <f t="shared" si="3"/>
        <v>2035</v>
      </c>
      <c r="R31" s="6">
        <f t="shared" si="3"/>
        <v>2036</v>
      </c>
    </row>
    <row r="32" spans="2:18" ht="11.25" customHeight="1" x14ac:dyDescent="0.3"/>
    <row r="33" spans="2:18" x14ac:dyDescent="0.3">
      <c r="B33" s="9" t="s">
        <v>35</v>
      </c>
    </row>
    <row r="34" spans="2:18" x14ac:dyDescent="0.3">
      <c r="B34" s="4" t="s">
        <v>14</v>
      </c>
      <c r="C34" s="289">
        <f>+PyG!C24</f>
        <v>0</v>
      </c>
      <c r="D34" s="289">
        <f>+PyG!D24</f>
        <v>0</v>
      </c>
      <c r="E34" s="289">
        <f>+PyG!E24</f>
        <v>0</v>
      </c>
      <c r="F34" s="289">
        <f>+PyG!F24</f>
        <v>0.75</v>
      </c>
      <c r="G34" s="289">
        <f>+PyG!G24</f>
        <v>0.75</v>
      </c>
      <c r="H34" s="289">
        <f>+PyG!H24</f>
        <v>0.75</v>
      </c>
      <c r="I34" s="289">
        <f>+PyG!I24</f>
        <v>0.75</v>
      </c>
      <c r="J34" s="289">
        <f>+PyG!J24</f>
        <v>0.74999999999999989</v>
      </c>
      <c r="K34" s="289">
        <f>+PyG!K24</f>
        <v>0.75</v>
      </c>
      <c r="L34" s="289">
        <f>+PyG!L24</f>
        <v>0.74999999999999989</v>
      </c>
      <c r="M34" s="289">
        <f>+PyG!M24</f>
        <v>0.75</v>
      </c>
      <c r="N34" s="289">
        <f>+PyG!N24</f>
        <v>0.75</v>
      </c>
      <c r="O34" s="289">
        <f>+PyG!O24</f>
        <v>0.75</v>
      </c>
      <c r="P34" s="289">
        <f>+PyG!P24</f>
        <v>0.75</v>
      </c>
      <c r="Q34" s="289">
        <f>+PyG!Q24</f>
        <v>0.75</v>
      </c>
      <c r="R34" s="289">
        <f>+PyG!R24</f>
        <v>0.75000000000000011</v>
      </c>
    </row>
    <row r="35" spans="2:18" x14ac:dyDescent="0.3">
      <c r="B35" s="4" t="s">
        <v>36</v>
      </c>
      <c r="C35" s="289">
        <f>+PyG!C25</f>
        <v>0</v>
      </c>
      <c r="D35" s="289">
        <f>+PyG!D25</f>
        <v>0</v>
      </c>
      <c r="E35" s="289">
        <f>+PyG!E25</f>
        <v>0</v>
      </c>
      <c r="F35" s="289">
        <f>+PyG!F25</f>
        <v>0.47300770837385381</v>
      </c>
      <c r="G35" s="289">
        <f>+PyG!G25</f>
        <v>0.53833994141149022</v>
      </c>
      <c r="H35" s="289">
        <f>+PyG!H25</f>
        <v>0.57188082494120673</v>
      </c>
      <c r="I35" s="289">
        <f>+PyG!I25</f>
        <v>0.59206886413995219</v>
      </c>
      <c r="J35" s="289">
        <f>+PyG!J25</f>
        <v>0.63258222943205245</v>
      </c>
      <c r="K35" s="289">
        <f>+PyG!K25</f>
        <v>0.63205758373697507</v>
      </c>
      <c r="L35" s="289">
        <f>+PyG!L25</f>
        <v>0.62929709153508251</v>
      </c>
      <c r="M35" s="289">
        <f>+PyG!M25</f>
        <v>0.62639336362344789</v>
      </c>
      <c r="N35" s="289">
        <f>+PyG!N25</f>
        <v>0.6233400081194217</v>
      </c>
      <c r="O35" s="289">
        <f>+PyG!O25</f>
        <v>0.62400873349127017</v>
      </c>
      <c r="P35" s="289">
        <f>+PyG!P25</f>
        <v>0.61892371225474918</v>
      </c>
      <c r="Q35" s="289">
        <f>+PyG!Q25</f>
        <v>0.61353370096388948</v>
      </c>
      <c r="R35" s="289">
        <f>+PyG!R25</f>
        <v>0.60431172532747535</v>
      </c>
    </row>
    <row r="36" spans="2:18" x14ac:dyDescent="0.3">
      <c r="B36" s="4" t="s">
        <v>37</v>
      </c>
      <c r="C36" s="289">
        <f ca="1">+PyG!C27</f>
        <v>0</v>
      </c>
      <c r="D36" s="289">
        <f ca="1">+PyG!D27</f>
        <v>0</v>
      </c>
      <c r="E36" s="289">
        <f ca="1">+PyG!E27</f>
        <v>0</v>
      </c>
      <c r="F36" s="289">
        <f ca="1">+PyG!F27</f>
        <v>0.48505701312559857</v>
      </c>
      <c r="G36" s="289">
        <f ca="1">+PyG!G27</f>
        <v>0.57161049400126074</v>
      </c>
      <c r="H36" s="289">
        <f ca="1">+PyG!H27</f>
        <v>0.62074697944242541</v>
      </c>
      <c r="I36" s="289">
        <f ca="1">+PyG!I27</f>
        <v>0.65452152754016013</v>
      </c>
      <c r="J36" s="289">
        <f ca="1">+PyG!J27</f>
        <v>0.68587944954005053</v>
      </c>
      <c r="K36" s="289">
        <f ca="1">+PyG!K27</f>
        <v>0.69710124187248867</v>
      </c>
      <c r="L36" s="289">
        <f ca="1">+PyG!L27</f>
        <v>0.70903921751932908</v>
      </c>
      <c r="M36" s="289">
        <f ca="1">+PyG!M27</f>
        <v>0.72130772738614513</v>
      </c>
      <c r="N36" s="289">
        <f ca="1">+PyG!N27</f>
        <v>0.73384987831213944</v>
      </c>
      <c r="O36" s="289">
        <f ca="1">+PyG!O27</f>
        <v>0.7452913040858683</v>
      </c>
      <c r="P36" s="289">
        <f ca="1">+PyG!P27</f>
        <v>0.75928295448742245</v>
      </c>
      <c r="Q36" s="289">
        <f ca="1">+PyG!Q27</f>
        <v>0.77402145432451852</v>
      </c>
      <c r="R36" s="289">
        <f ca="1">+PyG!R27</f>
        <v>0.79192689064994859</v>
      </c>
    </row>
    <row r="37" spans="2:18" x14ac:dyDescent="0.3">
      <c r="B37" s="4" t="s">
        <v>38</v>
      </c>
      <c r="C37" s="289">
        <f>+PyG!C26</f>
        <v>0</v>
      </c>
      <c r="D37" s="289">
        <f>+PyG!D26</f>
        <v>0</v>
      </c>
      <c r="E37" s="289">
        <f>+PyG!E26</f>
        <v>0</v>
      </c>
      <c r="F37" s="289">
        <f>+PyG!F26</f>
        <v>0.49478889261826803</v>
      </c>
      <c r="G37" s="289">
        <f>+PyG!G26</f>
        <v>0.55369825105839787</v>
      </c>
      <c r="H37" s="289">
        <f>+PyG!H26</f>
        <v>0.58390967524851367</v>
      </c>
      <c r="I37" s="289">
        <f>+PyG!I26</f>
        <v>0.60206574319351236</v>
      </c>
      <c r="J37" s="289">
        <f>+PyG!J26</f>
        <v>0.63896946580637715</v>
      </c>
      <c r="K37" s="289">
        <f>+PyG!K26</f>
        <v>0.63831584716752465</v>
      </c>
      <c r="L37" s="289">
        <f>+PyG!L26</f>
        <v>0.63560301631993321</v>
      </c>
      <c r="M37" s="289">
        <f>+PyG!M26</f>
        <v>0.63275036992521361</v>
      </c>
      <c r="N37" s="289">
        <f>+PyG!N26</f>
        <v>0.62975145674003108</v>
      </c>
      <c r="O37" s="289">
        <f>+PyG!O26</f>
        <v>0.63019874564854783</v>
      </c>
      <c r="P37" s="289">
        <f>+PyG!P26</f>
        <v>0.62530218584685748</v>
      </c>
      <c r="Q37" s="289">
        <f>+PyG!Q26</f>
        <v>0.62010629227421421</v>
      </c>
      <c r="R37" s="289">
        <f>+PyG!R26</f>
        <v>0.61131680850648507</v>
      </c>
    </row>
    <row r="38" spans="2:18" x14ac:dyDescent="0.3">
      <c r="B38" s="4" t="s">
        <v>39</v>
      </c>
      <c r="C38" s="289"/>
      <c r="D38" s="289"/>
      <c r="E38" s="289"/>
      <c r="F38" s="289">
        <f t="shared" ref="F38:R38" si="4">+F9/F7</f>
        <v>0.22521110738173192</v>
      </c>
      <c r="G38" s="289">
        <f t="shared" si="4"/>
        <v>0.16630174894160221</v>
      </c>
      <c r="H38" s="289">
        <f t="shared" si="4"/>
        <v>0.13609032475148639</v>
      </c>
      <c r="I38" s="289">
        <f t="shared" si="4"/>
        <v>0.1179342568064877</v>
      </c>
      <c r="J38" s="289">
        <f t="shared" si="4"/>
        <v>8.1030534193622744E-2</v>
      </c>
      <c r="K38" s="289">
        <f t="shared" si="4"/>
        <v>8.1684152832475349E-2</v>
      </c>
      <c r="L38" s="289">
        <f t="shared" si="4"/>
        <v>8.4396983680066776E-2</v>
      </c>
      <c r="M38" s="289">
        <f t="shared" si="4"/>
        <v>8.724963007478638E-2</v>
      </c>
      <c r="N38" s="289">
        <f t="shared" si="4"/>
        <v>9.0248543259968866E-2</v>
      </c>
      <c r="O38" s="289">
        <f t="shared" si="4"/>
        <v>8.9801254351452212E-2</v>
      </c>
      <c r="P38" s="289">
        <f t="shared" si="4"/>
        <v>9.4697814153142448E-2</v>
      </c>
      <c r="Q38" s="289">
        <f t="shared" si="4"/>
        <v>9.9893707725785832E-2</v>
      </c>
      <c r="R38" s="289">
        <f t="shared" si="4"/>
        <v>0.10868319149351501</v>
      </c>
    </row>
    <row r="39" spans="2:18" x14ac:dyDescent="0.3">
      <c r="B39" s="4" t="s">
        <v>40</v>
      </c>
      <c r="C39" s="61">
        <f>+PyG!C38</f>
        <v>0</v>
      </c>
      <c r="D39" s="61">
        <f>+PyG!D38</f>
        <v>0</v>
      </c>
      <c r="E39" s="61">
        <f>+PyG!E38</f>
        <v>0</v>
      </c>
      <c r="F39" s="61">
        <f>+PyG!F38</f>
        <v>0</v>
      </c>
      <c r="G39" s="61">
        <f>+PyG!G38</f>
        <v>0</v>
      </c>
      <c r="H39" s="61">
        <f>+PyG!H38</f>
        <v>0</v>
      </c>
      <c r="I39" s="61">
        <f>+PyG!I38</f>
        <v>0</v>
      </c>
      <c r="J39" s="61">
        <f>+PyG!J38</f>
        <v>0</v>
      </c>
      <c r="K39" s="61">
        <f>+PyG!K38</f>
        <v>0</v>
      </c>
      <c r="L39" s="61">
        <f>+PyG!L38</f>
        <v>0</v>
      </c>
      <c r="M39" s="61">
        <f>+PyG!M38</f>
        <v>0</v>
      </c>
      <c r="N39" s="61">
        <f>+PyG!N38</f>
        <v>0</v>
      </c>
      <c r="O39" s="61">
        <f>+PyG!O38</f>
        <v>0</v>
      </c>
      <c r="P39" s="61">
        <f>+PyG!P38</f>
        <v>0</v>
      </c>
      <c r="Q39" s="61">
        <f>+PyG!Q38</f>
        <v>0</v>
      </c>
      <c r="R39" s="61">
        <f>+PyG!R38</f>
        <v>0</v>
      </c>
    </row>
    <row r="41" spans="2:18" x14ac:dyDescent="0.3">
      <c r="B41" s="9" t="s">
        <v>41</v>
      </c>
    </row>
    <row r="42" spans="2:18" x14ac:dyDescent="0.3">
      <c r="B42" s="4" t="s">
        <v>42</v>
      </c>
      <c r="C42" s="253">
        <f ca="1">+C24-C20</f>
        <v>30375.300744446915</v>
      </c>
      <c r="D42" s="253">
        <f t="shared" ref="D42:R42" ca="1" si="5">+D24-D20</f>
        <v>16193.503088394991</v>
      </c>
      <c r="E42" s="253">
        <f t="shared" ca="1" si="5"/>
        <v>1217.6531977221475</v>
      </c>
      <c r="F42" s="253">
        <f t="shared" ca="1" si="5"/>
        <v>-25460.019667762252</v>
      </c>
      <c r="G42" s="253">
        <f t="shared" ca="1" si="5"/>
        <v>-59935.132093149834</v>
      </c>
      <c r="H42" s="253">
        <f t="shared" ca="1" si="5"/>
        <v>-100205.17734838562</v>
      </c>
      <c r="I42" s="253">
        <f t="shared" ca="1" si="5"/>
        <v>-146060.07984300412</v>
      </c>
      <c r="J42" s="253">
        <f t="shared" ca="1" si="5"/>
        <v>-182873.48289513591</v>
      </c>
      <c r="K42" s="253">
        <f t="shared" ca="1" si="5"/>
        <v>-226828.19108453766</v>
      </c>
      <c r="L42" s="253">
        <f t="shared" ca="1" si="5"/>
        <v>-271660.88284966571</v>
      </c>
      <c r="M42" s="253">
        <f t="shared" ca="1" si="5"/>
        <v>-316906.13154612528</v>
      </c>
      <c r="N42" s="253">
        <f t="shared" ca="1" si="5"/>
        <v>-362550.1568492474</v>
      </c>
      <c r="O42" s="253">
        <f t="shared" ca="1" si="5"/>
        <v>-409816.48983302363</v>
      </c>
      <c r="P42" s="253">
        <f t="shared" ca="1" si="5"/>
        <v>-457626.36289862497</v>
      </c>
      <c r="Q42" s="253">
        <f t="shared" ca="1" si="5"/>
        <v>-504920.51378576277</v>
      </c>
      <c r="R42" s="253">
        <f t="shared" ca="1" si="5"/>
        <v>-550854.21836486133</v>
      </c>
    </row>
    <row r="43" spans="2:18" x14ac:dyDescent="0.3">
      <c r="B43" s="4" t="s">
        <v>43</v>
      </c>
      <c r="C43" s="343">
        <f ca="1">+C23/C28</f>
        <v>3.139802934753539</v>
      </c>
      <c r="D43" s="343">
        <f t="shared" ref="D43:R43" ca="1" si="6">+D23/D28</f>
        <v>1.601199978749912</v>
      </c>
      <c r="E43" s="343">
        <f t="shared" ca="1" si="6"/>
        <v>1.049991617219157</v>
      </c>
      <c r="F43" s="343">
        <f t="shared" ca="1" si="6"/>
        <v>1.0137267907044765</v>
      </c>
      <c r="G43" s="343">
        <f t="shared" ca="1" si="6"/>
        <v>1.009628000052522</v>
      </c>
      <c r="H43" s="343">
        <f t="shared" ca="1" si="6"/>
        <v>1.0072784990132002</v>
      </c>
      <c r="I43" s="343">
        <f t="shared" ca="1" si="6"/>
        <v>1.0057818161321816</v>
      </c>
      <c r="J43" s="343">
        <f t="shared" ca="1" si="6"/>
        <v>1.0051239688774778</v>
      </c>
      <c r="K43" s="343">
        <f t="shared" ca="1" si="6"/>
        <v>1.0044582968225191</v>
      </c>
      <c r="L43" s="343">
        <f t="shared" ca="1" si="6"/>
        <v>1.0039554451680881</v>
      </c>
      <c r="M43" s="343">
        <f t="shared" ca="1" si="6"/>
        <v>1.0035706744438704</v>
      </c>
      <c r="N43" s="343">
        <f t="shared" ca="1" si="6"/>
        <v>1.0032674489924664</v>
      </c>
      <c r="O43" s="343">
        <f t="shared" ca="1" si="6"/>
        <v>1.0030247199783751</v>
      </c>
      <c r="P43" s="343">
        <f t="shared" ca="1" si="6"/>
        <v>1.0028123321173406</v>
      </c>
      <c r="Q43" s="343">
        <f t="shared" ca="1" si="6"/>
        <v>1.0026401629731632</v>
      </c>
      <c r="R43" s="343">
        <f t="shared" ca="1" si="6"/>
        <v>1.0024963062638839</v>
      </c>
    </row>
    <row r="44" spans="2:18" x14ac:dyDescent="0.3">
      <c r="B44" s="4" t="s">
        <v>44</v>
      </c>
      <c r="C44" s="289">
        <f ca="1">+'Balance G.'!C28/Presentación!C23</f>
        <v>0.68150867402176762</v>
      </c>
      <c r="D44" s="289">
        <f ca="1">+'Balance G.'!D28/Presentación!D23</f>
        <v>0.37546839041259589</v>
      </c>
      <c r="E44" s="289">
        <f ca="1">+'Balance G.'!E28/Presentación!E23</f>
        <v>4.7611444129008494E-2</v>
      </c>
      <c r="F44" s="289">
        <f ca="1">+'Balance G.'!F28/Presentación!F23</f>
        <v>1.3540917365848858E-2</v>
      </c>
      <c r="G44" s="289">
        <f ca="1">+'Balance G.'!G28/Presentación!G23</f>
        <v>9.5361856565201759E-3</v>
      </c>
      <c r="H44" s="289">
        <f ca="1">+'Balance G.'!H28/Presentación!H23</f>
        <v>7.2259052688313716E-3</v>
      </c>
      <c r="I44" s="289">
        <f ca="1">+'Balance G.'!I28/Presentación!I23</f>
        <v>5.7485789059261733E-3</v>
      </c>
      <c r="J44" s="289">
        <f ca="1">+'Balance G.'!J28/Presentación!J23</f>
        <v>5.0978476647016878E-3</v>
      </c>
      <c r="K44" s="289">
        <f ca="1">+'Balance G.'!K28/Presentación!K23</f>
        <v>4.4385086335812412E-3</v>
      </c>
      <c r="L44" s="289">
        <f ca="1">+'Balance G.'!L28/Presentación!L23</f>
        <v>3.9398612628927356E-3</v>
      </c>
      <c r="M44" s="289">
        <f ca="1">+'Balance G.'!M28/Presentación!M23</f>
        <v>3.5579700909945562E-3</v>
      </c>
      <c r="N44" s="289">
        <f ca="1">+'Balance G.'!N28/Presentación!N23</f>
        <v>3.2568075399512643E-3</v>
      </c>
      <c r="O44" s="289">
        <f ca="1">+'Balance G.'!O28/Presentación!O23</f>
        <v>3.0155986369312308E-3</v>
      </c>
      <c r="P44" s="289">
        <f ca="1">+'Balance G.'!P28/Presentación!P23</f>
        <v>2.8044450863527739E-3</v>
      </c>
      <c r="Q44" s="289">
        <f ca="1">+'Balance G.'!Q28/Presentación!Q23</f>
        <v>2.6332108673306947E-3</v>
      </c>
      <c r="R44" s="289">
        <f ca="1">+'Balance G.'!R28/Presentación!R23</f>
        <v>2.49009023603007E-3</v>
      </c>
    </row>
    <row r="45" spans="2:18" x14ac:dyDescent="0.3">
      <c r="B45" s="4" t="s">
        <v>45</v>
      </c>
      <c r="C45" s="289">
        <f ca="1">+'Balance G.'!C28/Presentación!C28</f>
        <v>2.139802934753539</v>
      </c>
      <c r="D45" s="289">
        <f ca="1">+'Balance G.'!D28/Presentación!D28</f>
        <v>0.60119997874991216</v>
      </c>
      <c r="E45" s="289">
        <f ca="1">+'Balance G.'!E28/Presentación!E28</f>
        <v>4.9991617219157174E-2</v>
      </c>
      <c r="F45" s="289">
        <f ca="1">+'Balance G.'!F28/Presentación!F28</f>
        <v>1.3726790704476476E-2</v>
      </c>
      <c r="G45" s="289">
        <f ca="1">+'Balance G.'!G28/Presentación!G28</f>
        <v>9.6280000525220122E-3</v>
      </c>
      <c r="H45" s="289">
        <f ca="1">+'Balance G.'!H28/Presentación!H28</f>
        <v>7.2784990132000391E-3</v>
      </c>
      <c r="I45" s="289">
        <f ca="1">+'Balance G.'!I28/Presentación!I28</f>
        <v>5.7818161321815768E-3</v>
      </c>
      <c r="J45" s="289">
        <f ca="1">+'Balance G.'!J28/Presentación!J28</f>
        <v>5.123968877477742E-3</v>
      </c>
      <c r="K45" s="289">
        <f ca="1">+'Balance G.'!K28/Presentación!K28</f>
        <v>4.4582968225190603E-3</v>
      </c>
      <c r="L45" s="289">
        <f ca="1">+'Balance G.'!L28/Presentación!L28</f>
        <v>3.9554451680879829E-3</v>
      </c>
      <c r="M45" s="289">
        <f ca="1">+'Balance G.'!M28/Presentación!M28</f>
        <v>3.5706744438705256E-3</v>
      </c>
      <c r="N45" s="289">
        <f ca="1">+'Balance G.'!N28/Presentación!N28</f>
        <v>3.2674489924663349E-3</v>
      </c>
      <c r="O45" s="289">
        <f ca="1">+'Balance G.'!O28/Presentación!O28</f>
        <v>3.0247199783751174E-3</v>
      </c>
      <c r="P45" s="289">
        <f ca="1">+'Balance G.'!P28/Presentación!P28</f>
        <v>2.8123321173404419E-3</v>
      </c>
      <c r="Q45" s="289">
        <f ca="1">+'Balance G.'!Q28/Presentación!Q28</f>
        <v>2.6401629731631518E-3</v>
      </c>
      <c r="R45" s="289">
        <f ca="1">+'Balance G.'!R28/Presentación!R28</f>
        <v>2.496306263883908E-3</v>
      </c>
    </row>
    <row r="46" spans="2:18" x14ac:dyDescent="0.3">
      <c r="B46" s="4" t="s">
        <v>46</v>
      </c>
      <c r="C46" s="343"/>
      <c r="D46" s="343"/>
      <c r="E46" s="343"/>
      <c r="F46" s="343">
        <f t="shared" ref="F46:R46" ca="1" si="7">+F42/F15</f>
        <v>-2.8431754589621216</v>
      </c>
      <c r="G46" s="343">
        <f t="shared" ca="1" si="7"/>
        <v>-4.2173060073792996</v>
      </c>
      <c r="H46" s="343">
        <f t="shared" ca="1" si="7"/>
        <v>-5.2366312121699004</v>
      </c>
      <c r="I46" s="343">
        <f t="shared" ca="1" si="7"/>
        <v>-6.1522706768944051</v>
      </c>
      <c r="J46" s="343">
        <f t="shared" ca="1" si="7"/>
        <v>-4.6373192960998235</v>
      </c>
      <c r="K46" s="343">
        <f t="shared" ca="1" si="7"/>
        <v>-5.6415523554933369</v>
      </c>
      <c r="L46" s="343">
        <f t="shared" ca="1" si="7"/>
        <v>-6.8371219237725445</v>
      </c>
      <c r="M46" s="343">
        <f t="shared" ca="1" si="7"/>
        <v>-8.0767056636729215</v>
      </c>
      <c r="N46" s="343">
        <f t="shared" ca="1" si="7"/>
        <v>-9.363505349475858</v>
      </c>
      <c r="O46" s="343">
        <f t="shared" ca="1" si="7"/>
        <v>-10.211434989834286</v>
      </c>
      <c r="P46" s="343">
        <f t="shared" ca="1" si="7"/>
        <v>-11.841895665235734</v>
      </c>
      <c r="Q46" s="343">
        <f t="shared" ca="1" si="7"/>
        <v>-13.576158060682294</v>
      </c>
      <c r="R46" s="343">
        <f t="shared" ca="1" si="7"/>
        <v>-16.012790400252733</v>
      </c>
    </row>
    <row r="48" spans="2:18" x14ac:dyDescent="0.3">
      <c r="B48" s="9" t="s">
        <v>47</v>
      </c>
    </row>
    <row r="49" spans="2:18" x14ac:dyDescent="0.3">
      <c r="B49" s="4" t="s">
        <v>48</v>
      </c>
      <c r="C49" s="289">
        <f ca="1">+C13/C23</f>
        <v>-0.14914066482311578</v>
      </c>
      <c r="D49" s="289">
        <f t="shared" ref="D49:R49" ca="1" si="8">+D13/D23</f>
        <v>-0.16689276651097526</v>
      </c>
      <c r="E49" s="289">
        <f t="shared" ca="1" si="8"/>
        <v>-0.15160847799584509</v>
      </c>
      <c r="F49" s="289">
        <f t="shared" ca="1" si="8"/>
        <v>0.11827730623349399</v>
      </c>
      <c r="G49" s="289">
        <f t="shared" ca="1" si="8"/>
        <v>0.1329316603688184</v>
      </c>
      <c r="H49" s="289">
        <f t="shared" ca="1" si="8"/>
        <v>0.13366877968793414</v>
      </c>
      <c r="I49" s="289">
        <f t="shared" ca="1" si="8"/>
        <v>0.12938824215672018</v>
      </c>
      <c r="J49" s="289">
        <f t="shared" ca="1" si="8"/>
        <v>0.17499929426310695</v>
      </c>
      <c r="K49" s="289">
        <f t="shared" ca="1" si="8"/>
        <v>0.15361919012751127</v>
      </c>
      <c r="L49" s="289">
        <f t="shared" ca="1" si="8"/>
        <v>0.13423773499240818</v>
      </c>
      <c r="M49" s="289">
        <f t="shared" ca="1" si="8"/>
        <v>0.11929153818109522</v>
      </c>
      <c r="N49" s="289">
        <f t="shared" ca="1" si="8"/>
        <v>0.10740128460184706</v>
      </c>
      <c r="O49" s="289">
        <f t="shared" ca="1" si="8"/>
        <v>0.10150035106680742</v>
      </c>
      <c r="P49" s="289">
        <f t="shared" ca="1" si="8"/>
        <v>9.1192892537606693E-2</v>
      </c>
      <c r="Q49" s="289">
        <f t="shared" ca="1" si="8"/>
        <v>8.2746733646382603E-2</v>
      </c>
      <c r="R49" s="289">
        <f t="shared" ca="1" si="8"/>
        <v>7.3584805698904091E-2</v>
      </c>
    </row>
    <row r="50" spans="2:18" x14ac:dyDescent="0.3">
      <c r="B50" s="4" t="s">
        <v>49</v>
      </c>
      <c r="C50" s="289">
        <f ca="1">+C13/C28</f>
        <v>-0.46827229710271284</v>
      </c>
      <c r="D50" s="289">
        <f t="shared" ref="D50:R50" ca="1" si="9">+D13/D28</f>
        <v>-0.26722869419088763</v>
      </c>
      <c r="E50" s="289">
        <f t="shared" ca="1" si="9"/>
        <v>-0.15918763099499236</v>
      </c>
      <c r="F50" s="289">
        <f t="shared" ca="1" si="9"/>
        <v>0.11990087406125043</v>
      </c>
      <c r="G50" s="289">
        <f t="shared" ca="1" si="9"/>
        <v>0.1342115264018312</v>
      </c>
      <c r="H50" s="289">
        <f t="shared" ca="1" si="9"/>
        <v>0.13464168776898847</v>
      </c>
      <c r="I50" s="289">
        <f t="shared" ca="1" si="9"/>
        <v>0.13013634118253653</v>
      </c>
      <c r="J50" s="289">
        <f t="shared" ca="1" si="9"/>
        <v>0.17589598520049171</v>
      </c>
      <c r="K50" s="289">
        <f t="shared" ca="1" si="9"/>
        <v>0.15430407007473471</v>
      </c>
      <c r="L50" s="289">
        <f t="shared" ca="1" si="9"/>
        <v>0.134768704992659</v>
      </c>
      <c r="M50" s="289">
        <f t="shared" ca="1" si="9"/>
        <v>0.11971748942784845</v>
      </c>
      <c r="N50" s="289">
        <f t="shared" ca="1" si="9"/>
        <v>0.10775221282100897</v>
      </c>
      <c r="O50" s="289">
        <f t="shared" ca="1" si="9"/>
        <v>0.10180736120649128</v>
      </c>
      <c r="P50" s="289">
        <f t="shared" ca="1" si="9"/>
        <v>9.1449357238163387E-2</v>
      </c>
      <c r="Q50" s="289">
        <f t="shared" ca="1" si="9"/>
        <v>8.2965198508705984E-2</v>
      </c>
      <c r="R50" s="289">
        <f t="shared" ca="1" si="9"/>
        <v>7.3768495910296938E-2</v>
      </c>
    </row>
    <row r="51" spans="2:18" ht="6.75" customHeight="1" x14ac:dyDescent="0.3"/>
    <row r="52" spans="2:18" x14ac:dyDescent="0.3">
      <c r="B52" s="4" t="s">
        <v>50</v>
      </c>
      <c r="C52" s="253">
        <f>+C21+C22-C27</f>
        <v>44969.713150684933</v>
      </c>
      <c r="D52" s="253">
        <f t="shared" ref="D52:R52" si="10">+D21+D22-D27</f>
        <v>44620.087808219178</v>
      </c>
      <c r="E52" s="253">
        <f t="shared" si="10"/>
        <v>44226.355857534247</v>
      </c>
      <c r="F52" s="253">
        <f t="shared" si="10"/>
        <v>47755.908162699008</v>
      </c>
      <c r="G52" s="253">
        <f t="shared" si="10"/>
        <v>49380.829189743454</v>
      </c>
      <c r="H52" s="253">
        <f t="shared" si="10"/>
        <v>50881.986042219032</v>
      </c>
      <c r="I52" s="253">
        <f t="shared" si="10"/>
        <v>52264.948534089657</v>
      </c>
      <c r="J52" s="253">
        <f t="shared" si="10"/>
        <v>57781.852858013139</v>
      </c>
      <c r="K52" s="253">
        <f t="shared" si="10"/>
        <v>57736.659280079679</v>
      </c>
      <c r="L52" s="253">
        <f t="shared" si="10"/>
        <v>57227.880197448685</v>
      </c>
      <c r="M52" s="253">
        <f t="shared" si="10"/>
        <v>56711.155060362769</v>
      </c>
      <c r="N52" s="253">
        <f t="shared" si="10"/>
        <v>56186.983186425045</v>
      </c>
      <c r="O52" s="253">
        <f t="shared" si="10"/>
        <v>56383.211600889597</v>
      </c>
      <c r="P52" s="253">
        <f t="shared" si="10"/>
        <v>55498.255027731764</v>
      </c>
      <c r="Q52" s="253">
        <f t="shared" si="10"/>
        <v>54627.081454795974</v>
      </c>
      <c r="R52" s="253">
        <f t="shared" si="10"/>
        <v>53257.812774135768</v>
      </c>
    </row>
    <row r="53" spans="2:18" x14ac:dyDescent="0.3">
      <c r="B53" s="4" t="s">
        <v>51</v>
      </c>
      <c r="C53" s="289">
        <f ca="1">+C11*(1-C39)/C52</f>
        <v>-0.151972484223625</v>
      </c>
      <c r="D53" s="289">
        <f t="shared" ref="D53:R53" ca="1" si="11">+D11*(1-D39)/D52</f>
        <v>-0.17024617135751072</v>
      </c>
      <c r="E53" s="289">
        <f t="shared" ca="1" si="11"/>
        <v>-0.15480482974084281</v>
      </c>
      <c r="F53" s="289">
        <f t="shared" ca="1" si="11"/>
        <v>0.18382340698390345</v>
      </c>
      <c r="G53" s="289">
        <f t="shared" ca="1" si="11"/>
        <v>0.29710845817283066</v>
      </c>
      <c r="H53" s="289">
        <f t="shared" ca="1" si="11"/>
        <v>0.3998002488004449</v>
      </c>
      <c r="I53" s="289">
        <f t="shared" ca="1" si="11"/>
        <v>0.49381649234924008</v>
      </c>
      <c r="J53" s="289">
        <f t="shared" ca="1" si="11"/>
        <v>0.73258826573237734</v>
      </c>
      <c r="K53" s="289">
        <f t="shared" ca="1" si="11"/>
        <v>0.76051360018015424</v>
      </c>
      <c r="L53" s="289">
        <f t="shared" ca="1" si="11"/>
        <v>0.77451606681166429</v>
      </c>
      <c r="M53" s="289">
        <f t="shared" ca="1" si="11"/>
        <v>0.78870768038078365</v>
      </c>
      <c r="N53" s="289">
        <f t="shared" ca="1" si="11"/>
        <v>0.80303036166721109</v>
      </c>
      <c r="O53" s="289">
        <f t="shared" ca="1" si="11"/>
        <v>0.8417853479898606</v>
      </c>
      <c r="P53" s="289">
        <f t="shared" ca="1" si="11"/>
        <v>0.84552057481799581</v>
      </c>
      <c r="Q53" s="289">
        <f t="shared" ca="1" si="11"/>
        <v>0.84981617318540315</v>
      </c>
      <c r="R53" s="289">
        <f t="shared" ca="1" si="11"/>
        <v>0.83676804542150951</v>
      </c>
    </row>
    <row r="55" spans="2:18" x14ac:dyDescent="0.3">
      <c r="B55" s="9" t="s">
        <v>52</v>
      </c>
    </row>
    <row r="56" spans="2:18" x14ac:dyDescent="0.3">
      <c r="B56" s="4" t="s">
        <v>53</v>
      </c>
      <c r="C56" s="289">
        <f ca="1">+IFERROR(C15/C10,0)</f>
        <v>6.0671004231518975</v>
      </c>
      <c r="D56" s="289">
        <f t="shared" ref="D56:R56" ca="1" si="12">+IFERROR(D15/D10,0)</f>
        <v>4.1552387880646835</v>
      </c>
      <c r="E56" s="289">
        <f t="shared" ca="1" si="12"/>
        <v>11.35271872538461</v>
      </c>
      <c r="F56" s="289">
        <f t="shared" ca="1" si="12"/>
        <v>41.063688139070507</v>
      </c>
      <c r="G56" s="289">
        <f t="shared" ca="1" si="12"/>
        <v>16.642291995734343</v>
      </c>
      <c r="H56" s="289">
        <f t="shared" ca="1" si="12"/>
        <v>11.949163612494834</v>
      </c>
      <c r="I56" s="289">
        <f t="shared" ca="1" si="12"/>
        <v>9.6403533558747849</v>
      </c>
      <c r="J56" s="289">
        <f t="shared" ca="1" si="12"/>
        <v>11.988795372659407</v>
      </c>
      <c r="K56" s="289">
        <f t="shared" ca="1" si="12"/>
        <v>9.8136523292961542</v>
      </c>
      <c r="L56" s="289">
        <f t="shared" ca="1" si="12"/>
        <v>7.9707307583635254</v>
      </c>
      <c r="M56" s="289">
        <f t="shared" ca="1" si="12"/>
        <v>6.6665396557596033</v>
      </c>
      <c r="N56" s="289">
        <f t="shared" ca="1" si="12"/>
        <v>5.6985991897539083</v>
      </c>
      <c r="O56" s="289">
        <f t="shared" ca="1" si="12"/>
        <v>5.1961196283929727</v>
      </c>
      <c r="P56" s="289">
        <f t="shared" ca="1" si="12"/>
        <v>4.4550125513665497</v>
      </c>
      <c r="Q56" s="289">
        <f t="shared" ca="1" si="12"/>
        <v>3.8638854323095</v>
      </c>
      <c r="R56" s="289">
        <f t="shared" ca="1" si="12"/>
        <v>3.2583549813563994</v>
      </c>
    </row>
    <row r="59" spans="2:18" x14ac:dyDescent="0.3">
      <c r="B59" s="5" t="s">
        <v>54</v>
      </c>
      <c r="C59" s="6">
        <f>+C$1</f>
        <v>2021</v>
      </c>
      <c r="D59" s="6">
        <f>+D1</f>
        <v>2022</v>
      </c>
      <c r="E59" s="6">
        <f t="shared" ref="E59:R59" si="13">+E1</f>
        <v>2023</v>
      </c>
      <c r="F59" s="6">
        <f t="shared" si="13"/>
        <v>2024</v>
      </c>
      <c r="G59" s="6">
        <f t="shared" si="13"/>
        <v>2025</v>
      </c>
      <c r="H59" s="6">
        <f t="shared" si="13"/>
        <v>2026</v>
      </c>
      <c r="I59" s="6">
        <f t="shared" si="13"/>
        <v>2027</v>
      </c>
      <c r="J59" s="6">
        <f t="shared" si="13"/>
        <v>2028</v>
      </c>
      <c r="K59" s="6">
        <f t="shared" si="13"/>
        <v>2029</v>
      </c>
      <c r="L59" s="6">
        <f t="shared" si="13"/>
        <v>2030</v>
      </c>
      <c r="M59" s="6">
        <f t="shared" si="13"/>
        <v>2031</v>
      </c>
      <c r="N59" s="6">
        <f t="shared" si="13"/>
        <v>2032</v>
      </c>
      <c r="O59" s="6">
        <f t="shared" si="13"/>
        <v>2033</v>
      </c>
      <c r="P59" s="6">
        <f t="shared" si="13"/>
        <v>2034</v>
      </c>
      <c r="Q59" s="6">
        <f t="shared" si="13"/>
        <v>2035</v>
      </c>
      <c r="R59" s="6">
        <f t="shared" si="13"/>
        <v>2036</v>
      </c>
    </row>
    <row r="60" spans="2:18" ht="11.25" customHeight="1" x14ac:dyDescent="0.3"/>
    <row r="61" spans="2:18" x14ac:dyDescent="0.3">
      <c r="B61" s="8" t="s">
        <v>55</v>
      </c>
      <c r="C61" s="251">
        <f ca="1">+DCF!C79</f>
        <v>776.02533839046134</v>
      </c>
      <c r="D61" s="251">
        <f ca="1">+DCF!D79</f>
        <v>2083.018560483893</v>
      </c>
      <c r="E61" s="251">
        <f ca="1">+DCF!E79</f>
        <v>3616.2249171228586</v>
      </c>
      <c r="F61" s="251">
        <f ca="1">+DCF!F79</f>
        <v>8199.4581572539009</v>
      </c>
      <c r="G61" s="251">
        <f ca="1">+DCF!G79</f>
        <v>12398.742330675386</v>
      </c>
      <c r="H61" s="251">
        <f ca="1">+DCF!H79</f>
        <v>17142.97940697446</v>
      </c>
      <c r="I61" s="251">
        <f ca="1">+DCF!I79</f>
        <v>22413.432193501147</v>
      </c>
      <c r="J61" s="251">
        <f ca="1">+DCF!J79</f>
        <v>28298.564312920429</v>
      </c>
      <c r="K61" s="251">
        <f ca="1">+DCF!K79</f>
        <v>32847.436497608571</v>
      </c>
      <c r="L61" s="251">
        <f ca="1">+DCF!L79</f>
        <v>37321.267572961151</v>
      </c>
      <c r="M61" s="251">
        <f ca="1">+DCF!M79</f>
        <v>41834.581016586162</v>
      </c>
      <c r="N61" s="251">
        <f ca="1">+DCF!N79</f>
        <v>46385.699346485686</v>
      </c>
      <c r="O61" s="251">
        <f ca="1">+DCF!O79</f>
        <v>51366.226283215408</v>
      </c>
      <c r="P61" s="251">
        <f ca="1">+DCF!P79</f>
        <v>56004.953441880032</v>
      </c>
      <c r="Q61" s="251">
        <f ca="1">+DCF!Q79</f>
        <v>60597.057255476073</v>
      </c>
      <c r="R61" s="251">
        <f ca="1">+DCF!R79</f>
        <v>64867.646703743543</v>
      </c>
    </row>
    <row r="62" spans="2:18" ht="14.5" x14ac:dyDescent="0.35">
      <c r="B62" s="8"/>
      <c r="C62" s="335"/>
      <c r="D62" s="335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</row>
    <row r="63" spans="2:18" x14ac:dyDescent="0.3">
      <c r="B63" s="8" t="s">
        <v>56</v>
      </c>
      <c r="C63" s="251">
        <f ca="1">+DCF!C76</f>
        <v>7760.2533839046137</v>
      </c>
      <c r="D63" s="251">
        <f ca="1">+DCF!D76</f>
        <v>20830.185604838931</v>
      </c>
      <c r="E63" s="251">
        <f ca="1">+DCF!E76</f>
        <v>36162.249171228585</v>
      </c>
      <c r="F63" s="251">
        <f ca="1">+DCF!F76</f>
        <v>81994.581572538998</v>
      </c>
      <c r="G63" s="251">
        <f ca="1">+DCF!G76</f>
        <v>123987.42330675386</v>
      </c>
      <c r="H63" s="251">
        <f ca="1">+DCF!H76</f>
        <v>171429.79406974459</v>
      </c>
      <c r="I63" s="251">
        <f ca="1">+DCF!I76</f>
        <v>224134.32193501148</v>
      </c>
      <c r="J63" s="251">
        <f ca="1">+DCF!J76</f>
        <v>282985.64312920428</v>
      </c>
      <c r="K63" s="251">
        <f ca="1">+DCF!K76</f>
        <v>328474.36497608566</v>
      </c>
      <c r="L63" s="251">
        <f ca="1">+DCF!L76</f>
        <v>373212.67572961154</v>
      </c>
      <c r="M63" s="251">
        <f ca="1">+DCF!M76</f>
        <v>418345.81016586162</v>
      </c>
      <c r="N63" s="251">
        <f ca="1">+DCF!N76</f>
        <v>463856.99346485687</v>
      </c>
      <c r="O63" s="251">
        <f ca="1">+DCF!O76</f>
        <v>513662.26283215405</v>
      </c>
      <c r="P63" s="251">
        <f ca="1">+DCF!P76</f>
        <v>560049.53441880026</v>
      </c>
      <c r="Q63" s="251">
        <f ca="1">+DCF!Q76</f>
        <v>605970.57255476073</v>
      </c>
      <c r="R63" s="251">
        <f ca="1">+DCF!R76</f>
        <v>648676.46703743539</v>
      </c>
    </row>
    <row r="64" spans="2:18" x14ac:dyDescent="0.3">
      <c r="B64" s="7" t="s">
        <v>57</v>
      </c>
      <c r="D64" s="289">
        <f ca="1">+D63/C63-1</f>
        <v>1.6842146221723122</v>
      </c>
      <c r="E64" s="289">
        <f t="shared" ref="E64:R64" ca="1" si="14">+E63/D63-1</f>
        <v>0.73605026173304755</v>
      </c>
      <c r="F64" s="289">
        <f t="shared" ca="1" si="14"/>
        <v>1.2674082351541216</v>
      </c>
      <c r="G64" s="289">
        <f t="shared" ca="1" si="14"/>
        <v>0.51214166752061074</v>
      </c>
      <c r="H64" s="289">
        <f t="shared" ca="1" si="14"/>
        <v>0.38263857331412443</v>
      </c>
      <c r="I64" s="289">
        <f t="shared" ca="1" si="14"/>
        <v>0.30744088652305424</v>
      </c>
      <c r="J64" s="289">
        <f t="shared" ca="1" si="14"/>
        <v>0.26257166098486673</v>
      </c>
      <c r="K64" s="289">
        <f t="shared" ca="1" si="14"/>
        <v>0.160745687816086</v>
      </c>
      <c r="L64" s="289">
        <f t="shared" ca="1" si="14"/>
        <v>0.13620031126868315</v>
      </c>
      <c r="M64" s="289">
        <f t="shared" ca="1" si="14"/>
        <v>0.12093140820583637</v>
      </c>
      <c r="N64" s="289">
        <f t="shared" ca="1" si="14"/>
        <v>0.1087884285991807</v>
      </c>
      <c r="O64" s="289">
        <f t="shared" ca="1" si="14"/>
        <v>0.10737203506466164</v>
      </c>
      <c r="P64" s="289">
        <f t="shared" ca="1" si="14"/>
        <v>9.0306948637579598E-2</v>
      </c>
      <c r="Q64" s="289">
        <f t="shared" ca="1" si="14"/>
        <v>8.199460103759515E-2</v>
      </c>
      <c r="R64" s="289">
        <f t="shared" ca="1" si="14"/>
        <v>7.0475195359120058E-2</v>
      </c>
    </row>
    <row r="65" spans="2:18" x14ac:dyDescent="0.3">
      <c r="B65" s="7"/>
    </row>
    <row r="66" spans="2:18" x14ac:dyDescent="0.3">
      <c r="B66" s="337" t="s">
        <v>58</v>
      </c>
      <c r="C66" s="344">
        <f ca="1">+DCF!C84</f>
        <v>0.31866510855942126</v>
      </c>
    </row>
    <row r="68" spans="2:18" ht="12" customHeight="1" x14ac:dyDescent="0.35">
      <c r="B68" s="5" t="s">
        <v>59</v>
      </c>
      <c r="C68" s="6">
        <f>+C$1</f>
        <v>2021</v>
      </c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2:18" ht="11.25" customHeight="1" x14ac:dyDescent="0.3"/>
    <row r="70" spans="2:18" x14ac:dyDescent="0.3">
      <c r="B70" s="28" t="s">
        <v>60</v>
      </c>
      <c r="C70" s="368">
        <f ca="1">+DCF!C68</f>
        <v>0.18653346735301346</v>
      </c>
    </row>
    <row r="71" spans="2:18" x14ac:dyDescent="0.3">
      <c r="B71" s="33" t="s">
        <v>61</v>
      </c>
      <c r="C71" s="367">
        <f ca="1">+DCF!C66</f>
        <v>1152734.4488265445</v>
      </c>
    </row>
    <row r="72" spans="2:18" x14ac:dyDescent="0.3">
      <c r="B72" s="50" t="s">
        <v>62</v>
      </c>
      <c r="C72" s="425">
        <f ca="1">+DCF!C69</f>
        <v>13.163747414904659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758F-C4C8-4350-82B1-2D5506E8FF7D}">
  <dimension ref="B2:O131"/>
  <sheetViews>
    <sheetView showGridLines="0" topLeftCell="A108" zoomScale="80" zoomScaleNormal="80" workbookViewId="0">
      <selection activeCell="S123" sqref="S123"/>
    </sheetView>
  </sheetViews>
  <sheetFormatPr baseColWidth="10" defaultColWidth="11.453125" defaultRowHeight="14.5" x14ac:dyDescent="0.35"/>
  <cols>
    <col min="1" max="1" width="5.453125" customWidth="1"/>
    <col min="8" max="8" width="2.453125" customWidth="1"/>
    <col min="15" max="15" width="4.54296875" customWidth="1"/>
  </cols>
  <sheetData>
    <row r="2" spans="2:15" x14ac:dyDescent="0.35">
      <c r="B2" s="428" t="s">
        <v>63</v>
      </c>
      <c r="C2" s="428"/>
      <c r="D2" s="428"/>
      <c r="E2" s="428"/>
      <c r="F2" s="428"/>
      <c r="G2" s="428"/>
      <c r="H2" s="369"/>
      <c r="I2" s="428" t="s">
        <v>64</v>
      </c>
      <c r="J2" s="428"/>
      <c r="K2" s="428"/>
      <c r="L2" s="428"/>
      <c r="M2" s="428"/>
      <c r="N2" s="428"/>
      <c r="O2" s="369"/>
    </row>
    <row r="3" spans="2:15" x14ac:dyDescent="0.35"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</row>
    <row r="4" spans="2:15" x14ac:dyDescent="0.35"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</row>
    <row r="5" spans="2:15" x14ac:dyDescent="0.35"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</row>
    <row r="6" spans="2:15" x14ac:dyDescent="0.35"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</row>
    <row r="7" spans="2:15" x14ac:dyDescent="0.35"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</row>
    <row r="8" spans="2:15" x14ac:dyDescent="0.35"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</row>
    <row r="9" spans="2:15" x14ac:dyDescent="0.35">
      <c r="B9" s="369"/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</row>
    <row r="10" spans="2:15" x14ac:dyDescent="0.35">
      <c r="B10" s="369"/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</row>
    <row r="11" spans="2:15" x14ac:dyDescent="0.35">
      <c r="B11" s="369"/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</row>
    <row r="12" spans="2:15" x14ac:dyDescent="0.35">
      <c r="B12" s="369"/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N12" s="369"/>
      <c r="O12" s="369"/>
    </row>
    <row r="13" spans="2:15" x14ac:dyDescent="0.35"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</row>
    <row r="14" spans="2:15" x14ac:dyDescent="0.35"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</row>
    <row r="15" spans="2:15" x14ac:dyDescent="0.35"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</row>
    <row r="16" spans="2:15" x14ac:dyDescent="0.35"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</row>
    <row r="17" spans="2:15" x14ac:dyDescent="0.35"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</row>
    <row r="18" spans="2:15" x14ac:dyDescent="0.35">
      <c r="B18" s="428" t="s">
        <v>65</v>
      </c>
      <c r="C18" s="428"/>
      <c r="D18" s="428"/>
      <c r="E18" s="428"/>
      <c r="F18" s="428"/>
      <c r="G18" s="428"/>
      <c r="H18" s="369"/>
      <c r="I18" s="428" t="s">
        <v>66</v>
      </c>
      <c r="J18" s="428"/>
      <c r="K18" s="428"/>
      <c r="L18" s="428"/>
      <c r="M18" s="428"/>
      <c r="N18" s="428"/>
      <c r="O18" s="369"/>
    </row>
    <row r="19" spans="2:15" x14ac:dyDescent="0.35">
      <c r="B19" s="369"/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</row>
    <row r="20" spans="2:15" x14ac:dyDescent="0.35"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</row>
    <row r="21" spans="2:15" x14ac:dyDescent="0.35"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</row>
    <row r="22" spans="2:15" x14ac:dyDescent="0.35"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</row>
    <row r="23" spans="2:15" x14ac:dyDescent="0.35"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</row>
    <row r="24" spans="2:15" x14ac:dyDescent="0.35"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</row>
    <row r="25" spans="2:15" x14ac:dyDescent="0.35"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</row>
    <row r="26" spans="2:15" x14ac:dyDescent="0.35"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</row>
    <row r="27" spans="2:15" x14ac:dyDescent="0.35"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</row>
    <row r="28" spans="2:15" x14ac:dyDescent="0.35"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  <c r="N28" s="369"/>
      <c r="O28" s="369"/>
    </row>
    <row r="29" spans="2:15" x14ac:dyDescent="0.35"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69"/>
      <c r="O29" s="369"/>
    </row>
    <row r="30" spans="2:15" x14ac:dyDescent="0.35"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69"/>
    </row>
    <row r="31" spans="2:15" x14ac:dyDescent="0.35"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</row>
    <row r="32" spans="2:15" x14ac:dyDescent="0.35"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69"/>
      <c r="M32" s="369"/>
      <c r="N32" s="369"/>
      <c r="O32" s="369"/>
    </row>
    <row r="33" spans="2:15" x14ac:dyDescent="0.35">
      <c r="B33" s="369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</row>
    <row r="34" spans="2:15" x14ac:dyDescent="0.35">
      <c r="B34" s="428" t="s">
        <v>67</v>
      </c>
      <c r="C34" s="428"/>
      <c r="D34" s="428"/>
      <c r="E34" s="428"/>
      <c r="F34" s="428"/>
      <c r="G34" s="428"/>
      <c r="H34" s="369"/>
      <c r="I34" s="428" t="s">
        <v>68</v>
      </c>
      <c r="J34" s="428"/>
      <c r="K34" s="428"/>
      <c r="L34" s="428"/>
      <c r="M34" s="428"/>
      <c r="N34" s="428"/>
      <c r="O34" s="369"/>
    </row>
    <row r="35" spans="2:15" x14ac:dyDescent="0.35">
      <c r="B35" s="369"/>
      <c r="C35" s="369"/>
      <c r="D35" s="369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</row>
    <row r="36" spans="2:15" x14ac:dyDescent="0.35">
      <c r="B36" s="369"/>
      <c r="C36" s="369"/>
      <c r="D36" s="369"/>
      <c r="E36" s="369"/>
      <c r="F36" s="369"/>
      <c r="G36" s="369"/>
      <c r="H36" s="369"/>
      <c r="I36" s="369"/>
      <c r="J36" s="369"/>
      <c r="K36" s="369"/>
      <c r="L36" s="369"/>
      <c r="M36" s="369"/>
      <c r="N36" s="369"/>
      <c r="O36" s="369"/>
    </row>
    <row r="37" spans="2:15" x14ac:dyDescent="0.35">
      <c r="B37" s="369"/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369"/>
      <c r="N37" s="369"/>
      <c r="O37" s="369"/>
    </row>
    <row r="38" spans="2:15" x14ac:dyDescent="0.35">
      <c r="B38" s="369"/>
      <c r="C38" s="369"/>
      <c r="D38" s="369"/>
      <c r="E38" s="369"/>
      <c r="F38" s="369"/>
      <c r="G38" s="369"/>
      <c r="H38" s="369"/>
      <c r="I38" s="369"/>
      <c r="J38" s="369"/>
      <c r="K38" s="369"/>
      <c r="L38" s="369"/>
      <c r="M38" s="369"/>
      <c r="N38" s="369"/>
      <c r="O38" s="369"/>
    </row>
    <row r="39" spans="2:15" x14ac:dyDescent="0.35"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69"/>
      <c r="O39" s="369"/>
    </row>
    <row r="40" spans="2:15" x14ac:dyDescent="0.35">
      <c r="B40" s="369"/>
      <c r="C40" s="369"/>
      <c r="D40" s="369"/>
      <c r="E40" s="369"/>
      <c r="F40" s="369"/>
      <c r="G40" s="369"/>
      <c r="H40" s="369"/>
      <c r="I40" s="369"/>
      <c r="J40" s="369"/>
      <c r="K40" s="369"/>
      <c r="L40" s="369"/>
      <c r="M40" s="369"/>
      <c r="N40" s="369"/>
      <c r="O40" s="369"/>
    </row>
    <row r="41" spans="2:15" x14ac:dyDescent="0.35">
      <c r="B41" s="369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</row>
    <row r="42" spans="2:15" x14ac:dyDescent="0.35">
      <c r="B42" s="369"/>
      <c r="C42" s="369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69"/>
      <c r="O42" s="369"/>
    </row>
    <row r="43" spans="2:15" x14ac:dyDescent="0.35"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</row>
    <row r="44" spans="2:15" x14ac:dyDescent="0.35">
      <c r="B44" s="369"/>
      <c r="C44" s="369"/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69"/>
      <c r="O44" s="369"/>
    </row>
    <row r="45" spans="2:15" x14ac:dyDescent="0.35"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</row>
    <row r="46" spans="2:15" x14ac:dyDescent="0.35">
      <c r="B46" s="369"/>
      <c r="C46" s="369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</row>
    <row r="47" spans="2:15" x14ac:dyDescent="0.35">
      <c r="B47" s="369"/>
      <c r="C47" s="369"/>
      <c r="D47" s="369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</row>
    <row r="48" spans="2:15" x14ac:dyDescent="0.35">
      <c r="B48" s="369"/>
      <c r="C48" s="369"/>
      <c r="D48" s="369"/>
      <c r="E48" s="369"/>
      <c r="F48" s="369"/>
      <c r="G48" s="369"/>
      <c r="H48" s="369"/>
      <c r="I48" s="369"/>
      <c r="J48" s="369"/>
      <c r="K48" s="369"/>
      <c r="L48" s="369"/>
      <c r="M48" s="369"/>
      <c r="N48" s="369"/>
      <c r="O48" s="369"/>
    </row>
    <row r="49" spans="2:15" x14ac:dyDescent="0.35">
      <c r="B49" s="369"/>
      <c r="C49" s="369"/>
      <c r="D49" s="369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</row>
    <row r="51" spans="2:15" x14ac:dyDescent="0.35">
      <c r="B51" s="428" t="s">
        <v>69</v>
      </c>
      <c r="C51" s="428"/>
      <c r="D51" s="428"/>
      <c r="E51" s="428"/>
      <c r="F51" s="428"/>
      <c r="G51" s="428"/>
      <c r="H51" s="369"/>
      <c r="I51" s="428" t="s">
        <v>70</v>
      </c>
      <c r="J51" s="428"/>
      <c r="K51" s="428"/>
      <c r="L51" s="428"/>
      <c r="M51" s="428"/>
      <c r="N51" s="428"/>
      <c r="O51" s="369"/>
    </row>
    <row r="52" spans="2:15" x14ac:dyDescent="0.35"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</row>
    <row r="53" spans="2:15" x14ac:dyDescent="0.35">
      <c r="B53" s="369"/>
      <c r="C53" s="369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</row>
    <row r="54" spans="2:15" x14ac:dyDescent="0.35">
      <c r="B54" s="369"/>
      <c r="C54" s="369"/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69"/>
      <c r="O54" s="369"/>
    </row>
    <row r="55" spans="2:15" x14ac:dyDescent="0.35">
      <c r="B55" s="369"/>
      <c r="C55" s="369"/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69"/>
      <c r="O55" s="369"/>
    </row>
    <row r="56" spans="2:15" x14ac:dyDescent="0.35">
      <c r="B56" s="369"/>
      <c r="C56" s="369"/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69"/>
      <c r="O56" s="369"/>
    </row>
    <row r="57" spans="2:15" x14ac:dyDescent="0.35"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</row>
    <row r="58" spans="2:15" x14ac:dyDescent="0.35">
      <c r="B58" s="369"/>
      <c r="C58" s="369"/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</row>
    <row r="59" spans="2:15" x14ac:dyDescent="0.35">
      <c r="B59" s="369"/>
      <c r="C59" s="369"/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69"/>
      <c r="O59" s="369"/>
    </row>
    <row r="60" spans="2:15" x14ac:dyDescent="0.35">
      <c r="B60" s="369"/>
      <c r="C60" s="369"/>
      <c r="D60" s="369"/>
      <c r="E60" s="369"/>
      <c r="F60" s="369"/>
      <c r="G60" s="369"/>
      <c r="H60" s="369"/>
      <c r="I60" s="369"/>
      <c r="J60" s="369"/>
      <c r="K60" s="369"/>
      <c r="L60" s="369"/>
      <c r="M60" s="369"/>
      <c r="N60" s="369"/>
      <c r="O60" s="369"/>
    </row>
    <row r="61" spans="2:15" x14ac:dyDescent="0.35">
      <c r="B61" s="369"/>
      <c r="C61" s="369"/>
      <c r="D61" s="369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</row>
    <row r="62" spans="2:15" x14ac:dyDescent="0.35">
      <c r="B62" s="369"/>
      <c r="C62" s="369"/>
      <c r="D62" s="369"/>
      <c r="E62" s="369"/>
      <c r="F62" s="369"/>
      <c r="G62" s="369"/>
      <c r="H62" s="369"/>
      <c r="I62" s="369"/>
      <c r="J62" s="369"/>
      <c r="K62" s="369"/>
      <c r="L62" s="369"/>
      <c r="M62" s="369"/>
      <c r="N62" s="369"/>
      <c r="O62" s="369"/>
    </row>
    <row r="63" spans="2:15" x14ac:dyDescent="0.35">
      <c r="B63" s="369"/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</row>
    <row r="64" spans="2:15" x14ac:dyDescent="0.35">
      <c r="B64" s="369"/>
      <c r="C64" s="369"/>
      <c r="D64" s="369"/>
      <c r="E64" s="369"/>
      <c r="F64" s="369"/>
      <c r="G64" s="369"/>
      <c r="H64" s="369"/>
      <c r="I64" s="369"/>
      <c r="J64" s="369"/>
      <c r="K64" s="369"/>
      <c r="L64" s="369"/>
      <c r="M64" s="369"/>
      <c r="N64" s="369"/>
      <c r="O64" s="369"/>
    </row>
    <row r="65" spans="2:15" x14ac:dyDescent="0.35">
      <c r="B65" s="369"/>
      <c r="C65" s="369"/>
      <c r="D65" s="369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</row>
    <row r="66" spans="2:15" x14ac:dyDescent="0.35">
      <c r="B66" s="369"/>
      <c r="C66" s="369"/>
      <c r="D66" s="369"/>
      <c r="E66" s="369"/>
      <c r="F66" s="369"/>
      <c r="G66" s="369"/>
      <c r="H66" s="369"/>
      <c r="I66" s="369"/>
      <c r="J66" s="369"/>
      <c r="K66" s="369"/>
      <c r="L66" s="369"/>
      <c r="M66" s="369"/>
      <c r="N66" s="369"/>
      <c r="O66" s="369"/>
    </row>
    <row r="67" spans="2:15" x14ac:dyDescent="0.35">
      <c r="B67" s="428" t="s">
        <v>71</v>
      </c>
      <c r="C67" s="428"/>
      <c r="D67" s="428"/>
      <c r="E67" s="428"/>
      <c r="F67" s="428"/>
      <c r="G67" s="428"/>
      <c r="H67" s="369"/>
      <c r="I67" s="428" t="s">
        <v>47</v>
      </c>
      <c r="J67" s="428"/>
      <c r="K67" s="428"/>
      <c r="L67" s="428"/>
      <c r="M67" s="428"/>
      <c r="N67" s="428"/>
      <c r="O67" s="369"/>
    </row>
    <row r="68" spans="2:15" x14ac:dyDescent="0.35">
      <c r="B68" s="369"/>
      <c r="C68" s="369"/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69"/>
    </row>
    <row r="69" spans="2:15" x14ac:dyDescent="0.35">
      <c r="B69" s="369"/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</row>
    <row r="70" spans="2:15" x14ac:dyDescent="0.35">
      <c r="B70" s="369"/>
      <c r="C70" s="369"/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69"/>
      <c r="O70" s="369"/>
    </row>
    <row r="71" spans="2:15" x14ac:dyDescent="0.35">
      <c r="B71" s="369"/>
      <c r="C71" s="369"/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</row>
    <row r="72" spans="2:15" x14ac:dyDescent="0.35">
      <c r="B72" s="369"/>
      <c r="C72" s="369"/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69"/>
      <c r="O72" s="369"/>
    </row>
    <row r="73" spans="2:15" x14ac:dyDescent="0.35">
      <c r="B73" s="369"/>
      <c r="C73" s="369"/>
      <c r="D73" s="369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</row>
    <row r="74" spans="2:15" x14ac:dyDescent="0.35">
      <c r="B74" s="369"/>
      <c r="C74" s="369"/>
      <c r="D74" s="369"/>
      <c r="E74" s="369"/>
      <c r="F74" s="369"/>
      <c r="G74" s="369"/>
      <c r="H74" s="369"/>
      <c r="I74" s="369"/>
      <c r="J74" s="369"/>
      <c r="K74" s="369"/>
      <c r="L74" s="369"/>
      <c r="M74" s="369"/>
      <c r="N74" s="369"/>
      <c r="O74" s="369"/>
    </row>
    <row r="75" spans="2:15" x14ac:dyDescent="0.35">
      <c r="B75" s="369"/>
      <c r="C75" s="369"/>
      <c r="D75" s="369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</row>
    <row r="76" spans="2:15" x14ac:dyDescent="0.35">
      <c r="B76" s="369"/>
      <c r="C76" s="369"/>
      <c r="D76" s="369"/>
      <c r="E76" s="369"/>
      <c r="F76" s="369"/>
      <c r="G76" s="369"/>
      <c r="H76" s="369"/>
      <c r="I76" s="369"/>
      <c r="J76" s="369"/>
      <c r="K76" s="369"/>
      <c r="L76" s="369"/>
      <c r="M76" s="369"/>
      <c r="N76" s="369"/>
      <c r="O76" s="369"/>
    </row>
    <row r="77" spans="2:15" x14ac:dyDescent="0.35">
      <c r="B77" s="369"/>
      <c r="C77" s="369"/>
      <c r="D77" s="369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</row>
    <row r="78" spans="2:15" x14ac:dyDescent="0.35">
      <c r="B78" s="369"/>
      <c r="C78" s="369"/>
      <c r="D78" s="369"/>
      <c r="E78" s="369"/>
      <c r="F78" s="369"/>
      <c r="G78" s="369"/>
      <c r="H78" s="369"/>
      <c r="I78" s="369"/>
      <c r="J78" s="369"/>
      <c r="K78" s="369"/>
      <c r="L78" s="369"/>
      <c r="M78" s="369"/>
      <c r="N78" s="369"/>
      <c r="O78" s="369"/>
    </row>
    <row r="79" spans="2:15" x14ac:dyDescent="0.35">
      <c r="B79" s="369"/>
      <c r="C79" s="369"/>
      <c r="D79" s="369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</row>
    <row r="80" spans="2:15" x14ac:dyDescent="0.35">
      <c r="B80" s="369"/>
      <c r="C80" s="369"/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69"/>
      <c r="O80" s="369"/>
    </row>
    <row r="81" spans="2:15" x14ac:dyDescent="0.35">
      <c r="B81" s="369"/>
      <c r="C81" s="369"/>
      <c r="D81" s="369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</row>
    <row r="82" spans="2:15" x14ac:dyDescent="0.35">
      <c r="B82" s="369"/>
      <c r="C82" s="369"/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69"/>
      <c r="O82" s="369"/>
    </row>
    <row r="83" spans="2:15" x14ac:dyDescent="0.35">
      <c r="B83" s="428" t="s">
        <v>72</v>
      </c>
      <c r="C83" s="428"/>
      <c r="D83" s="428"/>
      <c r="E83" s="428"/>
      <c r="F83" s="428"/>
      <c r="G83" s="428"/>
      <c r="H83" s="369"/>
      <c r="I83" s="428" t="s">
        <v>73</v>
      </c>
      <c r="J83" s="428"/>
      <c r="K83" s="428"/>
      <c r="L83" s="428"/>
      <c r="M83" s="428"/>
      <c r="N83" s="428"/>
      <c r="O83" s="369"/>
    </row>
    <row r="84" spans="2:15" x14ac:dyDescent="0.35">
      <c r="B84" s="369"/>
      <c r="C84" s="369"/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69"/>
      <c r="O84" s="369"/>
    </row>
    <row r="85" spans="2:15" x14ac:dyDescent="0.35">
      <c r="B85" s="369"/>
      <c r="C85" s="369"/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</row>
    <row r="86" spans="2:15" x14ac:dyDescent="0.35">
      <c r="B86" s="369"/>
      <c r="C86" s="369"/>
      <c r="D86" s="369"/>
      <c r="E86" s="369"/>
      <c r="F86" s="369"/>
      <c r="G86" s="369"/>
      <c r="H86" s="369"/>
      <c r="I86" s="369"/>
      <c r="J86" s="369"/>
      <c r="K86" s="369"/>
      <c r="L86" s="369"/>
      <c r="M86" s="369"/>
      <c r="N86" s="369"/>
      <c r="O86" s="369"/>
    </row>
    <row r="87" spans="2:15" x14ac:dyDescent="0.35">
      <c r="B87" s="369"/>
      <c r="C87" s="369"/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</row>
    <row r="88" spans="2:15" x14ac:dyDescent="0.35">
      <c r="B88" s="369"/>
      <c r="C88" s="369"/>
      <c r="D88" s="369"/>
      <c r="E88" s="369"/>
      <c r="F88" s="369"/>
      <c r="G88" s="369"/>
      <c r="H88" s="369"/>
      <c r="I88" s="369"/>
      <c r="J88" s="369"/>
      <c r="K88" s="369"/>
      <c r="L88" s="369"/>
      <c r="M88" s="369"/>
      <c r="N88" s="369"/>
      <c r="O88" s="369"/>
    </row>
    <row r="89" spans="2:15" x14ac:dyDescent="0.35">
      <c r="B89" s="369"/>
      <c r="C89" s="369"/>
      <c r="D89" s="369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</row>
    <row r="90" spans="2:15" x14ac:dyDescent="0.35">
      <c r="B90" s="369"/>
      <c r="C90" s="369"/>
      <c r="D90" s="369"/>
      <c r="E90" s="369"/>
      <c r="F90" s="369"/>
      <c r="G90" s="369"/>
      <c r="H90" s="369"/>
      <c r="I90" s="369"/>
      <c r="J90" s="369"/>
      <c r="K90" s="369"/>
      <c r="L90" s="369"/>
      <c r="M90" s="369"/>
      <c r="N90" s="369"/>
      <c r="O90" s="369"/>
    </row>
    <row r="91" spans="2:15" x14ac:dyDescent="0.35">
      <c r="B91" s="369"/>
      <c r="C91" s="369"/>
      <c r="D91" s="369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</row>
    <row r="92" spans="2:15" x14ac:dyDescent="0.35">
      <c r="B92" s="369"/>
      <c r="C92" s="369"/>
      <c r="D92" s="369"/>
      <c r="E92" s="369"/>
      <c r="F92" s="369"/>
      <c r="G92" s="369"/>
      <c r="H92" s="369"/>
      <c r="I92" s="369"/>
      <c r="J92" s="369"/>
      <c r="K92" s="369"/>
      <c r="L92" s="369"/>
      <c r="M92" s="369"/>
      <c r="N92" s="369"/>
      <c r="O92" s="369"/>
    </row>
    <row r="93" spans="2:15" x14ac:dyDescent="0.35">
      <c r="B93" s="369"/>
      <c r="C93" s="369"/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</row>
    <row r="94" spans="2:15" x14ac:dyDescent="0.35">
      <c r="B94" s="369"/>
      <c r="C94" s="369"/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69"/>
      <c r="O94" s="369"/>
    </row>
    <row r="95" spans="2:15" x14ac:dyDescent="0.35">
      <c r="B95" s="369"/>
      <c r="C95" s="369"/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</row>
    <row r="96" spans="2:15" x14ac:dyDescent="0.35">
      <c r="B96" s="369"/>
      <c r="C96" s="369"/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69"/>
      <c r="O96" s="369"/>
    </row>
    <row r="97" spans="2:15" x14ac:dyDescent="0.35">
      <c r="B97" s="369"/>
      <c r="C97" s="369"/>
      <c r="D97" s="369"/>
      <c r="E97" s="369"/>
      <c r="F97" s="369"/>
      <c r="G97" s="369"/>
      <c r="H97" s="369"/>
      <c r="I97" s="369"/>
      <c r="J97" s="369"/>
      <c r="K97" s="369"/>
      <c r="L97" s="369"/>
      <c r="M97" s="369"/>
      <c r="N97" s="369"/>
      <c r="O97" s="369"/>
    </row>
    <row r="98" spans="2:15" x14ac:dyDescent="0.35">
      <c r="B98" s="369"/>
      <c r="C98" s="369"/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69"/>
      <c r="O98" s="369"/>
    </row>
    <row r="99" spans="2:15" x14ac:dyDescent="0.35">
      <c r="B99" s="369"/>
      <c r="C99" s="369"/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</row>
    <row r="100" spans="2:15" x14ac:dyDescent="0.35">
      <c r="B100" s="428" t="s">
        <v>74</v>
      </c>
      <c r="C100" s="428"/>
      <c r="D100" s="428"/>
      <c r="E100" s="428"/>
      <c r="F100" s="428"/>
      <c r="G100" s="428"/>
      <c r="H100" s="369"/>
      <c r="I100" s="428" t="s">
        <v>75</v>
      </c>
      <c r="J100" s="428"/>
      <c r="K100" s="428"/>
      <c r="L100" s="428"/>
      <c r="M100" s="428"/>
      <c r="N100" s="428"/>
      <c r="O100" s="369"/>
    </row>
    <row r="101" spans="2:15" x14ac:dyDescent="0.35">
      <c r="B101" s="369"/>
      <c r="C101" s="369"/>
      <c r="D101" s="369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</row>
    <row r="102" spans="2:15" x14ac:dyDescent="0.35">
      <c r="B102" s="369"/>
      <c r="C102" s="369"/>
      <c r="D102" s="369"/>
      <c r="E102" s="369"/>
      <c r="F102" s="369"/>
      <c r="G102" s="369"/>
      <c r="H102" s="369"/>
      <c r="I102" s="369"/>
      <c r="J102" s="369"/>
      <c r="K102" s="369"/>
      <c r="L102" s="369"/>
      <c r="M102" s="369"/>
      <c r="N102" s="369"/>
      <c r="O102" s="369"/>
    </row>
    <row r="103" spans="2:15" x14ac:dyDescent="0.35">
      <c r="B103" s="369"/>
      <c r="C103" s="369"/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</row>
    <row r="104" spans="2:15" x14ac:dyDescent="0.35">
      <c r="B104" s="369"/>
      <c r="C104" s="369"/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69"/>
      <c r="O104" s="369"/>
    </row>
    <row r="105" spans="2:15" x14ac:dyDescent="0.35">
      <c r="B105" s="369"/>
      <c r="C105" s="369"/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</row>
    <row r="106" spans="2:15" x14ac:dyDescent="0.35">
      <c r="B106" s="369"/>
      <c r="C106" s="369"/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69"/>
      <c r="O106" s="369"/>
    </row>
    <row r="107" spans="2:15" x14ac:dyDescent="0.35">
      <c r="B107" s="369"/>
      <c r="C107" s="369"/>
      <c r="D107" s="369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</row>
    <row r="108" spans="2:15" x14ac:dyDescent="0.35">
      <c r="B108" s="369"/>
      <c r="C108" s="369"/>
      <c r="D108" s="369"/>
      <c r="E108" s="369"/>
      <c r="F108" s="369"/>
      <c r="G108" s="369"/>
      <c r="H108" s="369"/>
      <c r="I108" s="369"/>
      <c r="J108" s="369"/>
      <c r="K108" s="369"/>
      <c r="L108" s="369"/>
      <c r="M108" s="369"/>
      <c r="N108" s="369"/>
      <c r="O108" s="369"/>
    </row>
    <row r="109" spans="2:15" x14ac:dyDescent="0.35">
      <c r="B109" s="369"/>
      <c r="C109" s="369"/>
      <c r="D109" s="369"/>
      <c r="E109" s="369"/>
      <c r="F109" s="369"/>
      <c r="G109" s="369"/>
      <c r="H109" s="369"/>
      <c r="I109" s="369"/>
      <c r="J109" s="369"/>
      <c r="K109" s="369"/>
      <c r="L109" s="369"/>
      <c r="M109" s="369"/>
      <c r="N109" s="369"/>
      <c r="O109" s="369"/>
    </row>
    <row r="110" spans="2:15" x14ac:dyDescent="0.35">
      <c r="B110" s="369"/>
      <c r="C110" s="369"/>
      <c r="D110" s="369"/>
      <c r="E110" s="369"/>
      <c r="F110" s="369"/>
      <c r="G110" s="369"/>
      <c r="H110" s="369"/>
      <c r="I110" s="369"/>
      <c r="J110" s="369"/>
      <c r="K110" s="369"/>
      <c r="L110" s="369"/>
      <c r="M110" s="369"/>
      <c r="N110" s="369"/>
      <c r="O110" s="369"/>
    </row>
    <row r="111" spans="2:15" x14ac:dyDescent="0.35">
      <c r="B111" s="369"/>
      <c r="C111" s="369"/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</row>
    <row r="112" spans="2:15" x14ac:dyDescent="0.35">
      <c r="B112" s="369"/>
      <c r="C112" s="369"/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69"/>
      <c r="O112" s="369"/>
    </row>
    <row r="113" spans="2:15" x14ac:dyDescent="0.35">
      <c r="B113" s="369"/>
      <c r="C113" s="369"/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</row>
    <row r="114" spans="2:15" x14ac:dyDescent="0.35">
      <c r="B114" s="369"/>
      <c r="C114" s="369"/>
      <c r="D114" s="369"/>
      <c r="E114" s="369"/>
      <c r="F114" s="369"/>
      <c r="G114" s="369"/>
      <c r="H114" s="369"/>
      <c r="I114" s="369"/>
      <c r="J114" s="369"/>
      <c r="K114" s="369"/>
      <c r="L114" s="369"/>
      <c r="M114" s="369"/>
      <c r="N114" s="369"/>
      <c r="O114" s="369"/>
    </row>
    <row r="115" spans="2:15" x14ac:dyDescent="0.35">
      <c r="B115" s="369"/>
      <c r="C115" s="369"/>
      <c r="D115" s="369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</row>
    <row r="116" spans="2:15" x14ac:dyDescent="0.35">
      <c r="B116" s="428" t="s">
        <v>76</v>
      </c>
      <c r="C116" s="428"/>
      <c r="D116" s="428"/>
      <c r="E116" s="428"/>
      <c r="F116" s="428"/>
      <c r="G116" s="428"/>
      <c r="H116" s="369"/>
      <c r="I116" s="428" t="s">
        <v>77</v>
      </c>
      <c r="J116" s="428"/>
      <c r="K116" s="428"/>
      <c r="L116" s="428"/>
      <c r="M116" s="428"/>
      <c r="N116" s="428"/>
      <c r="O116" s="369"/>
    </row>
    <row r="117" spans="2:15" x14ac:dyDescent="0.35">
      <c r="B117" s="369"/>
      <c r="C117" s="369"/>
      <c r="D117" s="369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</row>
    <row r="118" spans="2:15" x14ac:dyDescent="0.35">
      <c r="B118" s="369"/>
      <c r="C118" s="369"/>
      <c r="D118" s="369"/>
      <c r="E118" s="369"/>
      <c r="F118" s="369"/>
      <c r="G118" s="369"/>
      <c r="H118" s="369"/>
      <c r="I118" s="369"/>
      <c r="J118" s="369"/>
      <c r="K118" s="369"/>
      <c r="L118" s="369"/>
      <c r="M118" s="369"/>
      <c r="N118" s="369"/>
      <c r="O118" s="369"/>
    </row>
    <row r="119" spans="2:15" x14ac:dyDescent="0.35">
      <c r="B119" s="369"/>
      <c r="C119" s="369"/>
      <c r="D119" s="369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</row>
    <row r="120" spans="2:15" x14ac:dyDescent="0.35">
      <c r="B120" s="369"/>
      <c r="C120" s="369"/>
      <c r="D120" s="369"/>
      <c r="E120" s="369"/>
      <c r="F120" s="369"/>
      <c r="G120" s="369"/>
      <c r="H120" s="369"/>
      <c r="I120" s="369"/>
      <c r="J120" s="369"/>
      <c r="K120" s="369"/>
      <c r="L120" s="369"/>
      <c r="M120" s="369"/>
      <c r="N120" s="369"/>
      <c r="O120" s="369"/>
    </row>
    <row r="121" spans="2:15" x14ac:dyDescent="0.35">
      <c r="B121" s="369"/>
      <c r="C121" s="369"/>
      <c r="D121" s="369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</row>
    <row r="122" spans="2:15" x14ac:dyDescent="0.35">
      <c r="B122" s="369"/>
      <c r="C122" s="369"/>
      <c r="D122" s="369"/>
      <c r="E122" s="369"/>
      <c r="F122" s="369"/>
      <c r="G122" s="369"/>
      <c r="H122" s="369"/>
      <c r="I122" s="369"/>
      <c r="J122" s="369"/>
      <c r="K122" s="369"/>
      <c r="L122" s="369"/>
      <c r="M122" s="369"/>
      <c r="N122" s="369"/>
      <c r="O122" s="369"/>
    </row>
    <row r="123" spans="2:15" x14ac:dyDescent="0.35">
      <c r="B123" s="369"/>
      <c r="C123" s="369"/>
      <c r="D123" s="369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</row>
    <row r="124" spans="2:15" x14ac:dyDescent="0.35">
      <c r="B124" s="369"/>
      <c r="C124" s="369"/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69"/>
      <c r="O124" s="369"/>
    </row>
    <row r="125" spans="2:15" x14ac:dyDescent="0.35">
      <c r="B125" s="369"/>
      <c r="C125" s="369"/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</row>
    <row r="126" spans="2:15" x14ac:dyDescent="0.35">
      <c r="B126" s="369"/>
      <c r="C126" s="369"/>
      <c r="D126" s="369"/>
      <c r="E126" s="369"/>
      <c r="F126" s="369"/>
      <c r="G126" s="369"/>
      <c r="H126" s="369"/>
      <c r="I126" s="369"/>
      <c r="J126" s="369"/>
      <c r="K126" s="369"/>
      <c r="L126" s="369"/>
      <c r="M126" s="369"/>
      <c r="N126" s="369"/>
      <c r="O126" s="369"/>
    </row>
    <row r="127" spans="2:15" x14ac:dyDescent="0.35">
      <c r="B127" s="369"/>
      <c r="C127" s="369"/>
      <c r="D127" s="369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</row>
    <row r="128" spans="2:15" x14ac:dyDescent="0.35">
      <c r="B128" s="369"/>
      <c r="C128" s="369"/>
      <c r="D128" s="369"/>
      <c r="E128" s="369"/>
      <c r="F128" s="369"/>
      <c r="G128" s="369"/>
      <c r="H128" s="369"/>
      <c r="I128" s="369"/>
      <c r="J128" s="369"/>
      <c r="K128" s="369"/>
      <c r="L128" s="369"/>
      <c r="M128" s="369"/>
      <c r="N128" s="369"/>
      <c r="O128" s="369"/>
    </row>
    <row r="129" spans="2:15" x14ac:dyDescent="0.35">
      <c r="B129" s="369"/>
      <c r="C129" s="369"/>
      <c r="D129" s="369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</row>
    <row r="130" spans="2:15" x14ac:dyDescent="0.35">
      <c r="B130" s="369"/>
      <c r="C130" s="369"/>
      <c r="D130" s="369"/>
      <c r="E130" s="369"/>
      <c r="F130" s="369"/>
      <c r="G130" s="369"/>
      <c r="H130" s="369"/>
      <c r="I130" s="369"/>
      <c r="J130" s="369"/>
      <c r="K130" s="369"/>
      <c r="L130" s="369"/>
      <c r="M130" s="369"/>
      <c r="N130" s="369"/>
      <c r="O130" s="369"/>
    </row>
    <row r="131" spans="2:15" x14ac:dyDescent="0.35">
      <c r="B131" s="369"/>
      <c r="C131" s="369"/>
      <c r="D131" s="369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</row>
  </sheetData>
  <mergeCells count="16">
    <mergeCell ref="B100:G100"/>
    <mergeCell ref="I100:N100"/>
    <mergeCell ref="B116:G116"/>
    <mergeCell ref="I116:N116"/>
    <mergeCell ref="B67:G67"/>
    <mergeCell ref="I67:N67"/>
    <mergeCell ref="B83:G83"/>
    <mergeCell ref="I83:N83"/>
    <mergeCell ref="B2:G2"/>
    <mergeCell ref="B34:G34"/>
    <mergeCell ref="I2:N2"/>
    <mergeCell ref="I34:N34"/>
    <mergeCell ref="B51:G51"/>
    <mergeCell ref="I51:N51"/>
    <mergeCell ref="B18:G18"/>
    <mergeCell ref="I18:N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D681-439C-458D-8152-7AC718F9051E}">
  <sheetPr>
    <tabColor theme="3" tint="0.39997558519241921"/>
  </sheetPr>
  <dimension ref="B1:V85"/>
  <sheetViews>
    <sheetView showGridLines="0" zoomScale="80" zoomScaleNormal="80" workbookViewId="0">
      <pane xSplit="2" ySplit="1" topLeftCell="C2" activePane="bottomRight" state="frozen"/>
      <selection pane="topRight" activeCell="K30" sqref="K30"/>
      <selection pane="bottomLeft" activeCell="K30" sqref="K30"/>
      <selection pane="bottomRight" activeCell="R36" sqref="R36"/>
    </sheetView>
  </sheetViews>
  <sheetFormatPr baseColWidth="10" defaultColWidth="11.453125" defaultRowHeight="13" x14ac:dyDescent="0.3"/>
  <cols>
    <col min="1" max="1" width="7.26953125" style="4" customWidth="1"/>
    <col min="2" max="2" width="32.7265625" style="4" bestFit="1" customWidth="1"/>
    <col min="3" max="3" width="13.453125" style="4" bestFit="1" customWidth="1"/>
    <col min="4" max="19" width="12.26953125" style="4" customWidth="1"/>
    <col min="20" max="21" width="11.453125" style="4"/>
    <col min="22" max="22" width="15.7265625" style="4" bestFit="1" customWidth="1"/>
    <col min="23" max="16384" width="11.453125" style="4"/>
  </cols>
  <sheetData>
    <row r="1" spans="2:20" ht="15.75" customHeight="1" x14ac:dyDescent="0.3">
      <c r="B1" s="10"/>
      <c r="C1" s="20">
        <f>+Presentación!C1</f>
        <v>2021</v>
      </c>
      <c r="D1" s="20">
        <f>+Presentación!D1</f>
        <v>2022</v>
      </c>
      <c r="E1" s="20">
        <f>+Presentación!E1</f>
        <v>2023</v>
      </c>
      <c r="F1" s="20">
        <f>+Presentación!F1</f>
        <v>2024</v>
      </c>
      <c r="G1" s="20">
        <f>+Presentación!G1</f>
        <v>2025</v>
      </c>
      <c r="H1" s="20">
        <f>+Presentación!H1</f>
        <v>2026</v>
      </c>
      <c r="I1" s="20">
        <f>+Presentación!I1</f>
        <v>2027</v>
      </c>
      <c r="J1" s="20">
        <f>+Presentación!J1</f>
        <v>2028</v>
      </c>
      <c r="K1" s="20">
        <f>+Presentación!K1</f>
        <v>2029</v>
      </c>
      <c r="L1" s="20">
        <f>+Presentación!L1</f>
        <v>2030</v>
      </c>
      <c r="M1" s="20">
        <f>+Presentación!M1</f>
        <v>2031</v>
      </c>
      <c r="N1" s="20">
        <f>+Presentación!N1</f>
        <v>2032</v>
      </c>
      <c r="O1" s="20">
        <f>+Presentación!O1</f>
        <v>2033</v>
      </c>
      <c r="P1" s="20">
        <f>+Presentación!P1</f>
        <v>2034</v>
      </c>
      <c r="Q1" s="20">
        <f>+Presentación!Q1</f>
        <v>2035</v>
      </c>
      <c r="R1" s="20">
        <f>+Presentación!R1</f>
        <v>2036</v>
      </c>
      <c r="S1" s="51" t="s">
        <v>78</v>
      </c>
      <c r="T1" s="321">
        <v>0.01</v>
      </c>
    </row>
    <row r="2" spans="2:20" customFormat="1" ht="14.5" x14ac:dyDescent="0.35">
      <c r="S2" s="46"/>
    </row>
    <row r="3" spans="2:20" x14ac:dyDescent="0.3">
      <c r="B3" s="8" t="s">
        <v>79</v>
      </c>
      <c r="C3" s="251">
        <f>+PyG!C3</f>
        <v>0</v>
      </c>
      <c r="D3" s="251">
        <f>+PyG!D3</f>
        <v>0</v>
      </c>
      <c r="E3" s="251">
        <f>+PyG!E3</f>
        <v>0</v>
      </c>
      <c r="F3" s="251">
        <f>+PyG!F3</f>
        <v>18098.189500467299</v>
      </c>
      <c r="G3" s="251">
        <f>+PyG!G3</f>
        <v>25666.887116016154</v>
      </c>
      <c r="H3" s="251">
        <f>+PyG!H3</f>
        <v>32771.211705955182</v>
      </c>
      <c r="I3" s="251">
        <f>+PyG!I3</f>
        <v>39432.30661169369</v>
      </c>
      <c r="J3" s="251">
        <f>+PyG!J3</f>
        <v>61716.832898903565</v>
      </c>
      <c r="K3" s="251">
        <f>+PyG!K3</f>
        <v>62988.719534515025</v>
      </c>
      <c r="L3" s="251">
        <f>+PyG!L3</f>
        <v>62512.639057639681</v>
      </c>
      <c r="M3" s="251">
        <f>+PyG!M3</f>
        <v>62010.320784250624</v>
      </c>
      <c r="N3" s="251">
        <f>+PyG!N3</f>
        <v>61483.764953345002</v>
      </c>
      <c r="O3" s="251">
        <f>+PyG!O3</f>
        <v>63683.235183396726</v>
      </c>
      <c r="P3" s="251">
        <f>+PyG!P3</f>
        <v>61801.619824485075</v>
      </c>
      <c r="Q3" s="251">
        <f>+PyG!Q3</f>
        <v>59976.344395666565</v>
      </c>
      <c r="R3" s="251">
        <f>+PyG!R3</f>
        <v>56273.421731977622</v>
      </c>
      <c r="S3" s="328">
        <f>+R3*(1+T1)</f>
        <v>56836.155949297397</v>
      </c>
    </row>
    <row r="4" spans="2:20" x14ac:dyDescent="0.3">
      <c r="B4" s="8" t="s">
        <v>80</v>
      </c>
      <c r="C4" s="251">
        <f>+PyG!C4</f>
        <v>2065.8000000000002</v>
      </c>
      <c r="D4" s="251">
        <f>+PyG!D4</f>
        <v>2169.09</v>
      </c>
      <c r="E4" s="251">
        <f>+PyG!E4</f>
        <v>2148.4320000000002</v>
      </c>
      <c r="F4" s="251">
        <f>+PyG!F4</f>
        <v>4524.5473751168247</v>
      </c>
      <c r="G4" s="251">
        <f>+PyG!G4</f>
        <v>6416.7217790040386</v>
      </c>
      <c r="H4" s="251">
        <f>+PyG!H4</f>
        <v>8192.8029264887955</v>
      </c>
      <c r="I4" s="251">
        <f>+PyG!I4</f>
        <v>9858.0766529234224</v>
      </c>
      <c r="J4" s="251">
        <f>+PyG!J4</f>
        <v>15429.208224725891</v>
      </c>
      <c r="K4" s="251">
        <f>+PyG!K4</f>
        <v>15747.179883628756</v>
      </c>
      <c r="L4" s="251">
        <f>+PyG!L4</f>
        <v>15628.15976440992</v>
      </c>
      <c r="M4" s="251">
        <f>+PyG!M4</f>
        <v>15502.580196062656</v>
      </c>
      <c r="N4" s="251">
        <f>+PyG!N4</f>
        <v>15370.941238336251</v>
      </c>
      <c r="O4" s="251">
        <f>+PyG!O4</f>
        <v>15920.808795849181</v>
      </c>
      <c r="P4" s="251">
        <f>+PyG!P4</f>
        <v>15450.404956121269</v>
      </c>
      <c r="Q4" s="251">
        <f>+PyG!Q4</f>
        <v>14994.086098916641</v>
      </c>
      <c r="R4" s="251">
        <f>+PyG!R4</f>
        <v>14068.355432994405</v>
      </c>
      <c r="S4" s="329"/>
    </row>
    <row r="5" spans="2:20" x14ac:dyDescent="0.3">
      <c r="B5" s="7" t="s">
        <v>14</v>
      </c>
      <c r="C5" s="292">
        <f>+PyG!C24</f>
        <v>0</v>
      </c>
      <c r="D5" s="292">
        <f>+PyG!D24</f>
        <v>0</v>
      </c>
      <c r="E5" s="292">
        <f>+PyG!E24</f>
        <v>0</v>
      </c>
      <c r="F5" s="292">
        <f>+PyG!F24</f>
        <v>0.75</v>
      </c>
      <c r="G5" s="292">
        <f>+PyG!G24</f>
        <v>0.75</v>
      </c>
      <c r="H5" s="292">
        <f>+PyG!H24</f>
        <v>0.75</v>
      </c>
      <c r="I5" s="292">
        <f>+PyG!I24</f>
        <v>0.75</v>
      </c>
      <c r="J5" s="292">
        <f>+PyG!J24</f>
        <v>0.74999999999999989</v>
      </c>
      <c r="K5" s="292">
        <f>+PyG!K24</f>
        <v>0.75</v>
      </c>
      <c r="L5" s="292">
        <f>+PyG!L24</f>
        <v>0.74999999999999989</v>
      </c>
      <c r="M5" s="292">
        <f>+PyG!M24</f>
        <v>0.75</v>
      </c>
      <c r="N5" s="292">
        <f>+PyG!N24</f>
        <v>0.75</v>
      </c>
      <c r="O5" s="292">
        <f>+PyG!O24</f>
        <v>0.75</v>
      </c>
      <c r="P5" s="292">
        <f>+PyG!P24</f>
        <v>0.75</v>
      </c>
      <c r="Q5" s="292">
        <f>+PyG!Q24</f>
        <v>0.75</v>
      </c>
      <c r="R5" s="292">
        <f>+PyG!R24</f>
        <v>0.75000000000000011</v>
      </c>
      <c r="S5" s="329"/>
    </row>
    <row r="6" spans="2:20" ht="9" customHeight="1" x14ac:dyDescent="0.3"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329"/>
    </row>
    <row r="7" spans="2:20" x14ac:dyDescent="0.3">
      <c r="B7" s="8" t="s">
        <v>81</v>
      </c>
      <c r="C7" s="251">
        <f>+PyG!C11</f>
        <v>-5922.9000000000005</v>
      </c>
      <c r="D7" s="251">
        <f>+PyG!D11</f>
        <v>-6199.335</v>
      </c>
      <c r="E7" s="251">
        <f>+PyG!E11</f>
        <v>-6324.1188000000011</v>
      </c>
      <c r="F7" s="251">
        <f>+PyG!F11</f>
        <v>8560.5831413317792</v>
      </c>
      <c r="G7" s="251">
        <f>+PyG!G11</f>
        <v>13817.510506251469</v>
      </c>
      <c r="H7" s="251">
        <f>+PyG!H11</f>
        <v>18741.22758472458</v>
      </c>
      <c r="I7" s="251">
        <f>+PyG!I11</f>
        <v>23346.640986003811</v>
      </c>
      <c r="J7" s="251">
        <f>+PyG!J11</f>
        <v>39040.971748673859</v>
      </c>
      <c r="K7" s="251">
        <f>+PyG!K11</f>
        <v>39812.49787167157</v>
      </c>
      <c r="L7" s="251">
        <f>+PyG!L11</f>
        <v>39339.02194315505</v>
      </c>
      <c r="M7" s="251">
        <f>+PyG!M11</f>
        <v>38842.853415415746</v>
      </c>
      <c r="N7" s="251">
        <f>+PyG!N11</f>
        <v>38325.290545230688</v>
      </c>
      <c r="O7" s="251">
        <f>+PyG!O11</f>
        <v>39738.894931418086</v>
      </c>
      <c r="P7" s="251">
        <f>+PyG!P11</f>
        <v>38250.487965127002</v>
      </c>
      <c r="Q7" s="251">
        <f>+PyG!Q11</f>
        <v>36797.508547358142</v>
      </c>
      <c r="R7" s="251">
        <f>+PyG!R11</f>
        <v>34006.688576932043</v>
      </c>
      <c r="S7" s="328">
        <f>+S3*S8</f>
        <v>34346.75546270136</v>
      </c>
    </row>
    <row r="8" spans="2:20" x14ac:dyDescent="0.3">
      <c r="B8" s="7" t="s">
        <v>82</v>
      </c>
      <c r="C8" s="292">
        <f>+PyG!C25</f>
        <v>0</v>
      </c>
      <c r="D8" s="292">
        <f>+PyG!D25</f>
        <v>0</v>
      </c>
      <c r="E8" s="292">
        <f>+PyG!E25</f>
        <v>0</v>
      </c>
      <c r="F8" s="292">
        <f>+PyG!F25</f>
        <v>0.47300770837385381</v>
      </c>
      <c r="G8" s="292">
        <f>+PyG!G25</f>
        <v>0.53833994141149022</v>
      </c>
      <c r="H8" s="292">
        <f>+PyG!H25</f>
        <v>0.57188082494120673</v>
      </c>
      <c r="I8" s="292">
        <f>+PyG!I25</f>
        <v>0.59206886413995219</v>
      </c>
      <c r="J8" s="292">
        <f>+PyG!J25</f>
        <v>0.63258222943205245</v>
      </c>
      <c r="K8" s="292">
        <f>+PyG!K25</f>
        <v>0.63205758373697507</v>
      </c>
      <c r="L8" s="292">
        <f>+PyG!L25</f>
        <v>0.62929709153508251</v>
      </c>
      <c r="M8" s="292">
        <f>+PyG!M25</f>
        <v>0.62639336362344789</v>
      </c>
      <c r="N8" s="292">
        <f>+PyG!N25</f>
        <v>0.6233400081194217</v>
      </c>
      <c r="O8" s="292">
        <f>+PyG!O25</f>
        <v>0.62400873349127017</v>
      </c>
      <c r="P8" s="292">
        <f>+PyG!P25</f>
        <v>0.61892371225474918</v>
      </c>
      <c r="Q8" s="292">
        <f>+PyG!Q25</f>
        <v>0.61353370096388948</v>
      </c>
      <c r="R8" s="292">
        <f>+PyG!R25</f>
        <v>0.60431172532747535</v>
      </c>
      <c r="S8" s="322">
        <f>+R8</f>
        <v>0.60431172532747535</v>
      </c>
    </row>
    <row r="9" spans="2:20" ht="9.75" customHeight="1" x14ac:dyDescent="0.3">
      <c r="S9" s="47"/>
    </row>
    <row r="10" spans="2:20" x14ac:dyDescent="0.3">
      <c r="B10" s="21" t="s">
        <v>83</v>
      </c>
      <c r="C10" s="254">
        <f ca="1">-PyG!C19</f>
        <v>0</v>
      </c>
      <c r="D10" s="254">
        <f ca="1">-PyG!D19</f>
        <v>0</v>
      </c>
      <c r="E10" s="254">
        <f ca="1">-PyG!E19</f>
        <v>0</v>
      </c>
      <c r="F10" s="254">
        <f ca="1">-PyG!F19</f>
        <v>0</v>
      </c>
      <c r="G10" s="254">
        <f ca="1">-PyG!G19</f>
        <v>0</v>
      </c>
      <c r="H10" s="254">
        <f ca="1">-PyG!H19</f>
        <v>0</v>
      </c>
      <c r="I10" s="254">
        <f ca="1">-PyG!I19</f>
        <v>0</v>
      </c>
      <c r="J10" s="254">
        <f ca="1">-PyG!J19</f>
        <v>0</v>
      </c>
      <c r="K10" s="254">
        <f ca="1">-PyG!K19</f>
        <v>0</v>
      </c>
      <c r="L10" s="254">
        <f ca="1">-PyG!L19</f>
        <v>0</v>
      </c>
      <c r="M10" s="254">
        <f ca="1">-PyG!M19</f>
        <v>0</v>
      </c>
      <c r="N10" s="254">
        <f ca="1">-PyG!N19</f>
        <v>0</v>
      </c>
      <c r="O10" s="254">
        <f ca="1">-PyG!O19</f>
        <v>0</v>
      </c>
      <c r="P10" s="254">
        <f ca="1">-PyG!P19</f>
        <v>0</v>
      </c>
      <c r="Q10" s="254">
        <f ca="1">-PyG!Q19</f>
        <v>0</v>
      </c>
      <c r="R10" s="254">
        <f ca="1">-PyG!R19</f>
        <v>0</v>
      </c>
      <c r="S10" s="330">
        <f>-S7*S26</f>
        <v>0</v>
      </c>
    </row>
    <row r="11" spans="2:20" x14ac:dyDescent="0.3">
      <c r="B11" s="8" t="s">
        <v>84</v>
      </c>
      <c r="C11" s="249">
        <f ca="1">+C7+C10</f>
        <v>-5922.9000000000005</v>
      </c>
      <c r="D11" s="249">
        <f t="shared" ref="D11:Q11" ca="1" si="0">+D7+D10</f>
        <v>-6199.335</v>
      </c>
      <c r="E11" s="249">
        <f t="shared" ca="1" si="0"/>
        <v>-6324.1188000000011</v>
      </c>
      <c r="F11" s="249">
        <f t="shared" ca="1" si="0"/>
        <v>8560.5831413317792</v>
      </c>
      <c r="G11" s="249">
        <f t="shared" ca="1" si="0"/>
        <v>13817.510506251469</v>
      </c>
      <c r="H11" s="249">
        <f t="shared" ca="1" si="0"/>
        <v>18741.22758472458</v>
      </c>
      <c r="I11" s="249">
        <f t="shared" ca="1" si="0"/>
        <v>23346.640986003811</v>
      </c>
      <c r="J11" s="249">
        <f t="shared" ca="1" si="0"/>
        <v>39040.971748673859</v>
      </c>
      <c r="K11" s="249">
        <f t="shared" ca="1" si="0"/>
        <v>39812.49787167157</v>
      </c>
      <c r="L11" s="249">
        <f t="shared" ca="1" si="0"/>
        <v>39339.02194315505</v>
      </c>
      <c r="M11" s="249">
        <f t="shared" ca="1" si="0"/>
        <v>38842.853415415746</v>
      </c>
      <c r="N11" s="249">
        <f t="shared" ca="1" si="0"/>
        <v>38325.290545230688</v>
      </c>
      <c r="O11" s="249">
        <f t="shared" ca="1" si="0"/>
        <v>39738.894931418086</v>
      </c>
      <c r="P11" s="249">
        <f t="shared" ca="1" si="0"/>
        <v>38250.487965127002</v>
      </c>
      <c r="Q11" s="249">
        <f t="shared" ca="1" si="0"/>
        <v>36797.508547358142</v>
      </c>
      <c r="R11" s="249">
        <f ca="1">+R7+R10</f>
        <v>34006.688576932043</v>
      </c>
      <c r="S11" s="329">
        <f>+S7+S10</f>
        <v>34346.75546270136</v>
      </c>
    </row>
    <row r="12" spans="2:20" ht="13.5" thickBot="1" x14ac:dyDescent="0.35">
      <c r="B12" s="22" t="s">
        <v>20</v>
      </c>
      <c r="C12" s="290">
        <f>+PyG!C10</f>
        <v>394.2</v>
      </c>
      <c r="D12" s="290">
        <f>+PyG!D10</f>
        <v>394.2</v>
      </c>
      <c r="E12" s="290">
        <f>+PyG!E10</f>
        <v>394.2</v>
      </c>
      <c r="F12" s="290">
        <f>+PyG!F10</f>
        <v>394.2</v>
      </c>
      <c r="G12" s="290">
        <f>+PyG!G10</f>
        <v>394.2</v>
      </c>
      <c r="H12" s="290">
        <f>+PyG!H10</f>
        <v>394.2</v>
      </c>
      <c r="I12" s="290">
        <f>+PyG!I10</f>
        <v>394.2</v>
      </c>
      <c r="J12" s="290">
        <f>+PyG!J10</f>
        <v>394.2</v>
      </c>
      <c r="K12" s="290">
        <f>+PyG!K10</f>
        <v>394.2</v>
      </c>
      <c r="L12" s="290">
        <f>+PyG!L10</f>
        <v>394.2</v>
      </c>
      <c r="M12" s="290">
        <f>+PyG!M10</f>
        <v>394.2</v>
      </c>
      <c r="N12" s="290">
        <f>+PyG!N10</f>
        <v>394.2</v>
      </c>
      <c r="O12" s="290">
        <f>+PyG!O10</f>
        <v>394.2</v>
      </c>
      <c r="P12" s="290">
        <f>+PyG!P10</f>
        <v>394.2</v>
      </c>
      <c r="Q12" s="290">
        <f>+PyG!Q10</f>
        <v>394.2</v>
      </c>
      <c r="R12" s="290">
        <f>+PyG!R10</f>
        <v>394.2</v>
      </c>
      <c r="S12" s="48"/>
    </row>
    <row r="13" spans="2:20" x14ac:dyDescent="0.3">
      <c r="B13" s="8" t="s">
        <v>21</v>
      </c>
      <c r="C13" s="253">
        <f>+C7+C12</f>
        <v>-5528.7000000000007</v>
      </c>
      <c r="D13" s="253">
        <f t="shared" ref="D13:R13" si="1">+D7+D12</f>
        <v>-5805.1350000000002</v>
      </c>
      <c r="E13" s="253">
        <f t="shared" si="1"/>
        <v>-5929.9188000000013</v>
      </c>
      <c r="F13" s="253">
        <f t="shared" si="1"/>
        <v>8954.7831413317799</v>
      </c>
      <c r="G13" s="253">
        <f t="shared" si="1"/>
        <v>14211.710506251469</v>
      </c>
      <c r="H13" s="253">
        <f t="shared" si="1"/>
        <v>19135.427584724581</v>
      </c>
      <c r="I13" s="253">
        <f t="shared" si="1"/>
        <v>23740.840986003812</v>
      </c>
      <c r="J13" s="253">
        <f t="shared" si="1"/>
        <v>39435.171748673856</v>
      </c>
      <c r="K13" s="253">
        <f t="shared" si="1"/>
        <v>40206.697871671568</v>
      </c>
      <c r="L13" s="253">
        <f t="shared" si="1"/>
        <v>39733.221943155047</v>
      </c>
      <c r="M13" s="253">
        <f t="shared" si="1"/>
        <v>39237.053415415743</v>
      </c>
      <c r="N13" s="253">
        <f t="shared" si="1"/>
        <v>38719.490545230685</v>
      </c>
      <c r="O13" s="253">
        <f t="shared" si="1"/>
        <v>40133.094931418083</v>
      </c>
      <c r="P13" s="253">
        <f t="shared" si="1"/>
        <v>38644.687965126999</v>
      </c>
      <c r="Q13" s="253">
        <f t="shared" si="1"/>
        <v>37191.708547358139</v>
      </c>
      <c r="R13" s="253">
        <f t="shared" si="1"/>
        <v>34400.88857693204</v>
      </c>
      <c r="S13" s="47"/>
    </row>
    <row r="14" spans="2:20" ht="13.5" thickBot="1" x14ac:dyDescent="0.35">
      <c r="B14" s="23" t="s">
        <v>38</v>
      </c>
      <c r="C14" s="293"/>
      <c r="D14" s="293"/>
      <c r="E14" s="293"/>
      <c r="F14" s="294">
        <f t="shared" ref="F14:R14" si="2">+F13/F3</f>
        <v>0.49478889261826803</v>
      </c>
      <c r="G14" s="294">
        <f t="shared" si="2"/>
        <v>0.55369825105839787</v>
      </c>
      <c r="H14" s="294">
        <f t="shared" si="2"/>
        <v>0.58390967524851367</v>
      </c>
      <c r="I14" s="294">
        <f t="shared" si="2"/>
        <v>0.60206574319351236</v>
      </c>
      <c r="J14" s="294">
        <f t="shared" si="2"/>
        <v>0.63896946580637715</v>
      </c>
      <c r="K14" s="294">
        <f t="shared" si="2"/>
        <v>0.63831584716752465</v>
      </c>
      <c r="L14" s="294">
        <f t="shared" si="2"/>
        <v>0.63560301631993321</v>
      </c>
      <c r="M14" s="294">
        <f t="shared" si="2"/>
        <v>0.63275036992521361</v>
      </c>
      <c r="N14" s="294">
        <f t="shared" si="2"/>
        <v>0.62975145674003108</v>
      </c>
      <c r="O14" s="294">
        <f t="shared" si="2"/>
        <v>0.63019874564854783</v>
      </c>
      <c r="P14" s="294">
        <f t="shared" si="2"/>
        <v>0.62530218584685748</v>
      </c>
      <c r="Q14" s="294">
        <f t="shared" si="2"/>
        <v>0.62010629227421421</v>
      </c>
      <c r="R14" s="294">
        <f t="shared" si="2"/>
        <v>0.61131680850648507</v>
      </c>
      <c r="S14" s="323">
        <f>+AVERAGE(F14:R14)</f>
        <v>0.60744436541183666</v>
      </c>
    </row>
    <row r="15" spans="2:20" x14ac:dyDescent="0.3">
      <c r="B15" s="24" t="s">
        <v>22</v>
      </c>
      <c r="C15" s="291">
        <f>-'Capex&amp;DA'!C44</f>
        <v>-45368.82</v>
      </c>
      <c r="D15" s="291">
        <f>-'Capex&amp;DA'!D44</f>
        <v>-44.82</v>
      </c>
      <c r="E15" s="291">
        <f>-'Capex&amp;DA'!E44</f>
        <v>-44.82</v>
      </c>
      <c r="F15" s="291">
        <f>-'Capex&amp;DA'!F44</f>
        <v>-44.82</v>
      </c>
      <c r="G15" s="291">
        <f>-'Capex&amp;DA'!G44</f>
        <v>-44.82</v>
      </c>
      <c r="H15" s="291">
        <f>-'Capex&amp;DA'!H44</f>
        <v>-44.82</v>
      </c>
      <c r="I15" s="291">
        <f>-'Capex&amp;DA'!I44</f>
        <v>-44.82</v>
      </c>
      <c r="J15" s="291">
        <f>-'Capex&amp;DA'!J44</f>
        <v>-44.82</v>
      </c>
      <c r="K15" s="291">
        <f>-'Capex&amp;DA'!K44</f>
        <v>-44.82</v>
      </c>
      <c r="L15" s="291">
        <f>-'Capex&amp;DA'!L44</f>
        <v>-44.82</v>
      </c>
      <c r="M15" s="291">
        <f>-'Capex&amp;DA'!M44</f>
        <v>-44.82</v>
      </c>
      <c r="N15" s="291">
        <f>-'Capex&amp;DA'!N44</f>
        <v>-44.82</v>
      </c>
      <c r="O15" s="291">
        <f>-'Capex&amp;DA'!O44</f>
        <v>-44.82</v>
      </c>
      <c r="P15" s="291">
        <f>-'Capex&amp;DA'!P44</f>
        <v>-44.82</v>
      </c>
      <c r="Q15" s="291">
        <f>-'Capex&amp;DA'!Q44</f>
        <v>-44.82</v>
      </c>
      <c r="R15" s="291">
        <f>-'Capex&amp;DA'!R44</f>
        <v>-44.82</v>
      </c>
      <c r="S15" s="326">
        <f ca="1">-(T1/S58)*S11</f>
        <v>-786.611276042447</v>
      </c>
    </row>
    <row r="16" spans="2:20" ht="13.5" thickBot="1" x14ac:dyDescent="0.35">
      <c r="B16" s="25" t="s">
        <v>85</v>
      </c>
      <c r="C16" s="255">
        <f>-'Balance G.'!C55</f>
        <v>4.9068493150684844</v>
      </c>
      <c r="D16" s="255">
        <f>-'Balance G.'!D55</f>
        <v>0.24534246575353791</v>
      </c>
      <c r="E16" s="255">
        <f>-'Balance G.'!E55</f>
        <v>44.351950684931467</v>
      </c>
      <c r="F16" s="255">
        <f>-'Balance G.'!F55</f>
        <v>-3878.9323051647698</v>
      </c>
      <c r="G16" s="255">
        <f>-'Balance G.'!G55</f>
        <v>-1974.3010270444365</v>
      </c>
      <c r="H16" s="255">
        <f>-'Balance G.'!H55</f>
        <v>-1850.5368524755784</v>
      </c>
      <c r="I16" s="255">
        <f>-'Balance G.'!I55</f>
        <v>-1732.3424918706305</v>
      </c>
      <c r="J16" s="255">
        <f>-'Balance G.'!J55</f>
        <v>-5866.2843239234726</v>
      </c>
      <c r="K16" s="255">
        <f>-'Balance G.'!K55</f>
        <v>-304.18642206654226</v>
      </c>
      <c r="L16" s="255">
        <f>-'Balance G.'!L55</f>
        <v>159.39908263098755</v>
      </c>
      <c r="M16" s="255">
        <f>-'Balance G.'!M55</f>
        <v>167.34513708591567</v>
      </c>
      <c r="N16" s="255">
        <f>-'Balance G.'!N55</f>
        <v>174.79187393772258</v>
      </c>
      <c r="O16" s="255">
        <f>-'Balance G.'!O55</f>
        <v>-545.60841446453878</v>
      </c>
      <c r="P16" s="255">
        <f>-'Balance G.'!P55</f>
        <v>535.57657315783081</v>
      </c>
      <c r="Q16" s="255">
        <f>-'Balance G.'!Q55</f>
        <v>521.79357293578869</v>
      </c>
      <c r="R16" s="255">
        <f>-'Balance G.'!R55</f>
        <v>1019.8886806602143</v>
      </c>
      <c r="S16" s="331"/>
    </row>
    <row r="17" spans="2:22" ht="17.25" customHeight="1" thickTop="1" x14ac:dyDescent="0.3">
      <c r="B17" s="27" t="s">
        <v>86</v>
      </c>
      <c r="C17" s="295">
        <f ca="1">+C11+C12+C15+C16</f>
        <v>-50892.613150684934</v>
      </c>
      <c r="D17" s="295">
        <f t="shared" ref="D17:R17" ca="1" si="3">+D11+D12+D15+D16</f>
        <v>-5849.7096575342466</v>
      </c>
      <c r="E17" s="295">
        <f t="shared" ca="1" si="3"/>
        <v>-5930.3868493150694</v>
      </c>
      <c r="F17" s="295">
        <f t="shared" ca="1" si="3"/>
        <v>5031.0308361670104</v>
      </c>
      <c r="G17" s="295">
        <f t="shared" ca="1" si="3"/>
        <v>12192.589479207032</v>
      </c>
      <c r="H17" s="295">
        <f t="shared" ca="1" si="3"/>
        <v>17240.070732249002</v>
      </c>
      <c r="I17" s="295">
        <f t="shared" ca="1" si="3"/>
        <v>21963.678494133183</v>
      </c>
      <c r="J17" s="295">
        <f t="shared" ca="1" si="3"/>
        <v>33524.067424750385</v>
      </c>
      <c r="K17" s="295">
        <f t="shared" ca="1" si="3"/>
        <v>39857.691449605023</v>
      </c>
      <c r="L17" s="295">
        <f t="shared" ca="1" si="3"/>
        <v>39847.801025786037</v>
      </c>
      <c r="M17" s="295">
        <f t="shared" ca="1" si="3"/>
        <v>39359.578552501662</v>
      </c>
      <c r="N17" s="295">
        <f t="shared" ca="1" si="3"/>
        <v>38849.462419168405</v>
      </c>
      <c r="O17" s="295">
        <f t="shared" ca="1" si="3"/>
        <v>39542.666516953548</v>
      </c>
      <c r="P17" s="295">
        <f t="shared" ca="1" si="3"/>
        <v>39135.444538284828</v>
      </c>
      <c r="Q17" s="295">
        <f t="shared" ca="1" si="3"/>
        <v>37668.682120293932</v>
      </c>
      <c r="R17" s="295">
        <f t="shared" ca="1" si="3"/>
        <v>35375.957257592258</v>
      </c>
      <c r="S17" s="296">
        <f ca="1">+S11+S15</f>
        <v>33560.144186658916</v>
      </c>
    </row>
    <row r="18" spans="2:22" x14ac:dyDescent="0.3">
      <c r="B18" s="19" t="s">
        <v>87</v>
      </c>
      <c r="C18" s="19"/>
      <c r="D18" s="319"/>
      <c r="E18" s="319"/>
      <c r="F18" s="319"/>
      <c r="G18" s="319">
        <f t="shared" ref="G18:S18" si="4">+G3/F3-1</f>
        <v>0.41820192099068421</v>
      </c>
      <c r="H18" s="319">
        <f t="shared" si="4"/>
        <v>0.27678948981335272</v>
      </c>
      <c r="I18" s="319">
        <f t="shared" si="4"/>
        <v>0.20326056190739061</v>
      </c>
      <c r="J18" s="319">
        <f t="shared" si="4"/>
        <v>0.5651337241479395</v>
      </c>
      <c r="K18" s="319">
        <f t="shared" si="4"/>
        <v>2.0608423599683068E-2</v>
      </c>
      <c r="L18" s="319">
        <f t="shared" si="4"/>
        <v>-7.55818629738092E-3</v>
      </c>
      <c r="M18" s="319">
        <f t="shared" si="4"/>
        <v>-8.0354674024543105E-3</v>
      </c>
      <c r="N18" s="319">
        <f t="shared" si="4"/>
        <v>-8.4914224639740521E-3</v>
      </c>
      <c r="O18" s="319">
        <f t="shared" si="4"/>
        <v>3.5773187144943375E-2</v>
      </c>
      <c r="P18" s="319">
        <f t="shared" si="4"/>
        <v>-2.9546478810206889E-2</v>
      </c>
      <c r="Q18" s="319">
        <f t="shared" si="4"/>
        <v>-2.9534426994021201E-2</v>
      </c>
      <c r="R18" s="319">
        <f t="shared" si="4"/>
        <v>-6.1739719234313428E-2</v>
      </c>
      <c r="S18" s="332">
        <f t="shared" si="4"/>
        <v>1.0000000000000009E-2</v>
      </c>
    </row>
    <row r="19" spans="2:22" x14ac:dyDescent="0.3">
      <c r="B19" s="19" t="s">
        <v>88</v>
      </c>
      <c r="C19" s="19"/>
      <c r="D19" s="319">
        <f t="shared" ref="D19:R19" si="5">+D13/C13-1</f>
        <v>4.9999999999999822E-2</v>
      </c>
      <c r="E19" s="319">
        <f t="shared" si="5"/>
        <v>2.149541741923322E-2</v>
      </c>
      <c r="F19" s="319">
        <f t="shared" si="5"/>
        <v>-2.5101021520449454</v>
      </c>
      <c r="G19" s="319">
        <f t="shared" si="5"/>
        <v>0.58705244805491352</v>
      </c>
      <c r="H19" s="319">
        <f t="shared" si="5"/>
        <v>0.34645492365660413</v>
      </c>
      <c r="I19" s="319">
        <f t="shared" si="5"/>
        <v>0.24067470564157323</v>
      </c>
      <c r="J19" s="319">
        <f t="shared" si="5"/>
        <v>0.66106886322698033</v>
      </c>
      <c r="K19" s="319">
        <f t="shared" si="5"/>
        <v>1.9564416453280886E-2</v>
      </c>
      <c r="L19" s="319">
        <f t="shared" si="5"/>
        <v>-1.177604612116423E-2</v>
      </c>
      <c r="M19" s="319">
        <f t="shared" si="5"/>
        <v>-1.2487497954461246E-2</v>
      </c>
      <c r="N19" s="319">
        <f t="shared" si="5"/>
        <v>-1.3190666095780679E-2</v>
      </c>
      <c r="O19" s="319">
        <f t="shared" si="5"/>
        <v>3.6508858104320252E-2</v>
      </c>
      <c r="P19" s="319">
        <f t="shared" si="5"/>
        <v>-3.7086772620814945E-2</v>
      </c>
      <c r="Q19" s="319">
        <f t="shared" si="5"/>
        <v>-3.7598425405324321E-2</v>
      </c>
      <c r="R19" s="319">
        <f t="shared" si="5"/>
        <v>-7.50387674949754E-2</v>
      </c>
      <c r="S19" s="49"/>
    </row>
    <row r="20" spans="2:22" x14ac:dyDescent="0.3">
      <c r="B20" s="19"/>
    </row>
    <row r="22" spans="2:22" x14ac:dyDescent="0.3">
      <c r="B22" s="28" t="s">
        <v>89</v>
      </c>
      <c r="C22" s="317">
        <f ca="1">+(C24*(C38/(C38+C39)))+(C28*(C39/(C38+C39)))</f>
        <v>9.5682336859866407E-2</v>
      </c>
      <c r="D22" s="317">
        <f t="shared" ref="D22:S22" ca="1" si="6">+(D24*(D38/(D38+D39)))+(D28*(D39/(D38+D39)))</f>
        <v>8.1783776052417823E-2</v>
      </c>
      <c r="E22" s="317">
        <f t="shared" ca="1" si="6"/>
        <v>6.6869286215207338E-2</v>
      </c>
      <c r="F22" s="317">
        <f t="shared" ca="1" si="6"/>
        <v>4.8454192955290402E-2</v>
      </c>
      <c r="G22" s="317">
        <f t="shared" ca="1" si="6"/>
        <v>3.8430524519282812E-2</v>
      </c>
      <c r="H22" s="317">
        <f t="shared" ca="1" si="6"/>
        <v>3.2647857854074744E-2</v>
      </c>
      <c r="I22" s="317">
        <f t="shared" ca="1" si="6"/>
        <v>2.8949446127210173E-2</v>
      </c>
      <c r="J22" s="317">
        <f t="shared" ca="1" si="6"/>
        <v>2.7757250676735248E-2</v>
      </c>
      <c r="K22" s="317">
        <f t="shared" ca="1" si="6"/>
        <v>2.5875784185610613E-2</v>
      </c>
      <c r="L22" s="317">
        <f t="shared" ca="1" si="6"/>
        <v>2.4413724248127711E-2</v>
      </c>
      <c r="M22" s="317">
        <f t="shared" ca="1" si="6"/>
        <v>2.3288619513216861E-2</v>
      </c>
      <c r="N22" s="317">
        <f t="shared" ca="1" si="6"/>
        <v>2.4141214872097101E-2</v>
      </c>
      <c r="O22" s="317">
        <f t="shared" ca="1" si="6"/>
        <v>2.5214154388720208E-2</v>
      </c>
      <c r="P22" s="317">
        <f t="shared" ca="1" si="6"/>
        <v>2.6310859699514317E-2</v>
      </c>
      <c r="Q22" s="317">
        <f t="shared" ca="1" si="6"/>
        <v>2.7521789470970538E-2</v>
      </c>
      <c r="R22" s="317">
        <f t="shared" ca="1" si="6"/>
        <v>2.8786905434859116E-2</v>
      </c>
      <c r="S22" s="318">
        <f t="shared" ca="1" si="6"/>
        <v>3.053181490889318E-2</v>
      </c>
    </row>
    <row r="23" spans="2:22" x14ac:dyDescent="0.3">
      <c r="B23" s="31"/>
      <c r="S23" s="32"/>
    </row>
    <row r="24" spans="2:22" x14ac:dyDescent="0.3">
      <c r="B24" s="33" t="s">
        <v>90</v>
      </c>
      <c r="C24" s="299">
        <f>+C25*(1-C26)</f>
        <v>0.06</v>
      </c>
      <c r="D24" s="299">
        <f t="shared" ref="D24:S24" si="7">+D25*(1-D26)</f>
        <v>0.06</v>
      </c>
      <c r="E24" s="299">
        <f t="shared" si="7"/>
        <v>0.06</v>
      </c>
      <c r="F24" s="299">
        <f t="shared" si="7"/>
        <v>0.06</v>
      </c>
      <c r="G24" s="299">
        <f t="shared" si="7"/>
        <v>0.06</v>
      </c>
      <c r="H24" s="299">
        <f t="shared" si="7"/>
        <v>0.06</v>
      </c>
      <c r="I24" s="299">
        <f t="shared" si="7"/>
        <v>0.06</v>
      </c>
      <c r="J24" s="299">
        <f t="shared" si="7"/>
        <v>0.06</v>
      </c>
      <c r="K24" s="299">
        <f t="shared" si="7"/>
        <v>0.06</v>
      </c>
      <c r="L24" s="299">
        <f t="shared" si="7"/>
        <v>0.06</v>
      </c>
      <c r="M24" s="299">
        <f t="shared" si="7"/>
        <v>0.06</v>
      </c>
      <c r="N24" s="299">
        <f t="shared" si="7"/>
        <v>0.06</v>
      </c>
      <c r="O24" s="299">
        <f t="shared" si="7"/>
        <v>0.06</v>
      </c>
      <c r="P24" s="299">
        <f t="shared" si="7"/>
        <v>0.06</v>
      </c>
      <c r="Q24" s="299">
        <f t="shared" si="7"/>
        <v>0.06</v>
      </c>
      <c r="R24" s="299">
        <f t="shared" si="7"/>
        <v>0.06</v>
      </c>
      <c r="S24" s="300">
        <f t="shared" si="7"/>
        <v>0.06</v>
      </c>
    </row>
    <row r="25" spans="2:22" x14ac:dyDescent="0.3">
      <c r="B25" s="34" t="s">
        <v>91</v>
      </c>
      <c r="C25" s="301">
        <f>+Debt!C3</f>
        <v>0.06</v>
      </c>
      <c r="D25" s="301">
        <f>+Debt!D3</f>
        <v>0.06</v>
      </c>
      <c r="E25" s="301">
        <f>+Debt!E3</f>
        <v>0.06</v>
      </c>
      <c r="F25" s="301">
        <f>+Debt!F3</f>
        <v>0.06</v>
      </c>
      <c r="G25" s="301">
        <f>+Debt!G3</f>
        <v>0.06</v>
      </c>
      <c r="H25" s="301">
        <f>+Debt!H3</f>
        <v>0.06</v>
      </c>
      <c r="I25" s="301">
        <f>+Debt!I3</f>
        <v>0.06</v>
      </c>
      <c r="J25" s="301">
        <f>+Debt!J3</f>
        <v>0.06</v>
      </c>
      <c r="K25" s="301">
        <f>+Debt!K3</f>
        <v>0.06</v>
      </c>
      <c r="L25" s="301">
        <f>+Debt!L3</f>
        <v>0.06</v>
      </c>
      <c r="M25" s="301">
        <f>+Debt!M3</f>
        <v>0.06</v>
      </c>
      <c r="N25" s="301">
        <f>+Debt!N3</f>
        <v>0.06</v>
      </c>
      <c r="O25" s="301">
        <f>+Debt!O3</f>
        <v>0.06</v>
      </c>
      <c r="P25" s="301">
        <f>+Debt!P3</f>
        <v>0.06</v>
      </c>
      <c r="Q25" s="301">
        <f>+Debt!Q3</f>
        <v>0.06</v>
      </c>
      <c r="R25" s="301">
        <f>+Debt!R3</f>
        <v>0.06</v>
      </c>
      <c r="S25" s="297">
        <f>+R25</f>
        <v>0.06</v>
      </c>
    </row>
    <row r="26" spans="2:22" x14ac:dyDescent="0.3">
      <c r="B26" s="34" t="s">
        <v>92</v>
      </c>
      <c r="C26" s="302">
        <f>+PyG!C38</f>
        <v>0</v>
      </c>
      <c r="D26" s="302">
        <f>+PyG!D38</f>
        <v>0</v>
      </c>
      <c r="E26" s="302">
        <f>+PyG!E38</f>
        <v>0</v>
      </c>
      <c r="F26" s="302">
        <f>+PyG!F38</f>
        <v>0</v>
      </c>
      <c r="G26" s="302">
        <f>+PyG!G38</f>
        <v>0</v>
      </c>
      <c r="H26" s="302">
        <f>+PyG!H38</f>
        <v>0</v>
      </c>
      <c r="I26" s="302">
        <f>+PyG!I38</f>
        <v>0</v>
      </c>
      <c r="J26" s="302">
        <f>+PyG!J38</f>
        <v>0</v>
      </c>
      <c r="K26" s="302">
        <f>+PyG!K38</f>
        <v>0</v>
      </c>
      <c r="L26" s="302">
        <f>+PyG!L38</f>
        <v>0</v>
      </c>
      <c r="M26" s="302">
        <f>+PyG!M38</f>
        <v>0</v>
      </c>
      <c r="N26" s="302">
        <f>+PyG!N38</f>
        <v>0</v>
      </c>
      <c r="O26" s="302">
        <f>+PyG!O38</f>
        <v>0</v>
      </c>
      <c r="P26" s="302">
        <f>+PyG!P38</f>
        <v>0</v>
      </c>
      <c r="Q26" s="302">
        <f>+PyG!Q38</f>
        <v>0</v>
      </c>
      <c r="R26" s="302">
        <f>+PyG!R38</f>
        <v>0</v>
      </c>
      <c r="S26" s="297">
        <f>+R26</f>
        <v>0</v>
      </c>
    </row>
    <row r="27" spans="2:22" x14ac:dyDescent="0.3">
      <c r="B27" s="31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303"/>
    </row>
    <row r="28" spans="2:22" x14ac:dyDescent="0.3">
      <c r="B28" s="33" t="s">
        <v>93</v>
      </c>
      <c r="C28" s="299">
        <f ca="1">+C30+(C42*C34)</f>
        <v>0.1699478628168988</v>
      </c>
      <c r="D28" s="299">
        <f t="shared" ref="D28:S28" ca="1" si="8">+D30+(D42*D34)</f>
        <v>9.419313328820729E-2</v>
      </c>
      <c r="E28" s="299">
        <f t="shared" ca="1" si="8"/>
        <v>6.706376797840248E-2</v>
      </c>
      <c r="F28" s="299">
        <f t="shared" ca="1" si="8"/>
        <v>4.8454192955290402E-2</v>
      </c>
      <c r="G28" s="299">
        <f t="shared" ca="1" si="8"/>
        <v>3.8430524519282812E-2</v>
      </c>
      <c r="H28" s="299">
        <f t="shared" ca="1" si="8"/>
        <v>3.2647857854074744E-2</v>
      </c>
      <c r="I28" s="299">
        <f t="shared" ca="1" si="8"/>
        <v>2.8949446127210173E-2</v>
      </c>
      <c r="J28" s="299">
        <f t="shared" ca="1" si="8"/>
        <v>2.7757250676735248E-2</v>
      </c>
      <c r="K28" s="299">
        <f t="shared" ca="1" si="8"/>
        <v>2.5875784185610613E-2</v>
      </c>
      <c r="L28" s="299">
        <f t="shared" ca="1" si="8"/>
        <v>2.4413724248127711E-2</v>
      </c>
      <c r="M28" s="299">
        <f t="shared" ca="1" si="8"/>
        <v>2.3288619513216861E-2</v>
      </c>
      <c r="N28" s="299">
        <f t="shared" ca="1" si="8"/>
        <v>2.4141214872097101E-2</v>
      </c>
      <c r="O28" s="299">
        <f t="shared" ca="1" si="8"/>
        <v>2.5214154388720208E-2</v>
      </c>
      <c r="P28" s="299">
        <f t="shared" ca="1" si="8"/>
        <v>2.6310859699514317E-2</v>
      </c>
      <c r="Q28" s="299">
        <f t="shared" ca="1" si="8"/>
        <v>2.7521789470970538E-2</v>
      </c>
      <c r="R28" s="299">
        <f t="shared" ca="1" si="8"/>
        <v>2.8786905434859116E-2</v>
      </c>
      <c r="S28" s="300">
        <f t="shared" ca="1" si="8"/>
        <v>3.053181490889318E-2</v>
      </c>
    </row>
    <row r="29" spans="2:22" x14ac:dyDescent="0.3">
      <c r="B29" s="31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303"/>
    </row>
    <row r="30" spans="2:22" x14ac:dyDescent="0.3">
      <c r="B30" s="33" t="s">
        <v>94</v>
      </c>
      <c r="C30" s="299">
        <f>+C31-C32</f>
        <v>1.5530543155795605E-2</v>
      </c>
      <c r="D30" s="299">
        <f t="shared" ref="D30:R30" si="9">+D31-D32</f>
        <v>1.5530543155795605E-2</v>
      </c>
      <c r="E30" s="299">
        <f t="shared" si="9"/>
        <v>1.5530543155795605E-2</v>
      </c>
      <c r="F30" s="299">
        <f t="shared" si="9"/>
        <v>1.5530543155795605E-2</v>
      </c>
      <c r="G30" s="299">
        <f t="shared" si="9"/>
        <v>1.5530543155795605E-2</v>
      </c>
      <c r="H30" s="299">
        <f t="shared" si="9"/>
        <v>1.5530543155795605E-2</v>
      </c>
      <c r="I30" s="299">
        <f t="shared" si="9"/>
        <v>1.5530543155795605E-2</v>
      </c>
      <c r="J30" s="299">
        <f t="shared" si="9"/>
        <v>1.5530543155795605E-2</v>
      </c>
      <c r="K30" s="299">
        <f t="shared" si="9"/>
        <v>1.5530543155795605E-2</v>
      </c>
      <c r="L30" s="299">
        <f t="shared" si="9"/>
        <v>1.5530543155795605E-2</v>
      </c>
      <c r="M30" s="299">
        <f t="shared" si="9"/>
        <v>1.5530543155795605E-2</v>
      </c>
      <c r="N30" s="299">
        <f t="shared" si="9"/>
        <v>1.7275452629829671E-2</v>
      </c>
      <c r="O30" s="299">
        <f t="shared" si="9"/>
        <v>1.9020362103863736E-2</v>
      </c>
      <c r="P30" s="299">
        <f t="shared" si="9"/>
        <v>2.0765271577897801E-2</v>
      </c>
      <c r="Q30" s="299">
        <f t="shared" si="9"/>
        <v>2.2510181051931866E-2</v>
      </c>
      <c r="R30" s="299">
        <f t="shared" si="9"/>
        <v>2.4255090525965931E-2</v>
      </c>
      <c r="S30" s="300">
        <f>+S31-S32</f>
        <v>2.5999999999999999E-2</v>
      </c>
    </row>
    <row r="31" spans="2:22" x14ac:dyDescent="0.3">
      <c r="B31" s="34" t="s">
        <v>95</v>
      </c>
      <c r="C31" s="304">
        <f>+WACC!$C$5</f>
        <v>1.5530543155795605E-2</v>
      </c>
      <c r="D31" s="304">
        <f>+WACC!$C$5</f>
        <v>1.5530543155795605E-2</v>
      </c>
      <c r="E31" s="304">
        <f>+WACC!$C$5</f>
        <v>1.5530543155795605E-2</v>
      </c>
      <c r="F31" s="304">
        <f>+WACC!$C$5</f>
        <v>1.5530543155795605E-2</v>
      </c>
      <c r="G31" s="304">
        <f>+WACC!$C$5</f>
        <v>1.5530543155795605E-2</v>
      </c>
      <c r="H31" s="304">
        <f>+WACC!$C$5</f>
        <v>1.5530543155795605E-2</v>
      </c>
      <c r="I31" s="304">
        <f>+WACC!$C$5</f>
        <v>1.5530543155795605E-2</v>
      </c>
      <c r="J31" s="304">
        <f>+WACC!$C$5</f>
        <v>1.5530543155795605E-2</v>
      </c>
      <c r="K31" s="304">
        <f>+WACC!$C$5</f>
        <v>1.5530543155795605E-2</v>
      </c>
      <c r="L31" s="304">
        <f>+WACC!$C$5</f>
        <v>1.5530543155795605E-2</v>
      </c>
      <c r="M31" s="304">
        <f>+WACC!$C$5</f>
        <v>1.5530543155795605E-2</v>
      </c>
      <c r="N31" s="298">
        <f>+M31-(($M$31-$S$31)/6)</f>
        <v>1.7275452629829671E-2</v>
      </c>
      <c r="O31" s="298">
        <f t="shared" ref="O31:R31" si="10">+N31-(($M$31-$S$31)/6)</f>
        <v>1.9020362103863736E-2</v>
      </c>
      <c r="P31" s="298">
        <f t="shared" si="10"/>
        <v>2.0765271577897801E-2</v>
      </c>
      <c r="Q31" s="298">
        <f t="shared" si="10"/>
        <v>2.2510181051931866E-2</v>
      </c>
      <c r="R31" s="298">
        <f t="shared" si="10"/>
        <v>2.4255090525965931E-2</v>
      </c>
      <c r="S31" s="297">
        <v>2.5999999999999999E-2</v>
      </c>
      <c r="V31" s="71"/>
    </row>
    <row r="32" spans="2:22" x14ac:dyDescent="0.3">
      <c r="B32" s="3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411"/>
      <c r="O32" s="411"/>
      <c r="P32" s="411"/>
      <c r="Q32" s="411"/>
      <c r="R32" s="411"/>
      <c r="S32" s="410"/>
      <c r="V32" s="71"/>
    </row>
    <row r="33" spans="2:22" x14ac:dyDescent="0.3">
      <c r="B33" s="31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303"/>
    </row>
    <row r="34" spans="2:22" x14ac:dyDescent="0.3">
      <c r="B34" s="33" t="s">
        <v>96</v>
      </c>
      <c r="C34" s="40">
        <f ca="1">+((C35)*(1+(1-C37)*(C40))*(1-C36))</f>
        <v>2.4020292835038943</v>
      </c>
      <c r="D34" s="40">
        <f t="shared" ref="D34:Q34" ca="1" si="11">+((D35)*(1+(1-D37)*(D40))*(1-D36))</f>
        <v>1.223631166691677</v>
      </c>
      <c r="E34" s="40">
        <f t="shared" ca="1" si="11"/>
        <v>0.80162196422628373</v>
      </c>
      <c r="F34" s="40">
        <f t="shared" ca="1" si="11"/>
        <v>0.51214184465691315</v>
      </c>
      <c r="G34" s="40">
        <f t="shared" ca="1" si="11"/>
        <v>0.35621927609876464</v>
      </c>
      <c r="H34" s="40">
        <f t="shared" ca="1" si="11"/>
        <v>0.26626735427382936</v>
      </c>
      <c r="I34" s="40">
        <f t="shared" ca="1" si="11"/>
        <v>0.20873693417665515</v>
      </c>
      <c r="J34" s="40">
        <f t="shared" ca="1" si="11"/>
        <v>0.19019180989923753</v>
      </c>
      <c r="K34" s="40">
        <f t="shared" ca="1" si="11"/>
        <v>0.16092477160631025</v>
      </c>
      <c r="L34" s="40">
        <f t="shared" ca="1" si="11"/>
        <v>0.13818178661097857</v>
      </c>
      <c r="M34" s="40">
        <f t="shared" ca="1" si="11"/>
        <v>0.12068028790477162</v>
      </c>
      <c r="N34" s="40">
        <f t="shared" ca="1" si="11"/>
        <v>0.10679994961508128</v>
      </c>
      <c r="O34" s="40">
        <f t="shared" ca="1" si="11"/>
        <v>9.6347161554270477E-2</v>
      </c>
      <c r="P34" s="40">
        <f t="shared" ca="1" si="11"/>
        <v>8.6264060868358819E-2</v>
      </c>
      <c r="Q34" s="40">
        <f t="shared" ca="1" si="11"/>
        <v>7.7957771876918894E-2</v>
      </c>
      <c r="R34" s="40">
        <f ca="1">+((R35)*(1+(1-R37)*(R40))*(1-R36))</f>
        <v>7.0494372927021889E-2</v>
      </c>
      <c r="S34" s="311">
        <f ca="1">+((S35)*(1+(1-S37)*(S40))*(1-S36))</f>
        <v>7.0494372927021889E-2</v>
      </c>
      <c r="V34" s="71"/>
    </row>
    <row r="35" spans="2:22" x14ac:dyDescent="0.3">
      <c r="B35" s="34" t="s">
        <v>97</v>
      </c>
      <c r="C35" s="312">
        <v>0.77955146962689303</v>
      </c>
      <c r="D35" s="312">
        <v>0.77955146962689303</v>
      </c>
      <c r="E35" s="312">
        <v>0.77955146962689303</v>
      </c>
      <c r="F35" s="312">
        <v>0.77955146962689303</v>
      </c>
      <c r="G35" s="312">
        <v>0.77955146962689303</v>
      </c>
      <c r="H35" s="312">
        <v>0.77955146962689303</v>
      </c>
      <c r="I35" s="312">
        <v>0.77955146962689303</v>
      </c>
      <c r="J35" s="312">
        <v>0.77955146962689303</v>
      </c>
      <c r="K35" s="312">
        <v>0.77955146962689303</v>
      </c>
      <c r="L35" s="312">
        <v>0.77955146962689303</v>
      </c>
      <c r="M35" s="312">
        <v>0.77955146962689303</v>
      </c>
      <c r="N35" s="312">
        <v>0.77955146962689303</v>
      </c>
      <c r="O35" s="312">
        <v>0.77955146962689303</v>
      </c>
      <c r="P35" s="312">
        <v>0.77955146962689303</v>
      </c>
      <c r="Q35" s="312">
        <v>0.77955146962689303</v>
      </c>
      <c r="R35" s="312">
        <v>0.77955146962689303</v>
      </c>
      <c r="S35" s="305">
        <f>+R35</f>
        <v>0.77955146962689303</v>
      </c>
    </row>
    <row r="36" spans="2:22" x14ac:dyDescent="0.3">
      <c r="B36" s="34" t="s">
        <v>98</v>
      </c>
      <c r="C36" s="302">
        <f ca="1">+'Balance G.'!C5/'Balance G.'!C39</f>
        <v>0</v>
      </c>
      <c r="D36" s="302">
        <f ca="1">+'Balance G.'!D5/'Balance G.'!D39</f>
        <v>0</v>
      </c>
      <c r="E36" s="302">
        <f ca="1">+'Balance G.'!E5/'Balance G.'!E39</f>
        <v>0</v>
      </c>
      <c r="F36" s="302">
        <f ca="1">+'Balance G.'!F5/'Balance G.'!F39</f>
        <v>0.3430301081953791</v>
      </c>
      <c r="G36" s="302">
        <f ca="1">+'Balance G.'!G5/'Balance G.'!G39</f>
        <v>0.54304585395848537</v>
      </c>
      <c r="H36" s="302">
        <f ca="1">+'Balance G.'!H5/'Balance G.'!H39</f>
        <v>0.65843518401514967</v>
      </c>
      <c r="I36" s="302">
        <f ca="1">+'Balance G.'!I5/'Balance G.'!I39</f>
        <v>0.73223457037857898</v>
      </c>
      <c r="J36" s="302">
        <f ca="1">+'Balance G.'!J5/'Balance G.'!J39</f>
        <v>0.75602405061173616</v>
      </c>
      <c r="K36" s="302">
        <f ca="1">+'Balance G.'!K5/'Balance G.'!K39</f>
        <v>0.79356748351288253</v>
      </c>
      <c r="L36" s="302">
        <f ca="1">+'Balance G.'!L5/'Balance G.'!L39</f>
        <v>0.82274193302834153</v>
      </c>
      <c r="M36" s="302">
        <f ca="1">+'Balance G.'!M5/'Balance G.'!M39</f>
        <v>0.84519266192579778</v>
      </c>
      <c r="N36" s="302">
        <f ca="1">+'Balance G.'!N5/'Balance G.'!N39</f>
        <v>0.8629982063067656</v>
      </c>
      <c r="O36" s="302">
        <f ca="1">+'Balance G.'!O5/'Balance G.'!O39</f>
        <v>0.87640692717777324</v>
      </c>
      <c r="P36" s="302">
        <f ca="1">+'Balance G.'!P5/'Balance G.'!P39</f>
        <v>0.88934141717461412</v>
      </c>
      <c r="Q36" s="302">
        <f ca="1">+'Balance G.'!Q5/'Balance G.'!Q39</f>
        <v>0.89999663278906927</v>
      </c>
      <c r="R36" s="302">
        <f ca="1">+'Balance G.'!R5/'Balance G.'!R39</f>
        <v>0.90957059838427123</v>
      </c>
      <c r="S36" s="306">
        <f ca="1">+R36</f>
        <v>0.90957059838427123</v>
      </c>
    </row>
    <row r="37" spans="2:22" x14ac:dyDescent="0.3">
      <c r="B37" s="34" t="s">
        <v>99</v>
      </c>
      <c r="C37" s="302">
        <f>+C26</f>
        <v>0</v>
      </c>
      <c r="D37" s="302">
        <f t="shared" ref="D37:Q37" si="12">+D26</f>
        <v>0</v>
      </c>
      <c r="E37" s="302">
        <f t="shared" si="12"/>
        <v>0</v>
      </c>
      <c r="F37" s="302">
        <f t="shared" si="12"/>
        <v>0</v>
      </c>
      <c r="G37" s="302">
        <f t="shared" si="12"/>
        <v>0</v>
      </c>
      <c r="H37" s="302">
        <f t="shared" si="12"/>
        <v>0</v>
      </c>
      <c r="I37" s="302">
        <f t="shared" si="12"/>
        <v>0</v>
      </c>
      <c r="J37" s="302">
        <f t="shared" si="12"/>
        <v>0</v>
      </c>
      <c r="K37" s="302">
        <f t="shared" si="12"/>
        <v>0</v>
      </c>
      <c r="L37" s="302">
        <f t="shared" si="12"/>
        <v>0</v>
      </c>
      <c r="M37" s="302">
        <f t="shared" si="12"/>
        <v>0</v>
      </c>
      <c r="N37" s="302">
        <f t="shared" si="12"/>
        <v>0</v>
      </c>
      <c r="O37" s="302">
        <f t="shared" si="12"/>
        <v>0</v>
      </c>
      <c r="P37" s="302">
        <f t="shared" si="12"/>
        <v>0</v>
      </c>
      <c r="Q37" s="302">
        <f t="shared" si="12"/>
        <v>0</v>
      </c>
      <c r="R37" s="302">
        <f>+R26</f>
        <v>0</v>
      </c>
      <c r="S37" s="306">
        <f>+S26</f>
        <v>0</v>
      </c>
    </row>
    <row r="38" spans="2:22" x14ac:dyDescent="0.3">
      <c r="B38" s="34" t="s">
        <v>41</v>
      </c>
      <c r="C38" s="307">
        <f ca="1">+'Balance G.'!C21+'Balance G.'!C25</f>
        <v>30375.300744446915</v>
      </c>
      <c r="D38" s="307">
        <f ca="1">+'Balance G.'!D21+'Balance G.'!D25</f>
        <v>16193.503088394991</v>
      </c>
      <c r="E38" s="307">
        <f ca="1">+'Balance G.'!E21+'Balance G.'!E25</f>
        <v>1217.6531977221475</v>
      </c>
      <c r="F38" s="307">
        <f ca="1">+'Balance G.'!F21+'Balance G.'!F25</f>
        <v>0</v>
      </c>
      <c r="G38" s="307">
        <f ca="1">+'Balance G.'!G21+'Balance G.'!G25</f>
        <v>0</v>
      </c>
      <c r="H38" s="307">
        <f ca="1">+'Balance G.'!H21+'Balance G.'!H25</f>
        <v>0</v>
      </c>
      <c r="I38" s="307">
        <f ca="1">+'Balance G.'!I21+'Balance G.'!I25</f>
        <v>0</v>
      </c>
      <c r="J38" s="307">
        <f ca="1">+'Balance G.'!J21+'Balance G.'!J25</f>
        <v>0</v>
      </c>
      <c r="K38" s="307">
        <f ca="1">+'Balance G.'!K21+'Balance G.'!K25</f>
        <v>0</v>
      </c>
      <c r="L38" s="307">
        <f ca="1">+'Balance G.'!L21+'Balance G.'!L25</f>
        <v>0</v>
      </c>
      <c r="M38" s="307">
        <f ca="1">+'Balance G.'!M21+'Balance G.'!M25</f>
        <v>0</v>
      </c>
      <c r="N38" s="307">
        <f ca="1">+'Balance G.'!N21+'Balance G.'!N25</f>
        <v>0</v>
      </c>
      <c r="O38" s="307">
        <f ca="1">+'Balance G.'!O21+'Balance G.'!O25</f>
        <v>0</v>
      </c>
      <c r="P38" s="307">
        <f ca="1">+'Balance G.'!P21+'Balance G.'!P25</f>
        <v>0</v>
      </c>
      <c r="Q38" s="307">
        <f ca="1">+'Balance G.'!Q21+'Balance G.'!Q25</f>
        <v>0</v>
      </c>
      <c r="R38" s="307">
        <f ca="1">+'Balance G.'!R21+'Balance G.'!R25</f>
        <v>0</v>
      </c>
      <c r="S38" s="308">
        <f ca="1">+R38</f>
        <v>0</v>
      </c>
    </row>
    <row r="39" spans="2:22" x14ac:dyDescent="0.3">
      <c r="B39" s="34" t="s">
        <v>32</v>
      </c>
      <c r="C39" s="309">
        <f ca="1">+'Balance G.'!C36</f>
        <v>14594.41240623802</v>
      </c>
      <c r="D39" s="309">
        <f ca="1">+'Balance G.'!D36</f>
        <v>28426.58471982419</v>
      </c>
      <c r="E39" s="309">
        <f ca="1">+'Balance G.'!E36</f>
        <v>43008.702659812101</v>
      </c>
      <c r="F39" s="309">
        <f ca="1">+'Balance G.'!F36</f>
        <v>73215.927830461267</v>
      </c>
      <c r="G39" s="309">
        <f ca="1">+'Balance G.'!G36</f>
        <v>109315.96128289327</v>
      </c>
      <c r="H39" s="309">
        <f ca="1">+'Balance G.'!H36</f>
        <v>151087.16339060463</v>
      </c>
      <c r="I39" s="309">
        <f ca="1">+'Balance G.'!I36</f>
        <v>198325.02837709375</v>
      </c>
      <c r="J39" s="309">
        <f ca="1">+'Balance G.'!J36</f>
        <v>240655.335753149</v>
      </c>
      <c r="K39" s="309">
        <f ca="1">+'Balance G.'!K36</f>
        <v>284564.8503646173</v>
      </c>
      <c r="L39" s="309">
        <f ca="1">+'Balance G.'!L36</f>
        <v>328888.76304711436</v>
      </c>
      <c r="M39" s="309">
        <f ca="1">+'Balance G.'!M36</f>
        <v>373617.28660648805</v>
      </c>
      <c r="N39" s="309">
        <f ca="1">+'Balance G.'!N36</f>
        <v>418737.14003567246</v>
      </c>
      <c r="O39" s="309">
        <f ca="1">+'Balance G.'!O36</f>
        <v>466199.70143391326</v>
      </c>
      <c r="P39" s="309">
        <f ca="1">+'Balance G.'!P36</f>
        <v>513124.61792635667</v>
      </c>
      <c r="Q39" s="309">
        <f ca="1">+'Balance G.'!Q36</f>
        <v>559547.59524055873</v>
      </c>
      <c r="R39" s="309">
        <f ca="1">+'Balance G.'!R36</f>
        <v>604112.03113899706</v>
      </c>
      <c r="S39" s="308">
        <f ca="1">+R39</f>
        <v>604112.03113899706</v>
      </c>
    </row>
    <row r="40" spans="2:22" x14ac:dyDescent="0.3">
      <c r="B40" s="34" t="s">
        <v>100</v>
      </c>
      <c r="C40" s="301">
        <f ca="1">+C38/C39</f>
        <v>2.0812965879642915</v>
      </c>
      <c r="D40" s="301">
        <f t="shared" ref="D40:R40" ca="1" si="13">+D38/D39</f>
        <v>0.56966052193747818</v>
      </c>
      <c r="E40" s="301">
        <f t="shared" ca="1" si="13"/>
        <v>2.8311786276221225E-2</v>
      </c>
      <c r="F40" s="301">
        <f t="shared" ca="1" si="13"/>
        <v>0</v>
      </c>
      <c r="G40" s="301">
        <f t="shared" ca="1" si="13"/>
        <v>0</v>
      </c>
      <c r="H40" s="301">
        <f t="shared" ca="1" si="13"/>
        <v>0</v>
      </c>
      <c r="I40" s="301">
        <f t="shared" ca="1" si="13"/>
        <v>0</v>
      </c>
      <c r="J40" s="301">
        <f t="shared" ca="1" si="13"/>
        <v>0</v>
      </c>
      <c r="K40" s="301">
        <f t="shared" ca="1" si="13"/>
        <v>0</v>
      </c>
      <c r="L40" s="301">
        <f t="shared" ca="1" si="13"/>
        <v>0</v>
      </c>
      <c r="M40" s="301">
        <f t="shared" ca="1" si="13"/>
        <v>0</v>
      </c>
      <c r="N40" s="301">
        <f t="shared" ca="1" si="13"/>
        <v>0</v>
      </c>
      <c r="O40" s="301">
        <f t="shared" ca="1" si="13"/>
        <v>0</v>
      </c>
      <c r="P40" s="301">
        <f t="shared" ca="1" si="13"/>
        <v>0</v>
      </c>
      <c r="Q40" s="301">
        <f t="shared" ca="1" si="13"/>
        <v>0</v>
      </c>
      <c r="R40" s="301">
        <f t="shared" ca="1" si="13"/>
        <v>0</v>
      </c>
      <c r="S40" s="310">
        <f ca="1">+S38/S39</f>
        <v>0</v>
      </c>
    </row>
    <row r="41" spans="2:22" x14ac:dyDescent="0.3">
      <c r="B41" s="31"/>
      <c r="S41" s="32"/>
    </row>
    <row r="42" spans="2:22" x14ac:dyDescent="0.3">
      <c r="B42" s="33" t="s">
        <v>101</v>
      </c>
      <c r="C42" s="315">
        <f>+WACC!$P$6</f>
        <v>6.4286193645337733E-2</v>
      </c>
      <c r="D42" s="315">
        <f>+C42</f>
        <v>6.4286193645337733E-2</v>
      </c>
      <c r="E42" s="315">
        <f t="shared" ref="E42:R42" si="14">+D42</f>
        <v>6.4286193645337733E-2</v>
      </c>
      <c r="F42" s="315">
        <f t="shared" si="14"/>
        <v>6.4286193645337733E-2</v>
      </c>
      <c r="G42" s="315">
        <f t="shared" si="14"/>
        <v>6.4286193645337733E-2</v>
      </c>
      <c r="H42" s="315">
        <f t="shared" si="14"/>
        <v>6.4286193645337733E-2</v>
      </c>
      <c r="I42" s="315">
        <f t="shared" si="14"/>
        <v>6.4286193645337733E-2</v>
      </c>
      <c r="J42" s="315">
        <f t="shared" si="14"/>
        <v>6.4286193645337733E-2</v>
      </c>
      <c r="K42" s="315">
        <f t="shared" si="14"/>
        <v>6.4286193645337733E-2</v>
      </c>
      <c r="L42" s="315">
        <f t="shared" si="14"/>
        <v>6.4286193645337733E-2</v>
      </c>
      <c r="M42" s="315">
        <f t="shared" si="14"/>
        <v>6.4286193645337733E-2</v>
      </c>
      <c r="N42" s="315">
        <f t="shared" si="14"/>
        <v>6.4286193645337733E-2</v>
      </c>
      <c r="O42" s="315">
        <f t="shared" si="14"/>
        <v>6.4286193645337733E-2</v>
      </c>
      <c r="P42" s="315">
        <f t="shared" si="14"/>
        <v>6.4286193645337733E-2</v>
      </c>
      <c r="Q42" s="315">
        <f t="shared" si="14"/>
        <v>6.4286193645337733E-2</v>
      </c>
      <c r="R42" s="315">
        <f t="shared" si="14"/>
        <v>6.4286193645337733E-2</v>
      </c>
      <c r="S42" s="316">
        <f>+R42</f>
        <v>6.4286193645337733E-2</v>
      </c>
    </row>
    <row r="43" spans="2:22" x14ac:dyDescent="0.3">
      <c r="B43" s="34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4"/>
    </row>
    <row r="44" spans="2:22" x14ac:dyDescent="0.3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7"/>
    </row>
    <row r="47" spans="2:22" x14ac:dyDescent="0.3">
      <c r="B47" s="28" t="s">
        <v>102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0"/>
    </row>
    <row r="48" spans="2:22" x14ac:dyDescent="0.3">
      <c r="B48" s="38">
        <v>44561</v>
      </c>
      <c r="C48" s="40">
        <v>1</v>
      </c>
      <c r="D48" s="41">
        <f t="shared" ref="D48:S48" ca="1" si="15">+C48*(1+D22)</f>
        <v>1.0817837760524178</v>
      </c>
      <c r="E48" s="41">
        <f t="shared" ca="1" si="15"/>
        <v>1.1541218849962347</v>
      </c>
      <c r="F48" s="41">
        <f t="shared" ca="1" si="15"/>
        <v>1.2100439295057657</v>
      </c>
      <c r="G48" s="41">
        <f t="shared" ca="1" si="15"/>
        <v>1.2565465524080464</v>
      </c>
      <c r="H48" s="41">
        <f t="shared" ca="1" si="15"/>
        <v>1.2975701056380919</v>
      </c>
      <c r="I48" s="41">
        <f t="shared" ca="1" si="15"/>
        <v>1.3351340415075403</v>
      </c>
      <c r="J48" s="41">
        <f t="shared" ca="1" si="15"/>
        <v>1.3721936917847077</v>
      </c>
      <c r="K48" s="41">
        <f t="shared" ca="1" si="15"/>
        <v>1.4077002796141851</v>
      </c>
      <c r="L48" s="41">
        <f t="shared" ca="1" si="15"/>
        <v>1.442067486064698</v>
      </c>
      <c r="M48" s="41">
        <f t="shared" ca="1" si="15"/>
        <v>1.47565124706004</v>
      </c>
      <c r="N48" s="41">
        <f t="shared" ca="1" si="15"/>
        <v>1.5112752608915947</v>
      </c>
      <c r="O48" s="41">
        <f t="shared" ca="1" si="15"/>
        <v>1.5493807886435687</v>
      </c>
      <c r="P48" s="41">
        <f t="shared" ca="1" si="15"/>
        <v>1.5901463291946925</v>
      </c>
      <c r="Q48" s="41">
        <f t="shared" ca="1" si="15"/>
        <v>1.6339100016948254</v>
      </c>
      <c r="R48" s="41">
        <f t="shared" ca="1" si="15"/>
        <v>1.6809452144026846</v>
      </c>
      <c r="S48" s="42">
        <f t="shared" ca="1" si="15"/>
        <v>1.7322675225608171</v>
      </c>
    </row>
    <row r="49" spans="2:22" x14ac:dyDescent="0.3">
      <c r="B49" s="39">
        <v>44926</v>
      </c>
      <c r="C49" s="43"/>
      <c r="D49" s="44">
        <v>1</v>
      </c>
      <c r="E49" s="43">
        <f t="shared" ref="E49:S49" ca="1" si="16">+D49*(1+E22)</f>
        <v>1.0668692862152074</v>
      </c>
      <c r="F49" s="43">
        <f t="shared" ca="1" si="16"/>
        <v>1.1185635764675519</v>
      </c>
      <c r="G49" s="43">
        <f t="shared" ca="1" si="16"/>
        <v>1.1615505614193649</v>
      </c>
      <c r="H49" s="43">
        <f t="shared" ca="1" si="16"/>
        <v>1.1994726990389051</v>
      </c>
      <c r="I49" s="43">
        <f t="shared" ca="1" si="16"/>
        <v>1.2341967693207911</v>
      </c>
      <c r="J49" s="43">
        <f t="shared" ca="1" si="16"/>
        <v>1.2684546784312452</v>
      </c>
      <c r="K49" s="43">
        <f t="shared" ca="1" si="16"/>
        <v>1.3012769379395601</v>
      </c>
      <c r="L49" s="43">
        <f t="shared" ca="1" si="16"/>
        <v>1.3330459542728645</v>
      </c>
      <c r="M49" s="43">
        <f t="shared" ca="1" si="16"/>
        <v>1.3640907542955585</v>
      </c>
      <c r="N49" s="43">
        <f t="shared" ca="1" si="16"/>
        <v>1.3970215623000486</v>
      </c>
      <c r="O49" s="43">
        <f t="shared" ca="1" si="16"/>
        <v>1.432246279656253</v>
      </c>
      <c r="P49" s="43">
        <f t="shared" ca="1" si="16"/>
        <v>1.46992991057544</v>
      </c>
      <c r="Q49" s="43">
        <f t="shared" ca="1" si="16"/>
        <v>1.5103850121113798</v>
      </c>
      <c r="R49" s="43">
        <f t="shared" ca="1" si="16"/>
        <v>1.5538643226252584</v>
      </c>
      <c r="S49" s="45">
        <f t="shared" ca="1" si="16"/>
        <v>1.6013066205171853</v>
      </c>
    </row>
    <row r="52" spans="2:22" x14ac:dyDescent="0.3">
      <c r="B52" s="28" t="s">
        <v>103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30"/>
    </row>
    <row r="53" spans="2:22" x14ac:dyDescent="0.3">
      <c r="B53" s="38">
        <v>44561</v>
      </c>
      <c r="C53" s="345">
        <f t="shared" ref="C53:S53" ca="1" si="17">+C17/C48</f>
        <v>-50892.613150684934</v>
      </c>
      <c r="D53" s="345">
        <f t="shared" ca="1" si="17"/>
        <v>-5407.4666185886663</v>
      </c>
      <c r="E53" s="345">
        <f t="shared" ca="1" si="17"/>
        <v>-5138.440685001322</v>
      </c>
      <c r="F53" s="345">
        <f t="shared" ca="1" si="17"/>
        <v>4157.7257763045855</v>
      </c>
      <c r="G53" s="345">
        <f t="shared" ca="1" si="17"/>
        <v>9703.2532983685705</v>
      </c>
      <c r="H53" s="345">
        <f t="shared" ca="1" si="17"/>
        <v>13286.427189821115</v>
      </c>
      <c r="I53" s="345">
        <f t="shared" ca="1" si="17"/>
        <v>16450.541901645567</v>
      </c>
      <c r="J53" s="345">
        <f t="shared" ca="1" si="17"/>
        <v>24431.002434611244</v>
      </c>
      <c r="K53" s="345">
        <f t="shared" ca="1" si="17"/>
        <v>28314.04669503156</v>
      </c>
      <c r="L53" s="345">
        <f t="shared" ca="1" si="17"/>
        <v>27632.410695651921</v>
      </c>
      <c r="M53" s="345">
        <f t="shared" ca="1" si="17"/>
        <v>26672.683420908757</v>
      </c>
      <c r="N53" s="345">
        <f t="shared" ca="1" si="17"/>
        <v>25706.410621880164</v>
      </c>
      <c r="O53" s="345">
        <f t="shared" ca="1" si="17"/>
        <v>25521.593404789688</v>
      </c>
      <c r="P53" s="345">
        <f t="shared" ca="1" si="17"/>
        <v>24611.22213708749</v>
      </c>
      <c r="Q53" s="345">
        <f t="shared" ca="1" si="17"/>
        <v>23054.318831037748</v>
      </c>
      <c r="R53" s="345">
        <f t="shared" ca="1" si="17"/>
        <v>21045.27676124348</v>
      </c>
      <c r="S53" s="346">
        <f t="shared" ca="1" si="17"/>
        <v>19373.53425471306</v>
      </c>
    </row>
    <row r="54" spans="2:22" x14ac:dyDescent="0.3">
      <c r="B54" s="39">
        <v>44926</v>
      </c>
      <c r="C54" s="347"/>
      <c r="D54" s="347">
        <f t="shared" ref="D54:S54" ca="1" si="18">+D17/D49</f>
        <v>-5849.7096575342466</v>
      </c>
      <c r="E54" s="347">
        <f t="shared" ca="1" si="18"/>
        <v>-5558.6817672421021</v>
      </c>
      <c r="F54" s="347">
        <f t="shared" ca="1" si="18"/>
        <v>4497.7602900812444</v>
      </c>
      <c r="G54" s="347">
        <f t="shared" ca="1" si="18"/>
        <v>10496.82199310223</v>
      </c>
      <c r="H54" s="347">
        <f t="shared" ca="1" si="18"/>
        <v>14373.041375650198</v>
      </c>
      <c r="I54" s="347">
        <f t="shared" ca="1" si="18"/>
        <v>17795.929336470665</v>
      </c>
      <c r="J54" s="347">
        <f t="shared" ca="1" si="18"/>
        <v>26429.062066459563</v>
      </c>
      <c r="K54" s="347">
        <f t="shared" ca="1" si="18"/>
        <v>30629.676349075722</v>
      </c>
      <c r="L54" s="347">
        <f t="shared" ca="1" si="18"/>
        <v>29892.293583773549</v>
      </c>
      <c r="M54" s="347">
        <f t="shared" ca="1" si="18"/>
        <v>28854.076188521394</v>
      </c>
      <c r="N54" s="347">
        <f t="shared" ca="1" si="18"/>
        <v>27808.777951291508</v>
      </c>
      <c r="O54" s="347">
        <f t="shared" ca="1" si="18"/>
        <v>27608.845684307875</v>
      </c>
      <c r="P54" s="347">
        <f t="shared" ca="1" si="18"/>
        <v>26624.020816723365</v>
      </c>
      <c r="Q54" s="347">
        <f t="shared" ca="1" si="18"/>
        <v>24939.788079356382</v>
      </c>
      <c r="R54" s="347">
        <f t="shared" ca="1" si="18"/>
        <v>22766.438962846172</v>
      </c>
      <c r="S54" s="348">
        <f t="shared" ca="1" si="18"/>
        <v>20957.97504154436</v>
      </c>
    </row>
    <row r="55" spans="2:22" customFormat="1" ht="14.5" x14ac:dyDescent="0.35">
      <c r="B55" s="337" t="s">
        <v>104</v>
      </c>
      <c r="C55" s="364">
        <f ca="1">+C53</f>
        <v>-50892.613150684934</v>
      </c>
      <c r="D55" s="364">
        <f ca="1">+C55+D53</f>
        <v>-56300.079769273601</v>
      </c>
      <c r="E55" s="364">
        <f t="shared" ref="E55:S55" ca="1" si="19">+D55+E53</f>
        <v>-61438.520454274927</v>
      </c>
      <c r="F55" s="364">
        <f t="shared" ca="1" si="19"/>
        <v>-57280.794677970342</v>
      </c>
      <c r="G55" s="364">
        <f t="shared" ca="1" si="19"/>
        <v>-47577.541379601767</v>
      </c>
      <c r="H55" s="364">
        <f t="shared" ca="1" si="19"/>
        <v>-34291.114189780652</v>
      </c>
      <c r="I55" s="364">
        <f t="shared" ca="1" si="19"/>
        <v>-17840.572288135085</v>
      </c>
      <c r="J55" s="364">
        <f t="shared" ca="1" si="19"/>
        <v>6590.4301464761593</v>
      </c>
      <c r="K55" s="364">
        <f t="shared" ca="1" si="19"/>
        <v>34904.47684150772</v>
      </c>
      <c r="L55" s="364">
        <f t="shared" ca="1" si="19"/>
        <v>62536.887537159637</v>
      </c>
      <c r="M55" s="364">
        <f t="shared" ca="1" si="19"/>
        <v>89209.570958068391</v>
      </c>
      <c r="N55" s="364">
        <f t="shared" ca="1" si="19"/>
        <v>114915.98157994855</v>
      </c>
      <c r="O55" s="364">
        <f t="shared" ca="1" si="19"/>
        <v>140437.57498473825</v>
      </c>
      <c r="P55" s="364">
        <f t="shared" ca="1" si="19"/>
        <v>165048.79712182574</v>
      </c>
      <c r="Q55" s="364">
        <f t="shared" ca="1" si="19"/>
        <v>188103.1159528635</v>
      </c>
      <c r="R55" s="364">
        <f t="shared" ca="1" si="19"/>
        <v>209148.39271410697</v>
      </c>
      <c r="S55" s="365">
        <f t="shared" ca="1" si="19"/>
        <v>228521.92696882004</v>
      </c>
    </row>
    <row r="56" spans="2:22" x14ac:dyDescent="0.3">
      <c r="V56" s="71"/>
    </row>
    <row r="57" spans="2:22" x14ac:dyDescent="0.3">
      <c r="B57" s="28" t="s">
        <v>105</v>
      </c>
      <c r="C57" s="193">
        <f ca="1">+'Balance G.'!C21+'Balance G.'!C25+'Balance G.'!C36-'Balance G.'!C5</f>
        <v>44969.713150684933</v>
      </c>
      <c r="D57" s="193">
        <f ca="1">+'Balance G.'!D21+'Balance G.'!D25+'Balance G.'!D36-'Balance G.'!D5</f>
        <v>44620.087808219178</v>
      </c>
      <c r="E57" s="193">
        <f ca="1">+'Balance G.'!E21+'Balance G.'!E25+'Balance G.'!E36-'Balance G.'!E5</f>
        <v>44226.355857534247</v>
      </c>
      <c r="F57" s="193">
        <f ca="1">+'Balance G.'!F21+'Balance G.'!F25+'Balance G.'!F36-'Balance G.'!F5</f>
        <v>47755.908162699016</v>
      </c>
      <c r="G57" s="193">
        <f ca="1">+'Balance G.'!G21+'Balance G.'!G25+'Balance G.'!G36-'Balance G.'!G5</f>
        <v>49380.829189743439</v>
      </c>
      <c r="H57" s="193">
        <f ca="1">+'Balance G.'!H21+'Balance G.'!H25+'Balance G.'!H36-'Balance G.'!H5</f>
        <v>50881.98604221901</v>
      </c>
      <c r="I57" s="193">
        <f ca="1">+'Balance G.'!I21+'Balance G.'!I25+'Balance G.'!I36-'Balance G.'!I5</f>
        <v>52264.948534089635</v>
      </c>
      <c r="J57" s="193">
        <f ca="1">+'Balance G.'!J21+'Balance G.'!J25+'Balance G.'!J36-'Balance G.'!J5</f>
        <v>57781.852858013095</v>
      </c>
      <c r="K57" s="193">
        <f ca="1">+'Balance G.'!K21+'Balance G.'!K25+'Balance G.'!K36-'Balance G.'!K5</f>
        <v>57736.65928007965</v>
      </c>
      <c r="L57" s="193">
        <f ca="1">+'Balance G.'!L21+'Balance G.'!L25+'Balance G.'!L36-'Balance G.'!L5</f>
        <v>57227.880197448656</v>
      </c>
      <c r="M57" s="193">
        <f ca="1">+'Balance G.'!M21+'Balance G.'!M25+'Balance G.'!M36-'Balance G.'!M5</f>
        <v>56711.155060362769</v>
      </c>
      <c r="N57" s="193">
        <f ca="1">+'Balance G.'!N21+'Balance G.'!N25+'Balance G.'!N36-'Balance G.'!N5</f>
        <v>56186.983186425059</v>
      </c>
      <c r="O57" s="193">
        <f ca="1">+'Balance G.'!O21+'Balance G.'!O25+'Balance G.'!O36-'Balance G.'!O5</f>
        <v>56383.211600889626</v>
      </c>
      <c r="P57" s="193">
        <f ca="1">+'Balance G.'!P21+'Balance G.'!P25+'Balance G.'!P36-'Balance G.'!P5</f>
        <v>55498.255027731706</v>
      </c>
      <c r="Q57" s="193">
        <f ca="1">+'Balance G.'!Q21+'Balance G.'!Q25+'Balance G.'!Q36-'Balance G.'!Q5</f>
        <v>54627.08145479596</v>
      </c>
      <c r="R57" s="193">
        <f ca="1">+'Balance G.'!R21+'Balance G.'!R25+'Balance G.'!R36-'Balance G.'!R5</f>
        <v>53257.812774135731</v>
      </c>
      <c r="S57" s="324">
        <f ca="1">+R57-S15-S16-S12</f>
        <v>54044.424050178175</v>
      </c>
    </row>
    <row r="58" spans="2:22" x14ac:dyDescent="0.3">
      <c r="B58" s="50" t="s">
        <v>106</v>
      </c>
      <c r="C58" s="325">
        <f t="shared" ref="C58:R58" ca="1" si="20">+C11/C57</f>
        <v>-0.13170864533099183</v>
      </c>
      <c r="D58" s="325">
        <f t="shared" ca="1" si="20"/>
        <v>-0.13893596594083935</v>
      </c>
      <c r="E58" s="325">
        <f t="shared" ca="1" si="20"/>
        <v>-0.14299434528071447</v>
      </c>
      <c r="F58" s="325">
        <f t="shared" ca="1" si="20"/>
        <v>0.17925704840889706</v>
      </c>
      <c r="G58" s="325">
        <f t="shared" ca="1" si="20"/>
        <v>0.2798152791877665</v>
      </c>
      <c r="H58" s="325">
        <f t="shared" ca="1" si="20"/>
        <v>0.36832735988674192</v>
      </c>
      <c r="I58" s="325">
        <f t="shared" ca="1" si="20"/>
        <v>0.4466978661765264</v>
      </c>
      <c r="J58" s="325">
        <f t="shared" ca="1" si="20"/>
        <v>0.67566147185707148</v>
      </c>
      <c r="K58" s="325">
        <f t="shared" ca="1" si="20"/>
        <v>0.6895531949387953</v>
      </c>
      <c r="L58" s="325">
        <f t="shared" ca="1" si="20"/>
        <v>0.68741008416573968</v>
      </c>
      <c r="M58" s="325">
        <f t="shared" ca="1" si="20"/>
        <v>0.68492439228352542</v>
      </c>
      <c r="N58" s="325">
        <f t="shared" ca="1" si="20"/>
        <v>0.68210265744415677</v>
      </c>
      <c r="O58" s="325">
        <f t="shared" ca="1" si="20"/>
        <v>0.70480013115803208</v>
      </c>
      <c r="P58" s="325">
        <f t="shared" ca="1" si="20"/>
        <v>0.68921965106855643</v>
      </c>
      <c r="Q58" s="325">
        <f t="shared" ca="1" si="20"/>
        <v>0.67361293276867018</v>
      </c>
      <c r="R58" s="325">
        <f t="shared" ca="1" si="20"/>
        <v>0.6385295753911836</v>
      </c>
      <c r="S58" s="327">
        <f ca="1">+AVERAGE(C58:R58)</f>
        <v>0.43664204301144482</v>
      </c>
      <c r="V58" s="71"/>
    </row>
    <row r="60" spans="2:22" x14ac:dyDescent="0.3">
      <c r="R60" s="52" t="s">
        <v>107</v>
      </c>
      <c r="S60" s="333">
        <f ca="1">+S17/(S22-T1)</f>
        <v>1634543.4797448241</v>
      </c>
    </row>
    <row r="61" spans="2:22" x14ac:dyDescent="0.3">
      <c r="R61" s="52" t="s">
        <v>108</v>
      </c>
      <c r="S61" s="334">
        <f ca="1">+S60/(S14*S3)</f>
        <v>47.344035380871247</v>
      </c>
    </row>
    <row r="62" spans="2:22" ht="14.5" x14ac:dyDescent="0.35">
      <c r="D62"/>
    </row>
    <row r="63" spans="2:22" x14ac:dyDescent="0.3">
      <c r="B63" s="5" t="s">
        <v>109</v>
      </c>
      <c r="C63" s="336" t="s">
        <v>110</v>
      </c>
      <c r="D63" s="336" t="s">
        <v>111</v>
      </c>
    </row>
    <row r="64" spans="2:22" x14ac:dyDescent="0.3">
      <c r="B64" s="4" t="s">
        <v>112</v>
      </c>
      <c r="C64" s="253">
        <f ca="1">+SUM(C53:R53)</f>
        <v>209148.39271410697</v>
      </c>
      <c r="D64" s="253">
        <f ca="1">+SUM(C53:M53)</f>
        <v>89209.570958068391</v>
      </c>
    </row>
    <row r="65" spans="2:19" ht="13.5" thickBot="1" x14ac:dyDescent="0.35">
      <c r="B65" s="26" t="s">
        <v>113</v>
      </c>
      <c r="C65" s="255">
        <f ca="1">+S53/(S22-C71)</f>
        <v>943586.05611243751</v>
      </c>
      <c r="D65" s="255">
        <f ca="1">+(C65*10)/15</f>
        <v>629057.37074162497</v>
      </c>
    </row>
    <row r="66" spans="2:19" ht="14.25" customHeight="1" thickTop="1" x14ac:dyDescent="0.3">
      <c r="B66" s="338" t="s">
        <v>114</v>
      </c>
      <c r="C66" s="339">
        <f ca="1">SUM(C64:C65)</f>
        <v>1152734.4488265445</v>
      </c>
      <c r="D66" s="339">
        <f ca="1">SUM(D64:D65)</f>
        <v>718266.94169969333</v>
      </c>
    </row>
    <row r="67" spans="2:19" ht="14.5" x14ac:dyDescent="0.35">
      <c r="C67" s="335"/>
      <c r="D67" s="335"/>
      <c r="E67"/>
    </row>
    <row r="68" spans="2:19" ht="14.5" x14ac:dyDescent="0.35">
      <c r="B68" s="337" t="s">
        <v>115</v>
      </c>
      <c r="C68" s="371">
        <f ca="1">+IRR(C53:S53)</f>
        <v>0.18653346735301346</v>
      </c>
      <c r="D68" s="342">
        <f ca="1">+IRR(C53:M53)</f>
        <v>0.13640254311913891</v>
      </c>
      <c r="E68"/>
    </row>
    <row r="69" spans="2:19" ht="14.5" x14ac:dyDescent="0.35">
      <c r="B69" s="337" t="s">
        <v>62</v>
      </c>
      <c r="C69" s="424">
        <f ca="1">13+(((Presentación!T3-SUM(DCF!C55:O55))/DCF!P55))</f>
        <v>13.163747414904659</v>
      </c>
      <c r="D69" s="366" t="s">
        <v>116</v>
      </c>
      <c r="E69"/>
    </row>
    <row r="70" spans="2:19" ht="14.5" x14ac:dyDescent="0.35">
      <c r="B70"/>
      <c r="C70"/>
      <c r="D70"/>
      <c r="E70"/>
    </row>
    <row r="71" spans="2:19" x14ac:dyDescent="0.3">
      <c r="B71" s="55" t="s">
        <v>117</v>
      </c>
      <c r="C71" s="320">
        <f>+T1</f>
        <v>0.01</v>
      </c>
      <c r="D71" s="320">
        <f>+T1</f>
        <v>0.01</v>
      </c>
    </row>
    <row r="73" spans="2:19" x14ac:dyDescent="0.3">
      <c r="B73" s="8" t="s">
        <v>118</v>
      </c>
      <c r="C73" s="251">
        <f ca="1">+'Balance G.'!C16</f>
        <v>45823.578904109592</v>
      </c>
      <c r="D73" s="251">
        <f ca="1">+'Balance G.'!D16</f>
        <v>45516.646849315068</v>
      </c>
      <c r="E73" s="251">
        <f ca="1">+'Balance G.'!E16</f>
        <v>45158.777260273971</v>
      </c>
      <c r="F73" s="251">
        <f ca="1">+'Balance G.'!F16</f>
        <v>74220.947548024065</v>
      </c>
      <c r="G73" s="251">
        <f ca="1">+'Balance G.'!G16</f>
        <v>110368.45536386647</v>
      </c>
      <c r="H73" s="251">
        <f ca="1">+'Balance G.'!H16</f>
        <v>152186.85116025037</v>
      </c>
      <c r="I73" s="251">
        <f ca="1">+'Balance G.'!I16</f>
        <v>199471.70722557983</v>
      </c>
      <c r="J73" s="251">
        <f ca="1">+'Balance G.'!J16</f>
        <v>241888.44620374712</v>
      </c>
      <c r="K73" s="251">
        <f ca="1">+'Balance G.'!K16</f>
        <v>285833.52493279852</v>
      </c>
      <c r="L73" s="251">
        <f ca="1">+'Balance G.'!L16</f>
        <v>330189.66451574757</v>
      </c>
      <c r="M73" s="251">
        <f ca="1">+'Balance G.'!M16</f>
        <v>374951.35230356205</v>
      </c>
      <c r="N73" s="251">
        <f ca="1">+'Balance G.'!N16</f>
        <v>420105.34228199028</v>
      </c>
      <c r="O73" s="251">
        <f ca="1">+'Balance G.'!O16</f>
        <v>467609.82498475292</v>
      </c>
      <c r="P73" s="251">
        <f ca="1">+'Balance G.'!P16</f>
        <v>514567.69476954907</v>
      </c>
      <c r="Q73" s="251">
        <f ca="1">+'Balance G.'!Q16</f>
        <v>561024.89208323532</v>
      </c>
      <c r="R73" s="251">
        <f ca="1">+'Balance G.'!R16</f>
        <v>605620.07978641696</v>
      </c>
      <c r="S73" s="158"/>
    </row>
    <row r="74" spans="2:19" x14ac:dyDescent="0.3">
      <c r="B74" s="8" t="s">
        <v>119</v>
      </c>
      <c r="C74" s="251">
        <f ca="1">+'Balance G.'!C28</f>
        <v>31229.166497871571</v>
      </c>
      <c r="D74" s="251">
        <f ca="1">+'Balance G.'!D28</f>
        <v>17090.062129490881</v>
      </c>
      <c r="E74" s="251">
        <f ca="1">+'Balance G.'!E28</f>
        <v>2150.0746004618736</v>
      </c>
      <c r="F74" s="251">
        <f ca="1">+'Balance G.'!F28</f>
        <v>1005.0197175627962</v>
      </c>
      <c r="G74" s="251">
        <f ca="1">+'Balance G.'!G28</f>
        <v>1052.4940809731906</v>
      </c>
      <c r="H74" s="251">
        <f ca="1">+'Balance G.'!H28</f>
        <v>1099.6877696457088</v>
      </c>
      <c r="I74" s="251">
        <f ca="1">+'Balance G.'!I28</f>
        <v>1146.6788484860497</v>
      </c>
      <c r="J74" s="251">
        <f ca="1">+'Balance G.'!J28</f>
        <v>1233.110450598092</v>
      </c>
      <c r="K74" s="251">
        <f ca="1">+'Balance G.'!K28</f>
        <v>1268.6745681811851</v>
      </c>
      <c r="L74" s="251">
        <f ca="1">+'Balance G.'!L28</f>
        <v>1300.901468633142</v>
      </c>
      <c r="M74" s="251">
        <f ca="1">+'Balance G.'!M28</f>
        <v>1334.0656970740365</v>
      </c>
      <c r="N74" s="251">
        <f ca="1">+'Balance G.'!N28</f>
        <v>1368.2022463177925</v>
      </c>
      <c r="O74" s="251">
        <f ca="1">+'Balance G.'!O28</f>
        <v>1410.1235508396724</v>
      </c>
      <c r="P74" s="251">
        <f ca="1">+'Balance G.'!P28</f>
        <v>1443.0768431923359</v>
      </c>
      <c r="Q74" s="251">
        <f ca="1">+'Balance G.'!Q28</f>
        <v>1477.2968426766054</v>
      </c>
      <c r="R74" s="251">
        <f ca="1">+'Balance G.'!R28</f>
        <v>1508.0486474199088</v>
      </c>
      <c r="S74" s="158"/>
    </row>
    <row r="75" spans="2:19" ht="13.5" thickBot="1" x14ac:dyDescent="0.35">
      <c r="B75" s="25" t="s">
        <v>19</v>
      </c>
      <c r="C75" s="340">
        <f ca="1">+PyG!C21</f>
        <v>-6834.1590223334078</v>
      </c>
      <c r="D75" s="340">
        <f ca="1">+PyG!D21</f>
        <v>-7596.3991149852573</v>
      </c>
      <c r="E75" s="340">
        <f ca="1">+PyG!E21</f>
        <v>-6846.4534885835155</v>
      </c>
      <c r="F75" s="340">
        <f ca="1">+PyG!F21</f>
        <v>8778.6537420777368</v>
      </c>
      <c r="G75" s="340">
        <f ca="1">+PyG!G21</f>
        <v>14671.462023860589</v>
      </c>
      <c r="H75" s="340">
        <f ca="1">+PyG!H21</f>
        <v>20342.630679139933</v>
      </c>
      <c r="I75" s="340">
        <f ca="1">+PyG!I21</f>
        <v>25809.29355791771</v>
      </c>
      <c r="J75" s="340">
        <f ca="1">+PyG!J21</f>
        <v>42330.307376055258</v>
      </c>
      <c r="K75" s="340">
        <f ca="1">+PyG!K21</f>
        <v>43909.514611468308</v>
      </c>
      <c r="L75" s="340">
        <f ca="1">+PyG!L21</f>
        <v>44323.912682497088</v>
      </c>
      <c r="M75" s="340">
        <f ca="1">+PyG!M21</f>
        <v>44728.523559373658</v>
      </c>
      <c r="N75" s="340">
        <f ca="1">+PyG!N21</f>
        <v>45119.853429184412</v>
      </c>
      <c r="O75" s="340">
        <f ca="1">+PyG!O21</f>
        <v>47462.561398240796</v>
      </c>
      <c r="P75" s="340">
        <f ca="1">+PyG!P21</f>
        <v>46924.916492443488</v>
      </c>
      <c r="Q75" s="340">
        <f ca="1">+PyG!Q21</f>
        <v>46422.97731420202</v>
      </c>
      <c r="R75" s="340">
        <f ca="1">+PyG!R21</f>
        <v>44564.435898438285</v>
      </c>
    </row>
    <row r="76" spans="2:19" ht="13.5" thickTop="1" x14ac:dyDescent="0.3">
      <c r="B76" s="8" t="s">
        <v>120</v>
      </c>
      <c r="C76" s="253">
        <f ca="1">+C73-C74+C75</f>
        <v>7760.2533839046137</v>
      </c>
      <c r="D76" s="253">
        <f t="shared" ref="D76:R76" ca="1" si="21">+D73-D74+D75</f>
        <v>20830.185604838931</v>
      </c>
      <c r="E76" s="253">
        <f t="shared" ca="1" si="21"/>
        <v>36162.249171228585</v>
      </c>
      <c r="F76" s="253">
        <f t="shared" ca="1" si="21"/>
        <v>81994.581572538998</v>
      </c>
      <c r="G76" s="253">
        <f t="shared" ca="1" si="21"/>
        <v>123987.42330675386</v>
      </c>
      <c r="H76" s="253">
        <f t="shared" ca="1" si="21"/>
        <v>171429.79406974459</v>
      </c>
      <c r="I76" s="253">
        <f t="shared" ca="1" si="21"/>
        <v>224134.32193501148</v>
      </c>
      <c r="J76" s="253">
        <f t="shared" ca="1" si="21"/>
        <v>282985.64312920428</v>
      </c>
      <c r="K76" s="253">
        <f t="shared" ca="1" si="21"/>
        <v>328474.36497608566</v>
      </c>
      <c r="L76" s="253">
        <f t="shared" ca="1" si="21"/>
        <v>373212.67572961154</v>
      </c>
      <c r="M76" s="253">
        <f t="shared" ca="1" si="21"/>
        <v>418345.81016586162</v>
      </c>
      <c r="N76" s="253">
        <f t="shared" ca="1" si="21"/>
        <v>463856.99346485687</v>
      </c>
      <c r="O76" s="253">
        <f t="shared" ca="1" si="21"/>
        <v>513662.26283215405</v>
      </c>
      <c r="P76" s="253">
        <f t="shared" ca="1" si="21"/>
        <v>560049.53441880026</v>
      </c>
      <c r="Q76" s="253">
        <f t="shared" ca="1" si="21"/>
        <v>605970.57255476073</v>
      </c>
      <c r="R76" s="253">
        <f t="shared" ca="1" si="21"/>
        <v>648676.46703743539</v>
      </c>
    </row>
    <row r="79" spans="2:19" x14ac:dyDescent="0.3">
      <c r="B79" s="53" t="s">
        <v>121</v>
      </c>
      <c r="C79" s="54">
        <f ca="1">+C76*1000000/C80</f>
        <v>776.02533839046134</v>
      </c>
      <c r="D79" s="54">
        <f t="shared" ref="D79:Q79" ca="1" si="22">+D76*1000000/D80</f>
        <v>2083.018560483893</v>
      </c>
      <c r="E79" s="54">
        <f t="shared" ca="1" si="22"/>
        <v>3616.2249171228586</v>
      </c>
      <c r="F79" s="54">
        <f t="shared" ca="1" si="22"/>
        <v>8199.4581572539009</v>
      </c>
      <c r="G79" s="54">
        <f t="shared" ca="1" si="22"/>
        <v>12398.742330675386</v>
      </c>
      <c r="H79" s="54">
        <f t="shared" ca="1" si="22"/>
        <v>17142.97940697446</v>
      </c>
      <c r="I79" s="54">
        <f t="shared" ca="1" si="22"/>
        <v>22413.432193501147</v>
      </c>
      <c r="J79" s="54">
        <f t="shared" ca="1" si="22"/>
        <v>28298.564312920429</v>
      </c>
      <c r="K79" s="54">
        <f t="shared" ca="1" si="22"/>
        <v>32847.436497608571</v>
      </c>
      <c r="L79" s="54">
        <f t="shared" ca="1" si="22"/>
        <v>37321.267572961151</v>
      </c>
      <c r="M79" s="54">
        <f t="shared" ca="1" si="22"/>
        <v>41834.581016586162</v>
      </c>
      <c r="N79" s="54">
        <f t="shared" ca="1" si="22"/>
        <v>46385.699346485686</v>
      </c>
      <c r="O79" s="54">
        <f t="shared" ca="1" si="22"/>
        <v>51366.226283215408</v>
      </c>
      <c r="P79" s="54">
        <f t="shared" ca="1" si="22"/>
        <v>56004.953441880032</v>
      </c>
      <c r="Q79" s="54">
        <f t="shared" ca="1" si="22"/>
        <v>60597.057255476073</v>
      </c>
      <c r="R79" s="54">
        <f ca="1">+R76*1000000/R80</f>
        <v>64867.646703743543</v>
      </c>
    </row>
    <row r="80" spans="2:19" x14ac:dyDescent="0.3">
      <c r="B80" s="8" t="s">
        <v>122</v>
      </c>
      <c r="C80" s="71">
        <v>10000000</v>
      </c>
      <c r="D80" s="72">
        <f>+C80</f>
        <v>10000000</v>
      </c>
      <c r="E80" s="72">
        <f t="shared" ref="E80:R80" si="23">+D80</f>
        <v>10000000</v>
      </c>
      <c r="F80" s="72">
        <f t="shared" si="23"/>
        <v>10000000</v>
      </c>
      <c r="G80" s="72">
        <f t="shared" si="23"/>
        <v>10000000</v>
      </c>
      <c r="H80" s="72">
        <f t="shared" si="23"/>
        <v>10000000</v>
      </c>
      <c r="I80" s="72">
        <f t="shared" si="23"/>
        <v>10000000</v>
      </c>
      <c r="J80" s="72">
        <f t="shared" si="23"/>
        <v>10000000</v>
      </c>
      <c r="K80" s="72">
        <f t="shared" si="23"/>
        <v>10000000</v>
      </c>
      <c r="L80" s="72">
        <f t="shared" si="23"/>
        <v>10000000</v>
      </c>
      <c r="M80" s="72">
        <f t="shared" si="23"/>
        <v>10000000</v>
      </c>
      <c r="N80" s="72">
        <f t="shared" si="23"/>
        <v>10000000</v>
      </c>
      <c r="O80" s="72">
        <f t="shared" si="23"/>
        <v>10000000</v>
      </c>
      <c r="P80" s="72">
        <f t="shared" si="23"/>
        <v>10000000</v>
      </c>
      <c r="Q80" s="72">
        <f t="shared" si="23"/>
        <v>10000000</v>
      </c>
      <c r="R80" s="72">
        <f t="shared" si="23"/>
        <v>10000000</v>
      </c>
    </row>
    <row r="81" spans="2:18" x14ac:dyDescent="0.3">
      <c r="C81" s="72"/>
    </row>
    <row r="82" spans="2:18" x14ac:dyDescent="0.3">
      <c r="B82" s="55" t="s">
        <v>123</v>
      </c>
      <c r="C82" s="55"/>
      <c r="D82" s="341">
        <f ca="1">+D79/C79-1</f>
        <v>1.6842146221723122</v>
      </c>
      <c r="E82" s="341">
        <f t="shared" ref="E82:R82" ca="1" si="24">+E79/D79-1</f>
        <v>0.73605026173304777</v>
      </c>
      <c r="F82" s="341">
        <f t="shared" ca="1" si="24"/>
        <v>1.2674082351541216</v>
      </c>
      <c r="G82" s="341">
        <f t="shared" ca="1" si="24"/>
        <v>0.51214166752061052</v>
      </c>
      <c r="H82" s="341">
        <f t="shared" ca="1" si="24"/>
        <v>0.38263857331412465</v>
      </c>
      <c r="I82" s="341">
        <f t="shared" ca="1" si="24"/>
        <v>0.30744088652305401</v>
      </c>
      <c r="J82" s="341">
        <f t="shared" ca="1" si="24"/>
        <v>0.26257166098486673</v>
      </c>
      <c r="K82" s="341">
        <f t="shared" ca="1" si="24"/>
        <v>0.160745687816086</v>
      </c>
      <c r="L82" s="341">
        <f ca="1">+L79/K79-1</f>
        <v>0.13620031126868293</v>
      </c>
      <c r="M82" s="341">
        <f ca="1">+M79/L79-1</f>
        <v>0.12093140820583637</v>
      </c>
      <c r="N82" s="341">
        <f t="shared" ca="1" si="24"/>
        <v>0.1087884285991807</v>
      </c>
      <c r="O82" s="341">
        <f t="shared" ca="1" si="24"/>
        <v>0.10737203506466186</v>
      </c>
      <c r="P82" s="341">
        <f t="shared" ca="1" si="24"/>
        <v>9.0306948637579598E-2</v>
      </c>
      <c r="Q82" s="341">
        <f t="shared" ca="1" si="24"/>
        <v>8.199460103759515E-2</v>
      </c>
      <c r="R82" s="341">
        <f t="shared" ca="1" si="24"/>
        <v>7.047519535912028E-2</v>
      </c>
    </row>
    <row r="84" spans="2:18" x14ac:dyDescent="0.3">
      <c r="B84" s="337" t="s">
        <v>124</v>
      </c>
      <c r="C84" s="342">
        <f ca="1">+RATE(16,0,C79,-R79)</f>
        <v>0.31866510855942126</v>
      </c>
    </row>
    <row r="85" spans="2:18" x14ac:dyDescent="0.3">
      <c r="B85" s="337" t="s">
        <v>125</v>
      </c>
      <c r="C85" s="342">
        <f ca="1">+RATE(16,0,C79,-M79)</f>
        <v>0.28300609676534377</v>
      </c>
    </row>
  </sheetData>
  <conditionalFormatting sqref="C55:S5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  <ignoredErrors>
    <ignoredError sqref="S37" formula="1"/>
    <ignoredError sqref="D6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3234-741E-456C-A058-AF335EADF30B}">
  <sheetPr>
    <tabColor theme="3" tint="0.39997558519241921"/>
  </sheetPr>
  <dimension ref="B2:Y1259"/>
  <sheetViews>
    <sheetView showGridLines="0" zoomScale="90" zoomScaleNormal="90" workbookViewId="0">
      <selection activeCell="O6" sqref="O6"/>
    </sheetView>
  </sheetViews>
  <sheetFormatPr baseColWidth="10" defaultColWidth="11.453125" defaultRowHeight="13" x14ac:dyDescent="0.3"/>
  <cols>
    <col min="1" max="1" width="9.1796875" style="4" customWidth="1"/>
    <col min="2" max="2" width="17" style="4" customWidth="1"/>
    <col min="3" max="4" width="11.453125" style="4"/>
    <col min="5" max="5" width="11.7265625" style="4" bestFit="1" customWidth="1"/>
    <col min="6" max="9" width="11.453125" style="4"/>
    <col min="10" max="10" width="19.1796875" style="4" bestFit="1" customWidth="1"/>
    <col min="11" max="14" width="11.453125" style="4"/>
    <col min="15" max="15" width="12.26953125" style="4" bestFit="1" customWidth="1"/>
    <col min="16" max="16" width="26.1796875" style="4" bestFit="1" customWidth="1"/>
    <col min="17" max="17" width="20.453125" style="4" bestFit="1" customWidth="1"/>
    <col min="18" max="18" width="11.453125" style="4"/>
    <col min="19" max="19" width="14.1796875" style="4" bestFit="1" customWidth="1"/>
    <col min="20" max="22" width="11.54296875" style="4" bestFit="1" customWidth="1"/>
    <col min="23" max="16384" width="11.453125" style="4"/>
  </cols>
  <sheetData>
    <row r="2" spans="2:25" x14ac:dyDescent="0.3">
      <c r="B2" s="372" t="s">
        <v>126</v>
      </c>
      <c r="G2" s="372" t="s">
        <v>127</v>
      </c>
      <c r="J2" s="372" t="s">
        <v>128</v>
      </c>
      <c r="O2" s="372" t="s">
        <v>129</v>
      </c>
      <c r="S2" s="372" t="s">
        <v>130</v>
      </c>
    </row>
    <row r="4" spans="2:25" x14ac:dyDescent="0.3">
      <c r="B4" s="385" t="s">
        <v>131</v>
      </c>
      <c r="C4" s="374">
        <v>0.94</v>
      </c>
      <c r="E4" s="373"/>
      <c r="G4" s="385" t="s">
        <v>132</v>
      </c>
      <c r="H4" s="375">
        <f>+AVERAGE(H9:H1187)/100</f>
        <v>2.1352291603053422E-2</v>
      </c>
      <c r="J4" s="385" t="s">
        <v>133</v>
      </c>
      <c r="K4" s="388">
        <f ca="1">+((J9)*(1+(1-M9)*(K9))*(1-L9))</f>
        <v>2.4020292835038939</v>
      </c>
      <c r="O4" s="385" t="s">
        <v>134</v>
      </c>
      <c r="P4" s="401">
        <f>+AVERAGE(P9:P101)</f>
        <v>0.11641494072195441</v>
      </c>
      <c r="S4" s="385" t="s">
        <v>135</v>
      </c>
      <c r="T4" s="401">
        <f>+AVERAGE(V9:V270)</f>
        <v>3.0420572372459969E-2</v>
      </c>
    </row>
    <row r="5" spans="2:25" x14ac:dyDescent="0.3">
      <c r="B5" s="385" t="s">
        <v>132</v>
      </c>
      <c r="C5" s="375">
        <f>+SUMPRODUCT($D$9:$D$1259,E9:E1259)/100</f>
        <v>1.5530543155795605E-2</v>
      </c>
      <c r="E5" s="373"/>
      <c r="O5" s="385" t="s">
        <v>136</v>
      </c>
      <c r="P5" s="401">
        <f>+AVERAGE(Q9:Q101)</f>
        <v>5.2128747076616674E-2</v>
      </c>
      <c r="S5" s="385" t="s">
        <v>137</v>
      </c>
      <c r="T5" s="401">
        <f>+AVERAGE(Y9:Y257)</f>
        <v>1.4885140562248987E-2</v>
      </c>
    </row>
    <row r="6" spans="2:25" x14ac:dyDescent="0.3">
      <c r="E6" s="373"/>
      <c r="O6" s="385" t="s">
        <v>129</v>
      </c>
      <c r="P6" s="401">
        <f>+P4-P5</f>
        <v>6.4286193645337733E-2</v>
      </c>
      <c r="S6" s="385" t="s">
        <v>138</v>
      </c>
      <c r="T6" s="401">
        <f>(1+T4)/(1+T5)-1</f>
        <v>1.5307576384066879E-2</v>
      </c>
    </row>
    <row r="7" spans="2:25" x14ac:dyDescent="0.3">
      <c r="E7" s="373"/>
    </row>
    <row r="8" spans="2:25" x14ac:dyDescent="0.3">
      <c r="B8" s="386" t="s">
        <v>139</v>
      </c>
      <c r="C8" s="386" t="s">
        <v>140</v>
      </c>
      <c r="D8" s="386" t="s">
        <v>141</v>
      </c>
      <c r="E8" s="386" t="s">
        <v>142</v>
      </c>
      <c r="G8" s="386" t="s">
        <v>140</v>
      </c>
      <c r="H8" s="386" t="s">
        <v>127</v>
      </c>
      <c r="J8" s="387" t="s">
        <v>97</v>
      </c>
      <c r="K8" s="386" t="s">
        <v>100</v>
      </c>
      <c r="L8" s="386" t="s">
        <v>143</v>
      </c>
      <c r="M8" s="386" t="s">
        <v>144</v>
      </c>
      <c r="O8" s="387" t="s">
        <v>145</v>
      </c>
      <c r="P8" s="387" t="s">
        <v>146</v>
      </c>
      <c r="Q8" s="386" t="s">
        <v>147</v>
      </c>
      <c r="S8" s="387" t="s">
        <v>148</v>
      </c>
      <c r="T8" s="407" t="s">
        <v>149</v>
      </c>
      <c r="U8" s="407" t="s">
        <v>150</v>
      </c>
      <c r="V8" s="407" t="s">
        <v>151</v>
      </c>
      <c r="X8" s="387" t="s">
        <v>152</v>
      </c>
      <c r="Y8" s="407" t="s">
        <v>151</v>
      </c>
    </row>
    <row r="9" spans="2:25" x14ac:dyDescent="0.3">
      <c r="B9" s="376">
        <f>+COUNT($C$9:$C$1259)-1</f>
        <v>1250</v>
      </c>
      <c r="C9" s="377">
        <v>42696</v>
      </c>
      <c r="D9" s="29">
        <v>2.31</v>
      </c>
      <c r="E9" s="378">
        <f t="shared" ref="E9:E72" si="0">+(1-$C$4)*$C$4^B9</f>
        <v>1.5415877478808166E-35</v>
      </c>
      <c r="G9" s="395">
        <v>42738</v>
      </c>
      <c r="H9" s="30">
        <v>2.2470699999999999</v>
      </c>
      <c r="J9" s="398">
        <v>0.77955146962689281</v>
      </c>
      <c r="K9" s="399">
        <f ca="1">+DCF!C40</f>
        <v>2.0812965879642915</v>
      </c>
      <c r="L9" s="399">
        <f ca="1">+'Balance G.'!C5/'Balance G.'!C36</f>
        <v>0</v>
      </c>
      <c r="M9" s="400">
        <f>+DCF!C26</f>
        <v>0</v>
      </c>
      <c r="O9" s="389">
        <v>1928</v>
      </c>
      <c r="P9" s="390">
        <v>0.43811155152887893</v>
      </c>
      <c r="Q9" s="391">
        <v>8.354708589799302E-3</v>
      </c>
      <c r="S9" s="395">
        <v>44196</v>
      </c>
      <c r="T9" s="402">
        <v>5.3870000000000001E-2</v>
      </c>
      <c r="U9" s="402">
        <v>2.8629999999999999E-2</v>
      </c>
      <c r="V9" s="403">
        <f t="shared" ref="V9:V72" si="1">(1+T9)/(1+U9)-1</f>
        <v>2.4537491615060913E-2</v>
      </c>
      <c r="X9" s="395">
        <v>44196</v>
      </c>
      <c r="Y9" s="408">
        <v>1.9900000000000001E-2</v>
      </c>
    </row>
    <row r="10" spans="2:25" x14ac:dyDescent="0.3">
      <c r="B10" s="379">
        <f>+B9-1</f>
        <v>1249</v>
      </c>
      <c r="C10" s="380">
        <v>42697</v>
      </c>
      <c r="D10" s="4">
        <v>2.36</v>
      </c>
      <c r="E10" s="381">
        <f t="shared" si="0"/>
        <v>1.6399869658306563E-35</v>
      </c>
      <c r="G10" s="396">
        <v>42739</v>
      </c>
      <c r="H10" s="32">
        <v>2.1850700000000001</v>
      </c>
      <c r="O10" s="389">
        <v>1929</v>
      </c>
      <c r="P10" s="390">
        <v>-8.2979466119096595E-2</v>
      </c>
      <c r="Q10" s="391">
        <v>4.2038041563204259E-2</v>
      </c>
      <c r="S10" s="396">
        <v>44195</v>
      </c>
      <c r="T10" s="404">
        <v>5.3870000000000001E-2</v>
      </c>
      <c r="U10" s="404">
        <v>2.8629999999999999E-2</v>
      </c>
      <c r="V10" s="405">
        <f t="shared" si="1"/>
        <v>2.4537491615060913E-2</v>
      </c>
      <c r="X10" s="396">
        <v>44195</v>
      </c>
      <c r="Y10" s="409">
        <v>1.9599999999999999E-2</v>
      </c>
    </row>
    <row r="11" spans="2:25" x14ac:dyDescent="0.3">
      <c r="B11" s="379">
        <f t="shared" ref="B11:B74" si="2">+B10-1</f>
        <v>1248</v>
      </c>
      <c r="C11" s="380">
        <v>42699</v>
      </c>
      <c r="D11" s="4">
        <v>2.36</v>
      </c>
      <c r="E11" s="381">
        <f t="shared" si="0"/>
        <v>1.7446669849262301E-35</v>
      </c>
      <c r="G11" s="396">
        <v>42740</v>
      </c>
      <c r="H11" s="32">
        <v>2.1313</v>
      </c>
      <c r="O11" s="389">
        <v>1930</v>
      </c>
      <c r="P11" s="390">
        <v>-0.25123636363636365</v>
      </c>
      <c r="Q11" s="391">
        <v>4.5409314348970366E-2</v>
      </c>
      <c r="S11" s="396">
        <v>44194</v>
      </c>
      <c r="T11" s="404">
        <v>5.4000000000000006E-2</v>
      </c>
      <c r="U11" s="404">
        <v>2.8629999999999999E-2</v>
      </c>
      <c r="V11" s="405">
        <f t="shared" si="1"/>
        <v>2.4663873307214645E-2</v>
      </c>
      <c r="X11" s="396">
        <v>44194</v>
      </c>
      <c r="Y11" s="409">
        <v>1.9599999999999999E-2</v>
      </c>
    </row>
    <row r="12" spans="2:25" x14ac:dyDescent="0.3">
      <c r="B12" s="379">
        <f t="shared" si="2"/>
        <v>1247</v>
      </c>
      <c r="C12" s="380">
        <v>42702</v>
      </c>
      <c r="D12" s="4">
        <v>2.3199999999999998</v>
      </c>
      <c r="E12" s="381">
        <f t="shared" si="0"/>
        <v>1.8560287073683299E-35</v>
      </c>
      <c r="G12" s="396">
        <v>42741</v>
      </c>
      <c r="H12" s="32">
        <v>2.0973099999999998</v>
      </c>
      <c r="O12" s="389">
        <v>1931</v>
      </c>
      <c r="P12" s="390">
        <v>-0.43837548891786188</v>
      </c>
      <c r="Q12" s="391">
        <v>-2.5588559619422531E-2</v>
      </c>
      <c r="S12" s="396">
        <v>44193</v>
      </c>
      <c r="T12" s="404">
        <v>5.4210000000000001E-2</v>
      </c>
      <c r="U12" s="404">
        <v>2.8629999999999999E-2</v>
      </c>
      <c r="V12" s="405">
        <f t="shared" si="1"/>
        <v>2.4868028348385973E-2</v>
      </c>
      <c r="X12" s="396">
        <v>44193</v>
      </c>
      <c r="Y12" s="409">
        <v>1.9699999999999999E-2</v>
      </c>
    </row>
    <row r="13" spans="2:25" x14ac:dyDescent="0.3">
      <c r="B13" s="379">
        <f t="shared" si="2"/>
        <v>1246</v>
      </c>
      <c r="C13" s="380">
        <v>42703</v>
      </c>
      <c r="D13" s="4">
        <v>2.2999999999999998</v>
      </c>
      <c r="E13" s="381">
        <f t="shared" si="0"/>
        <v>1.9744986248599257E-35</v>
      </c>
      <c r="G13" s="396">
        <v>42744</v>
      </c>
      <c r="H13" s="32">
        <v>2.10114</v>
      </c>
      <c r="O13" s="389">
        <v>1932</v>
      </c>
      <c r="P13" s="390">
        <v>-8.642364532019696E-2</v>
      </c>
      <c r="Q13" s="391">
        <v>8.7903069904773257E-2</v>
      </c>
      <c r="S13" s="396">
        <v>44190</v>
      </c>
      <c r="T13" s="404">
        <v>5.4120000000000001E-2</v>
      </c>
      <c r="U13" s="404">
        <v>2.8650000000000002E-2</v>
      </c>
      <c r="V13" s="405">
        <f t="shared" si="1"/>
        <v>2.4760608564623476E-2</v>
      </c>
      <c r="X13" s="396">
        <v>44189</v>
      </c>
      <c r="Y13" s="409">
        <v>1.9699999999999999E-2</v>
      </c>
    </row>
    <row r="14" spans="2:25" x14ac:dyDescent="0.3">
      <c r="B14" s="379">
        <f t="shared" si="2"/>
        <v>1245</v>
      </c>
      <c r="C14" s="380">
        <v>42704</v>
      </c>
      <c r="D14" s="4">
        <v>2.37</v>
      </c>
      <c r="E14" s="381">
        <f t="shared" si="0"/>
        <v>2.1005304519786437E-35</v>
      </c>
      <c r="G14" s="396">
        <v>42745</v>
      </c>
      <c r="H14" s="32">
        <v>2.1381899999999998</v>
      </c>
      <c r="O14" s="389">
        <v>1933</v>
      </c>
      <c r="P14" s="390">
        <v>0.49982225433526023</v>
      </c>
      <c r="Q14" s="391">
        <v>1.8552720891857361E-2</v>
      </c>
      <c r="S14" s="396">
        <v>44189</v>
      </c>
      <c r="T14" s="404">
        <v>5.4120000000000001E-2</v>
      </c>
      <c r="U14" s="404">
        <v>2.8650000000000002E-2</v>
      </c>
      <c r="V14" s="405">
        <f t="shared" si="1"/>
        <v>2.4760608564623476E-2</v>
      </c>
      <c r="X14" s="396">
        <v>44188</v>
      </c>
      <c r="Y14" s="409">
        <v>1.9699999999999999E-2</v>
      </c>
    </row>
    <row r="15" spans="2:25" x14ac:dyDescent="0.3">
      <c r="B15" s="379">
        <f t="shared" si="2"/>
        <v>1244</v>
      </c>
      <c r="C15" s="380">
        <v>42705</v>
      </c>
      <c r="D15" s="4">
        <v>2.4500000000000002</v>
      </c>
      <c r="E15" s="381">
        <f t="shared" si="0"/>
        <v>2.2346068638070686E-35</v>
      </c>
      <c r="G15" s="396">
        <v>42746</v>
      </c>
      <c r="H15" s="32">
        <v>2.1438799999999998</v>
      </c>
      <c r="O15" s="389">
        <v>1934</v>
      </c>
      <c r="P15" s="390">
        <v>-1.1885656970912803E-2</v>
      </c>
      <c r="Q15" s="391">
        <v>7.9634426179656104E-2</v>
      </c>
      <c r="S15" s="396">
        <v>44188</v>
      </c>
      <c r="T15" s="404">
        <v>5.4139999999999994E-2</v>
      </c>
      <c r="U15" s="404">
        <v>2.8660000000000001E-2</v>
      </c>
      <c r="V15" s="405">
        <f t="shared" si="1"/>
        <v>2.4770089242315496E-2</v>
      </c>
      <c r="X15" s="396">
        <v>44187</v>
      </c>
      <c r="Y15" s="409">
        <v>1.9400000000000001E-2</v>
      </c>
    </row>
    <row r="16" spans="2:25" x14ac:dyDescent="0.3">
      <c r="B16" s="379">
        <f t="shared" si="2"/>
        <v>1243</v>
      </c>
      <c r="C16" s="380">
        <v>42706</v>
      </c>
      <c r="D16" s="4">
        <v>2.4</v>
      </c>
      <c r="E16" s="381">
        <f t="shared" si="0"/>
        <v>2.3772413444756042E-35</v>
      </c>
      <c r="G16" s="396">
        <v>42747</v>
      </c>
      <c r="H16" s="32">
        <v>2.0876000000000001</v>
      </c>
      <c r="O16" s="389">
        <v>1935</v>
      </c>
      <c r="P16" s="390">
        <v>0.46740421052631581</v>
      </c>
      <c r="Q16" s="391">
        <v>4.4720477296566127E-2</v>
      </c>
      <c r="S16" s="396">
        <v>44187</v>
      </c>
      <c r="T16" s="404">
        <v>5.382E-2</v>
      </c>
      <c r="U16" s="404">
        <v>2.8660000000000001E-2</v>
      </c>
      <c r="V16" s="405">
        <f t="shared" si="1"/>
        <v>2.4459004919020977E-2</v>
      </c>
      <c r="X16" s="396">
        <v>44186</v>
      </c>
      <c r="Y16" s="409">
        <v>1.95E-2</v>
      </c>
    </row>
    <row r="17" spans="2:25" x14ac:dyDescent="0.3">
      <c r="B17" s="379">
        <f t="shared" si="2"/>
        <v>1242</v>
      </c>
      <c r="C17" s="380">
        <v>42709</v>
      </c>
      <c r="D17" s="4">
        <v>2.39</v>
      </c>
      <c r="E17" s="381">
        <f t="shared" si="0"/>
        <v>2.5289801536974518E-35</v>
      </c>
      <c r="G17" s="396">
        <v>42748</v>
      </c>
      <c r="H17" s="32">
        <v>2.0644800000000001</v>
      </c>
      <c r="O17" s="389">
        <v>1936</v>
      </c>
      <c r="P17" s="390">
        <v>0.31943410275502609</v>
      </c>
      <c r="Q17" s="391">
        <v>5.0178754045450601E-2</v>
      </c>
      <c r="S17" s="396">
        <v>44186</v>
      </c>
      <c r="T17" s="404">
        <v>5.3769999999999998E-2</v>
      </c>
      <c r="U17" s="404">
        <v>2.8660000000000001E-2</v>
      </c>
      <c r="V17" s="405">
        <f t="shared" si="1"/>
        <v>2.4410397993506194E-2</v>
      </c>
      <c r="X17" s="396">
        <v>44183</v>
      </c>
      <c r="Y17" s="409">
        <v>1.95E-2</v>
      </c>
    </row>
    <row r="18" spans="2:25" x14ac:dyDescent="0.3">
      <c r="B18" s="379">
        <f t="shared" si="2"/>
        <v>1241</v>
      </c>
      <c r="C18" s="380">
        <v>42710</v>
      </c>
      <c r="D18" s="4">
        <v>2.39</v>
      </c>
      <c r="E18" s="381">
        <f t="shared" si="0"/>
        <v>2.6904044188270761E-35</v>
      </c>
      <c r="G18" s="396">
        <v>42752</v>
      </c>
      <c r="H18" s="32">
        <v>2.0486800000000001</v>
      </c>
      <c r="O18" s="389">
        <v>1937</v>
      </c>
      <c r="P18" s="390">
        <v>-0.35336728754365537</v>
      </c>
      <c r="Q18" s="391">
        <v>1.379146059646038E-2</v>
      </c>
      <c r="S18" s="396">
        <v>44183</v>
      </c>
      <c r="T18" s="404">
        <v>5.4100000000000002E-2</v>
      </c>
      <c r="U18" s="404">
        <v>2.8660000000000001E-2</v>
      </c>
      <c r="V18" s="405">
        <f t="shared" si="1"/>
        <v>2.4731203701903626E-2</v>
      </c>
      <c r="X18" s="396">
        <v>44182</v>
      </c>
      <c r="Y18" s="409">
        <v>1.9400000000000001E-2</v>
      </c>
    </row>
    <row r="19" spans="2:25" x14ac:dyDescent="0.3">
      <c r="B19" s="379">
        <f t="shared" si="2"/>
        <v>1240</v>
      </c>
      <c r="C19" s="380">
        <v>42711</v>
      </c>
      <c r="D19" s="4">
        <v>2.34</v>
      </c>
      <c r="E19" s="381">
        <f t="shared" si="0"/>
        <v>2.8621323604543366E-35</v>
      </c>
      <c r="G19" s="396">
        <v>42753</v>
      </c>
      <c r="H19" s="32">
        <v>2.0598900000000002</v>
      </c>
      <c r="O19" s="389">
        <v>1938</v>
      </c>
      <c r="P19" s="390">
        <v>0.29282654028436017</v>
      </c>
      <c r="Q19" s="391">
        <v>4.2132485322046068E-2</v>
      </c>
      <c r="S19" s="396">
        <v>44182</v>
      </c>
      <c r="T19" s="404">
        <v>5.4740000000000004E-2</v>
      </c>
      <c r="U19" s="404">
        <v>2.8660000000000001E-2</v>
      </c>
      <c r="V19" s="405">
        <f t="shared" si="1"/>
        <v>2.535337234849222E-2</v>
      </c>
      <c r="X19" s="396">
        <v>44181</v>
      </c>
      <c r="Y19" s="409">
        <v>1.9199999999999998E-2</v>
      </c>
    </row>
    <row r="20" spans="2:25" x14ac:dyDescent="0.3">
      <c r="B20" s="379">
        <f t="shared" si="2"/>
        <v>1239</v>
      </c>
      <c r="C20" s="380">
        <v>42712</v>
      </c>
      <c r="D20" s="4">
        <v>2.4</v>
      </c>
      <c r="E20" s="381">
        <f t="shared" si="0"/>
        <v>3.0448216600578049E-35</v>
      </c>
      <c r="G20" s="396">
        <v>42754</v>
      </c>
      <c r="H20" s="32">
        <v>2.10859</v>
      </c>
      <c r="O20" s="389">
        <v>1939</v>
      </c>
      <c r="P20" s="390">
        <v>-1.0975646879756443E-2</v>
      </c>
      <c r="Q20" s="391">
        <v>4.4122613942060671E-2</v>
      </c>
      <c r="S20" s="396">
        <v>44181</v>
      </c>
      <c r="T20" s="404">
        <v>5.5069999999999994E-2</v>
      </c>
      <c r="U20" s="404">
        <v>2.8660000000000001E-2</v>
      </c>
      <c r="V20" s="405">
        <f t="shared" si="1"/>
        <v>2.5674178056889652E-2</v>
      </c>
      <c r="X20" s="396">
        <v>44180</v>
      </c>
      <c r="Y20" s="409">
        <v>1.9099999999999999E-2</v>
      </c>
    </row>
    <row r="21" spans="2:25" x14ac:dyDescent="0.3">
      <c r="B21" s="379">
        <f t="shared" si="2"/>
        <v>1238</v>
      </c>
      <c r="C21" s="380">
        <v>42713</v>
      </c>
      <c r="D21" s="4">
        <v>2.4700000000000002</v>
      </c>
      <c r="E21" s="381">
        <f t="shared" si="0"/>
        <v>3.2391719787848987E-35</v>
      </c>
      <c r="G21" s="396">
        <v>42755</v>
      </c>
      <c r="H21" s="32">
        <v>2.1046999999999998</v>
      </c>
      <c r="O21" s="389">
        <v>1940</v>
      </c>
      <c r="P21" s="390">
        <v>-0.10672873194221515</v>
      </c>
      <c r="Q21" s="391">
        <v>5.4024815962845509E-2</v>
      </c>
      <c r="S21" s="396">
        <v>44180</v>
      </c>
      <c r="T21" s="404">
        <v>5.5019999999999999E-2</v>
      </c>
      <c r="U21" s="404">
        <v>2.8660000000000001E-2</v>
      </c>
      <c r="V21" s="405">
        <f t="shared" si="1"/>
        <v>2.5625571131374869E-2</v>
      </c>
      <c r="X21" s="396">
        <v>44179</v>
      </c>
      <c r="Y21" s="409">
        <v>1.8799999999999997E-2</v>
      </c>
    </row>
    <row r="22" spans="2:25" x14ac:dyDescent="0.3">
      <c r="B22" s="379">
        <f t="shared" si="2"/>
        <v>1237</v>
      </c>
      <c r="C22" s="380">
        <v>42716</v>
      </c>
      <c r="D22" s="4">
        <v>2.4900000000000002</v>
      </c>
      <c r="E22" s="381">
        <f t="shared" si="0"/>
        <v>3.4459276370052109E-35</v>
      </c>
      <c r="G22" s="396">
        <v>42758</v>
      </c>
      <c r="H22" s="32">
        <v>2.09497</v>
      </c>
      <c r="O22" s="389">
        <v>1941</v>
      </c>
      <c r="P22" s="390">
        <v>-0.12771455576559551</v>
      </c>
      <c r="Q22" s="391">
        <v>-2.0221975848580105E-2</v>
      </c>
      <c r="S22" s="396">
        <v>44179</v>
      </c>
      <c r="T22" s="404">
        <v>5.4989999999999997E-2</v>
      </c>
      <c r="U22" s="404">
        <v>2.8660000000000001E-2</v>
      </c>
      <c r="V22" s="405">
        <f t="shared" si="1"/>
        <v>2.5596406976066133E-2</v>
      </c>
      <c r="X22" s="396">
        <v>44176</v>
      </c>
      <c r="Y22" s="409">
        <v>1.8700000000000001E-2</v>
      </c>
    </row>
    <row r="23" spans="2:25" x14ac:dyDescent="0.3">
      <c r="B23" s="379">
        <f t="shared" si="2"/>
        <v>1236</v>
      </c>
      <c r="C23" s="380">
        <v>42717</v>
      </c>
      <c r="D23" s="4">
        <v>2.48</v>
      </c>
      <c r="E23" s="381">
        <f t="shared" si="0"/>
        <v>3.6658804648991615E-35</v>
      </c>
      <c r="G23" s="396">
        <v>42759</v>
      </c>
      <c r="H23" s="32">
        <v>2.1014900000000001</v>
      </c>
      <c r="O23" s="389">
        <v>1942</v>
      </c>
      <c r="P23" s="390">
        <v>0.19173762945914843</v>
      </c>
      <c r="Q23" s="391">
        <v>2.2948682374484164E-2</v>
      </c>
      <c r="S23" s="396">
        <v>44176</v>
      </c>
      <c r="T23" s="404">
        <v>5.5069999999999994E-2</v>
      </c>
      <c r="U23" s="404">
        <v>2.8660000000000001E-2</v>
      </c>
      <c r="V23" s="405">
        <f t="shared" si="1"/>
        <v>2.5674178056889652E-2</v>
      </c>
      <c r="X23" s="396">
        <v>44175</v>
      </c>
      <c r="Y23" s="409">
        <v>1.8799999999999997E-2</v>
      </c>
    </row>
    <row r="24" spans="2:25" x14ac:dyDescent="0.3">
      <c r="B24" s="379">
        <f t="shared" si="2"/>
        <v>1235</v>
      </c>
      <c r="C24" s="380">
        <v>42718</v>
      </c>
      <c r="D24" s="4">
        <v>2.54</v>
      </c>
      <c r="E24" s="381">
        <f t="shared" si="0"/>
        <v>3.8998728349991078E-35</v>
      </c>
      <c r="G24" s="396">
        <v>42760</v>
      </c>
      <c r="H24" s="32">
        <v>2.06874</v>
      </c>
      <c r="O24" s="389">
        <v>1943</v>
      </c>
      <c r="P24" s="390">
        <v>0.25061310133060394</v>
      </c>
      <c r="Q24" s="391">
        <v>2.4899999999999999E-2</v>
      </c>
      <c r="S24" s="396">
        <v>44175</v>
      </c>
      <c r="T24" s="404">
        <v>5.4949999999999999E-2</v>
      </c>
      <c r="U24" s="404">
        <v>2.8660000000000001E-2</v>
      </c>
      <c r="V24" s="405">
        <f t="shared" si="1"/>
        <v>2.5557521435654262E-2</v>
      </c>
      <c r="X24" s="396">
        <v>44174</v>
      </c>
      <c r="Y24" s="409">
        <v>1.9099999999999999E-2</v>
      </c>
    </row>
    <row r="25" spans="2:25" x14ac:dyDescent="0.3">
      <c r="B25" s="379">
        <f t="shared" si="2"/>
        <v>1234</v>
      </c>
      <c r="C25" s="380">
        <v>42719</v>
      </c>
      <c r="D25" s="4">
        <v>2.6</v>
      </c>
      <c r="E25" s="381">
        <f t="shared" si="0"/>
        <v>4.1488008882969233E-35</v>
      </c>
      <c r="G25" s="396">
        <v>42761</v>
      </c>
      <c r="H25" s="32">
        <v>2.1244900000000002</v>
      </c>
      <c r="O25" s="389">
        <v>1944</v>
      </c>
      <c r="P25" s="390">
        <v>0.19030676949443009</v>
      </c>
      <c r="Q25" s="391">
        <v>2.5776111579070303E-2</v>
      </c>
      <c r="S25" s="396">
        <v>44174</v>
      </c>
      <c r="T25" s="404">
        <v>5.4770000000000006E-2</v>
      </c>
      <c r="U25" s="404">
        <v>2.8660000000000001E-2</v>
      </c>
      <c r="V25" s="405">
        <f t="shared" si="1"/>
        <v>2.5382536503801179E-2</v>
      </c>
      <c r="X25" s="396">
        <v>44173</v>
      </c>
      <c r="Y25" s="409">
        <v>1.89E-2</v>
      </c>
    </row>
    <row r="26" spans="2:25" x14ac:dyDescent="0.3">
      <c r="B26" s="379">
        <f t="shared" si="2"/>
        <v>1233</v>
      </c>
      <c r="C26" s="380">
        <v>42720</v>
      </c>
      <c r="D26" s="4">
        <v>2.6</v>
      </c>
      <c r="E26" s="381">
        <f t="shared" si="0"/>
        <v>4.4136179662733231E-35</v>
      </c>
      <c r="G26" s="396">
        <v>42762</v>
      </c>
      <c r="H26" s="32">
        <v>2.09382</v>
      </c>
      <c r="O26" s="389">
        <v>1945</v>
      </c>
      <c r="P26" s="390">
        <v>0.35821084337349401</v>
      </c>
      <c r="Q26" s="391">
        <v>3.8044173419237229E-2</v>
      </c>
      <c r="S26" s="396">
        <v>44173</v>
      </c>
      <c r="T26" s="404">
        <v>5.4619999999999995E-2</v>
      </c>
      <c r="U26" s="404">
        <v>2.8660000000000001E-2</v>
      </c>
      <c r="V26" s="405">
        <f t="shared" si="1"/>
        <v>2.5236715727256831E-2</v>
      </c>
      <c r="X26" s="396">
        <v>44172</v>
      </c>
      <c r="Y26" s="409">
        <v>1.8799999999999997E-2</v>
      </c>
    </row>
    <row r="27" spans="2:25" x14ac:dyDescent="0.3">
      <c r="B27" s="379">
        <f t="shared" si="2"/>
        <v>1232</v>
      </c>
      <c r="C27" s="380">
        <v>42723</v>
      </c>
      <c r="D27" s="4">
        <v>2.54</v>
      </c>
      <c r="E27" s="381">
        <f t="shared" si="0"/>
        <v>4.6953382619928963E-35</v>
      </c>
      <c r="G27" s="396">
        <v>42765</v>
      </c>
      <c r="H27" s="32">
        <v>2.1070099999999998</v>
      </c>
      <c r="O27" s="389">
        <v>1946</v>
      </c>
      <c r="P27" s="390">
        <v>-8.4291474654377807E-2</v>
      </c>
      <c r="Q27" s="391">
        <v>3.1283745375695685E-2</v>
      </c>
      <c r="S27" s="396">
        <v>44172</v>
      </c>
      <c r="T27" s="404">
        <v>5.4619999999999995E-2</v>
      </c>
      <c r="U27" s="404">
        <v>2.8660000000000001E-2</v>
      </c>
      <c r="V27" s="405">
        <f t="shared" si="1"/>
        <v>2.5236715727256831E-2</v>
      </c>
      <c r="X27" s="396">
        <v>44169</v>
      </c>
      <c r="Y27" s="409">
        <v>1.89E-2</v>
      </c>
    </row>
    <row r="28" spans="2:25" x14ac:dyDescent="0.3">
      <c r="B28" s="379">
        <f t="shared" si="2"/>
        <v>1231</v>
      </c>
      <c r="C28" s="380">
        <v>42724</v>
      </c>
      <c r="D28" s="4">
        <v>2.57</v>
      </c>
      <c r="E28" s="381">
        <f t="shared" si="0"/>
        <v>4.9950407042477612E-35</v>
      </c>
      <c r="G28" s="396">
        <v>42766</v>
      </c>
      <c r="H28" s="32">
        <v>2.09192</v>
      </c>
      <c r="O28" s="389">
        <v>1947</v>
      </c>
      <c r="P28" s="390">
        <v>5.1999999999999998E-2</v>
      </c>
      <c r="Q28" s="391">
        <v>9.1969680628322358E-3</v>
      </c>
      <c r="S28" s="396">
        <v>44169</v>
      </c>
      <c r="T28" s="404">
        <v>5.4480000000000001E-2</v>
      </c>
      <c r="U28" s="404">
        <v>2.8670000000000001E-2</v>
      </c>
      <c r="V28" s="405">
        <f t="shared" si="1"/>
        <v>2.5090651034831435E-2</v>
      </c>
      <c r="X28" s="396">
        <v>44168</v>
      </c>
      <c r="Y28" s="409">
        <v>1.8600000000000002E-2</v>
      </c>
    </row>
    <row r="29" spans="2:25" x14ac:dyDescent="0.3">
      <c r="B29" s="379">
        <f t="shared" si="2"/>
        <v>1230</v>
      </c>
      <c r="C29" s="380">
        <v>42725</v>
      </c>
      <c r="D29" s="4">
        <v>2.5499999999999998</v>
      </c>
      <c r="E29" s="381">
        <f t="shared" si="0"/>
        <v>5.3138730896252788E-35</v>
      </c>
      <c r="G29" s="396">
        <v>42767</v>
      </c>
      <c r="H29" s="32">
        <v>2.03322</v>
      </c>
      <c r="O29" s="389">
        <v>1948</v>
      </c>
      <c r="P29" s="390">
        <v>5.7045751633986834E-2</v>
      </c>
      <c r="Q29" s="391">
        <v>1.9510369413175046E-2</v>
      </c>
      <c r="S29" s="396">
        <v>44168</v>
      </c>
      <c r="T29" s="404">
        <v>5.4960000000000002E-2</v>
      </c>
      <c r="U29" s="404">
        <v>2.8670000000000001E-2</v>
      </c>
      <c r="V29" s="405">
        <f t="shared" si="1"/>
        <v>2.5557272983561141E-2</v>
      </c>
      <c r="X29" s="396">
        <v>44167</v>
      </c>
      <c r="Y29" s="409">
        <v>1.8500000000000003E-2</v>
      </c>
    </row>
    <row r="30" spans="2:25" x14ac:dyDescent="0.3">
      <c r="B30" s="379">
        <f t="shared" si="2"/>
        <v>1229</v>
      </c>
      <c r="C30" s="380">
        <v>42726</v>
      </c>
      <c r="D30" s="4">
        <v>2.5499999999999998</v>
      </c>
      <c r="E30" s="381">
        <f t="shared" si="0"/>
        <v>5.6530564783247654E-35</v>
      </c>
      <c r="G30" s="396">
        <v>42768</v>
      </c>
      <c r="H30" s="32">
        <v>1.97095</v>
      </c>
      <c r="O30" s="389">
        <v>1949</v>
      </c>
      <c r="P30" s="390">
        <v>0.18303223684210526</v>
      </c>
      <c r="Q30" s="391">
        <v>4.6634851827973139E-2</v>
      </c>
      <c r="S30" s="396">
        <v>44167</v>
      </c>
      <c r="T30" s="390">
        <v>5.518E-2</v>
      </c>
      <c r="U30" s="390">
        <v>2.8689999999999997E-2</v>
      </c>
      <c r="V30" s="405">
        <f t="shared" si="1"/>
        <v>2.5751198125771424E-2</v>
      </c>
      <c r="X30" s="396">
        <v>44166</v>
      </c>
      <c r="Y30" s="405">
        <v>1.8100000000000002E-2</v>
      </c>
    </row>
    <row r="31" spans="2:25" x14ac:dyDescent="0.3">
      <c r="B31" s="379">
        <f t="shared" si="2"/>
        <v>1228</v>
      </c>
      <c r="C31" s="380">
        <v>42727</v>
      </c>
      <c r="D31" s="4">
        <v>2.5499999999999998</v>
      </c>
      <c r="E31" s="381">
        <f t="shared" si="0"/>
        <v>6.0138898705582617E-35</v>
      </c>
      <c r="G31" s="396">
        <v>42769</v>
      </c>
      <c r="H31" s="32">
        <v>1.9049700000000001</v>
      </c>
      <c r="O31" s="389">
        <v>1950</v>
      </c>
      <c r="P31" s="390">
        <v>0.30805539011316263</v>
      </c>
      <c r="Q31" s="391">
        <v>4.2959574171096103E-3</v>
      </c>
      <c r="S31" s="396">
        <v>44166</v>
      </c>
      <c r="T31" s="390">
        <v>5.525E-2</v>
      </c>
      <c r="U31" s="390">
        <v>2.8689999999999997E-2</v>
      </c>
      <c r="V31" s="405">
        <f t="shared" si="1"/>
        <v>2.5819245836938176E-2</v>
      </c>
      <c r="X31" s="396">
        <v>44165</v>
      </c>
      <c r="Y31" s="405">
        <v>1.77E-2</v>
      </c>
    </row>
    <row r="32" spans="2:25" x14ac:dyDescent="0.3">
      <c r="B32" s="379">
        <f t="shared" si="2"/>
        <v>1227</v>
      </c>
      <c r="C32" s="380">
        <v>42731</v>
      </c>
      <c r="D32" s="4">
        <v>2.57</v>
      </c>
      <c r="E32" s="381">
        <f t="shared" si="0"/>
        <v>6.3977551814449576E-35</v>
      </c>
      <c r="G32" s="396">
        <v>42772</v>
      </c>
      <c r="H32" s="32">
        <v>1.9273100000000001</v>
      </c>
      <c r="O32" s="389">
        <v>1951</v>
      </c>
      <c r="P32" s="390">
        <v>0.23678463044542339</v>
      </c>
      <c r="Q32" s="391">
        <v>-2.9531392208319886E-3</v>
      </c>
      <c r="S32" s="396">
        <v>44165</v>
      </c>
      <c r="T32" s="390">
        <v>5.5129999999999998E-2</v>
      </c>
      <c r="U32" s="390">
        <v>2.8689999999999997E-2</v>
      </c>
      <c r="V32" s="405">
        <f t="shared" si="1"/>
        <v>2.5702592617795172E-2</v>
      </c>
      <c r="X32" s="396">
        <v>44162</v>
      </c>
      <c r="Y32" s="405">
        <v>1.7500000000000002E-2</v>
      </c>
    </row>
    <row r="33" spans="2:25" x14ac:dyDescent="0.3">
      <c r="B33" s="379">
        <f t="shared" si="2"/>
        <v>1226</v>
      </c>
      <c r="C33" s="380">
        <v>42732</v>
      </c>
      <c r="D33" s="4">
        <v>2.5099999999999998</v>
      </c>
      <c r="E33" s="381">
        <f t="shared" si="0"/>
        <v>6.8061225334520827E-35</v>
      </c>
      <c r="G33" s="396">
        <v>42773</v>
      </c>
      <c r="H33" s="32">
        <v>1.96522</v>
      </c>
      <c r="O33" s="389">
        <v>1952</v>
      </c>
      <c r="P33" s="390">
        <v>0.18150988641144306</v>
      </c>
      <c r="Q33" s="391">
        <v>2.2679961918305656E-2</v>
      </c>
      <c r="S33" s="396">
        <v>44162</v>
      </c>
      <c r="T33" s="390">
        <v>5.525E-2</v>
      </c>
      <c r="U33" s="390">
        <v>2.7699999999999999E-2</v>
      </c>
      <c r="V33" s="405">
        <f t="shared" si="1"/>
        <v>2.6807434076092207E-2</v>
      </c>
      <c r="X33" s="396">
        <v>44160</v>
      </c>
      <c r="Y33" s="405">
        <v>1.7500000000000002E-2</v>
      </c>
    </row>
    <row r="34" spans="2:25" x14ac:dyDescent="0.3">
      <c r="B34" s="379">
        <f t="shared" si="2"/>
        <v>1225</v>
      </c>
      <c r="C34" s="380">
        <v>42733</v>
      </c>
      <c r="D34" s="4">
        <v>2.4900000000000002</v>
      </c>
      <c r="E34" s="381">
        <f t="shared" si="0"/>
        <v>7.2405558866511516E-35</v>
      </c>
      <c r="G34" s="396">
        <v>42774</v>
      </c>
      <c r="H34" s="32">
        <v>2.0523699999999998</v>
      </c>
      <c r="O34" s="389">
        <v>1953</v>
      </c>
      <c r="P34" s="390">
        <v>-1.2082047421904465E-2</v>
      </c>
      <c r="Q34" s="391">
        <v>4.1438402589088513E-2</v>
      </c>
      <c r="S34" s="396">
        <v>44161</v>
      </c>
      <c r="T34" s="390">
        <v>5.5239999999999997E-2</v>
      </c>
      <c r="U34" s="390">
        <v>2.7629999999999998E-2</v>
      </c>
      <c r="V34" s="405">
        <f t="shared" si="1"/>
        <v>2.6867646915718524E-2</v>
      </c>
      <c r="X34" s="396">
        <v>44159</v>
      </c>
      <c r="Y34" s="405">
        <v>1.7399999999999999E-2</v>
      </c>
    </row>
    <row r="35" spans="2:25" x14ac:dyDescent="0.3">
      <c r="B35" s="379">
        <f t="shared" si="2"/>
        <v>1224</v>
      </c>
      <c r="C35" s="380">
        <v>42734</v>
      </c>
      <c r="D35" s="4">
        <v>2.4500000000000002</v>
      </c>
      <c r="E35" s="381">
        <f t="shared" si="0"/>
        <v>7.7027190283522911E-35</v>
      </c>
      <c r="G35" s="396">
        <v>42775</v>
      </c>
      <c r="H35" s="32">
        <v>2.0011899999999998</v>
      </c>
      <c r="O35" s="389">
        <v>1954</v>
      </c>
      <c r="P35" s="390">
        <v>0.52563321241434902</v>
      </c>
      <c r="Q35" s="391">
        <v>3.2898034558095555E-2</v>
      </c>
      <c r="S35" s="396">
        <v>44160</v>
      </c>
      <c r="T35" s="390">
        <v>5.5300000000000002E-2</v>
      </c>
      <c r="U35" s="390">
        <v>2.7699999999999999E-2</v>
      </c>
      <c r="V35" s="405">
        <f t="shared" si="1"/>
        <v>2.6856086406538804E-2</v>
      </c>
      <c r="X35" s="396">
        <v>44158</v>
      </c>
      <c r="Y35" s="405">
        <v>1.7100000000000001E-2</v>
      </c>
    </row>
    <row r="36" spans="2:25" x14ac:dyDescent="0.3">
      <c r="B36" s="379">
        <f t="shared" si="2"/>
        <v>1223</v>
      </c>
      <c r="C36" s="380">
        <v>42738</v>
      </c>
      <c r="D36" s="4">
        <v>2.4500000000000002</v>
      </c>
      <c r="E36" s="381">
        <f t="shared" si="0"/>
        <v>8.1943819450556268E-35</v>
      </c>
      <c r="G36" s="396">
        <v>42776</v>
      </c>
      <c r="H36" s="32">
        <v>1.9761899999999999</v>
      </c>
      <c r="O36" s="389">
        <v>1955</v>
      </c>
      <c r="P36" s="390">
        <v>0.32597331851028349</v>
      </c>
      <c r="Q36" s="391">
        <v>-1.3364391288618781E-2</v>
      </c>
      <c r="S36" s="396">
        <v>44159</v>
      </c>
      <c r="T36" s="390">
        <v>5.5109999999999999E-2</v>
      </c>
      <c r="U36" s="390">
        <v>2.801E-2</v>
      </c>
      <c r="V36" s="405">
        <f t="shared" si="1"/>
        <v>2.6361611268372886E-2</v>
      </c>
      <c r="X36" s="396">
        <v>44155</v>
      </c>
      <c r="Y36" s="405">
        <v>1.6899999999999998E-2</v>
      </c>
    </row>
    <row r="37" spans="2:25" x14ac:dyDescent="0.3">
      <c r="B37" s="379">
        <f t="shared" si="2"/>
        <v>1222</v>
      </c>
      <c r="C37" s="380">
        <v>42739</v>
      </c>
      <c r="D37" s="4">
        <v>2.46</v>
      </c>
      <c r="E37" s="381">
        <f t="shared" si="0"/>
        <v>8.7174276011230089E-35</v>
      </c>
      <c r="G37" s="396">
        <v>42779</v>
      </c>
      <c r="H37" s="32">
        <v>1.94676</v>
      </c>
      <c r="O37" s="389">
        <v>1956</v>
      </c>
      <c r="P37" s="390">
        <v>7.4395118733509347E-2</v>
      </c>
      <c r="Q37" s="391">
        <v>-2.2557738173154165E-2</v>
      </c>
      <c r="S37" s="396">
        <v>44158</v>
      </c>
      <c r="T37" s="390">
        <v>5.5060000000000005E-2</v>
      </c>
      <c r="U37" s="390">
        <v>2.8239999999999998E-2</v>
      </c>
      <c r="V37" s="405">
        <f t="shared" si="1"/>
        <v>2.6083404652610387E-2</v>
      </c>
      <c r="X37" s="396">
        <v>44154</v>
      </c>
      <c r="Y37" s="405">
        <v>1.7000000000000001E-2</v>
      </c>
    </row>
    <row r="38" spans="2:25" x14ac:dyDescent="0.3">
      <c r="B38" s="379">
        <f t="shared" si="2"/>
        <v>1221</v>
      </c>
      <c r="C38" s="380">
        <v>42740</v>
      </c>
      <c r="D38" s="4">
        <v>2.37</v>
      </c>
      <c r="E38" s="381">
        <f t="shared" si="0"/>
        <v>9.2738591501308592E-35</v>
      </c>
      <c r="G38" s="396">
        <v>42780</v>
      </c>
      <c r="H38" s="32">
        <v>1.9280200000000001</v>
      </c>
      <c r="O38" s="389">
        <v>1957</v>
      </c>
      <c r="P38" s="390">
        <v>-0.1045736018855796</v>
      </c>
      <c r="Q38" s="391">
        <v>6.7970128466249904E-2</v>
      </c>
      <c r="S38" s="396">
        <v>44155</v>
      </c>
      <c r="T38" s="390">
        <v>5.525E-2</v>
      </c>
      <c r="U38" s="390">
        <v>2.7960000000000002E-2</v>
      </c>
      <c r="V38" s="405">
        <f t="shared" si="1"/>
        <v>2.6547725592435567E-2</v>
      </c>
      <c r="X38" s="396">
        <v>44153</v>
      </c>
      <c r="Y38" s="405">
        <v>1.7000000000000001E-2</v>
      </c>
    </row>
    <row r="39" spans="2:25" x14ac:dyDescent="0.3">
      <c r="B39" s="379">
        <f t="shared" si="2"/>
        <v>1220</v>
      </c>
      <c r="C39" s="380">
        <v>42741</v>
      </c>
      <c r="D39" s="4">
        <v>2.42</v>
      </c>
      <c r="E39" s="381">
        <f t="shared" si="0"/>
        <v>9.8658076065221916E-35</v>
      </c>
      <c r="G39" s="396">
        <v>42781</v>
      </c>
      <c r="H39" s="32">
        <v>1.9755799999999999</v>
      </c>
      <c r="O39" s="389">
        <v>1958</v>
      </c>
      <c r="P39" s="390">
        <v>0.43719954988747184</v>
      </c>
      <c r="Q39" s="391">
        <v>-2.0990181755274694E-2</v>
      </c>
      <c r="S39" s="396">
        <v>44154</v>
      </c>
      <c r="T39" s="390">
        <v>5.5449999999999999E-2</v>
      </c>
      <c r="U39" s="390">
        <v>2.8199999999999999E-2</v>
      </c>
      <c r="V39" s="405">
        <f t="shared" si="1"/>
        <v>2.6502625948259029E-2</v>
      </c>
      <c r="X39" s="396">
        <v>44152</v>
      </c>
      <c r="Y39" s="405">
        <v>1.7000000000000001E-2</v>
      </c>
    </row>
    <row r="40" spans="2:25" x14ac:dyDescent="0.3">
      <c r="B40" s="379">
        <f t="shared" si="2"/>
        <v>1219</v>
      </c>
      <c r="C40" s="380">
        <v>42744</v>
      </c>
      <c r="D40" s="4">
        <v>2.38</v>
      </c>
      <c r="E40" s="381">
        <f t="shared" si="0"/>
        <v>1.0495540006938501E-34</v>
      </c>
      <c r="G40" s="396">
        <v>42782</v>
      </c>
      <c r="H40" s="32">
        <v>2.0052400000000001</v>
      </c>
      <c r="O40" s="389">
        <v>1959</v>
      </c>
      <c r="P40" s="390">
        <v>0.12056457163557326</v>
      </c>
      <c r="Q40" s="391">
        <v>-2.6466312591385065E-2</v>
      </c>
      <c r="S40" s="396">
        <v>44153</v>
      </c>
      <c r="T40" s="390">
        <v>5.5449999999999999E-2</v>
      </c>
      <c r="U40" s="390">
        <v>2.827E-2</v>
      </c>
      <c r="V40" s="405">
        <f t="shared" si="1"/>
        <v>2.6432746263141071E-2</v>
      </c>
      <c r="X40" s="396">
        <v>44151</v>
      </c>
      <c r="Y40" s="405">
        <v>1.72E-2</v>
      </c>
    </row>
    <row r="41" spans="2:25" x14ac:dyDescent="0.3">
      <c r="B41" s="379">
        <f t="shared" si="2"/>
        <v>1218</v>
      </c>
      <c r="C41" s="380">
        <v>42745</v>
      </c>
      <c r="D41" s="4">
        <v>2.38</v>
      </c>
      <c r="E41" s="381">
        <f t="shared" si="0"/>
        <v>1.1165468092487767E-34</v>
      </c>
      <c r="G41" s="396">
        <v>42783</v>
      </c>
      <c r="H41" s="32">
        <v>2.0222899999999999</v>
      </c>
      <c r="O41" s="389">
        <v>1960</v>
      </c>
      <c r="P41" s="390">
        <v>3.36535314743695E-3</v>
      </c>
      <c r="Q41" s="391">
        <v>0.11639503690963365</v>
      </c>
      <c r="S41" s="396">
        <v>44152</v>
      </c>
      <c r="T41" s="390">
        <v>5.5759999999999997E-2</v>
      </c>
      <c r="U41" s="390">
        <v>2.9430000000000001E-2</v>
      </c>
      <c r="V41" s="405">
        <f t="shared" si="1"/>
        <v>2.5577261202801571E-2</v>
      </c>
      <c r="X41" s="396">
        <v>44148</v>
      </c>
      <c r="Y41" s="405">
        <v>1.72E-2</v>
      </c>
    </row>
    <row r="42" spans="2:25" x14ac:dyDescent="0.3">
      <c r="B42" s="379">
        <f t="shared" si="2"/>
        <v>1217</v>
      </c>
      <c r="C42" s="380">
        <v>42746</v>
      </c>
      <c r="D42" s="4">
        <v>2.38</v>
      </c>
      <c r="E42" s="381">
        <f t="shared" si="0"/>
        <v>1.1878157545199754E-34</v>
      </c>
      <c r="G42" s="396">
        <v>42787</v>
      </c>
      <c r="H42" s="32">
        <v>1.99129</v>
      </c>
      <c r="O42" s="389">
        <v>1961</v>
      </c>
      <c r="P42" s="390">
        <v>0.26637712958182752</v>
      </c>
      <c r="Q42" s="391">
        <v>2.0609208076323167E-2</v>
      </c>
      <c r="S42" s="396">
        <v>44151</v>
      </c>
      <c r="T42" s="390">
        <v>5.5559999999999998E-2</v>
      </c>
      <c r="U42" s="390">
        <v>2.8220000000000002E-2</v>
      </c>
      <c r="V42" s="405">
        <f t="shared" si="1"/>
        <v>2.6589640349341748E-2</v>
      </c>
      <c r="X42" s="396">
        <v>44147</v>
      </c>
      <c r="Y42" s="405">
        <v>1.7100000000000001E-2</v>
      </c>
    </row>
    <row r="43" spans="2:25" x14ac:dyDescent="0.3">
      <c r="B43" s="379">
        <f t="shared" si="2"/>
        <v>1216</v>
      </c>
      <c r="C43" s="380">
        <v>42747</v>
      </c>
      <c r="D43" s="4">
        <v>2.36</v>
      </c>
      <c r="E43" s="381">
        <f t="shared" si="0"/>
        <v>1.2636337814042292E-34</v>
      </c>
      <c r="G43" s="396">
        <v>42788</v>
      </c>
      <c r="H43" s="32">
        <v>1.99159</v>
      </c>
      <c r="O43" s="389">
        <v>1962</v>
      </c>
      <c r="P43" s="390">
        <v>-8.8114605171208879E-2</v>
      </c>
      <c r="Q43" s="391">
        <v>5.693544054008462E-2</v>
      </c>
      <c r="S43" s="396">
        <v>44148</v>
      </c>
      <c r="T43" s="390">
        <v>5.5559999999999998E-2</v>
      </c>
      <c r="U43" s="390">
        <v>2.8220000000000002E-2</v>
      </c>
      <c r="V43" s="405">
        <f t="shared" si="1"/>
        <v>2.6589640349341748E-2</v>
      </c>
      <c r="X43" s="396">
        <v>44145</v>
      </c>
      <c r="Y43" s="405">
        <v>1.7600000000000001E-2</v>
      </c>
    </row>
    <row r="44" spans="2:25" x14ac:dyDescent="0.3">
      <c r="B44" s="379">
        <f t="shared" si="2"/>
        <v>1215</v>
      </c>
      <c r="C44" s="380">
        <v>42748</v>
      </c>
      <c r="D44" s="4">
        <v>2.4</v>
      </c>
      <c r="E44" s="381">
        <f t="shared" si="0"/>
        <v>1.3442912568130097E-34</v>
      </c>
      <c r="G44" s="396">
        <v>42789</v>
      </c>
      <c r="H44" s="32">
        <v>1.9900800000000001</v>
      </c>
      <c r="O44" s="389">
        <v>1963</v>
      </c>
      <c r="P44" s="390">
        <v>0.22611927099841514</v>
      </c>
      <c r="Q44" s="391">
        <v>1.6841620739546127E-2</v>
      </c>
      <c r="S44" s="396">
        <v>44147</v>
      </c>
      <c r="T44" s="390">
        <v>5.5540000000000006E-2</v>
      </c>
      <c r="U44" s="390">
        <v>2.8170000000000001E-2</v>
      </c>
      <c r="V44" s="405">
        <f t="shared" si="1"/>
        <v>2.6620111460166962E-2</v>
      </c>
      <c r="X44" s="396">
        <v>44144</v>
      </c>
      <c r="Y44" s="405">
        <v>1.7299999999999999E-2</v>
      </c>
    </row>
    <row r="45" spans="2:25" x14ac:dyDescent="0.3">
      <c r="B45" s="379">
        <f t="shared" si="2"/>
        <v>1214</v>
      </c>
      <c r="C45" s="380">
        <v>42752</v>
      </c>
      <c r="D45" s="4">
        <v>2.33</v>
      </c>
      <c r="E45" s="381">
        <f t="shared" si="0"/>
        <v>1.4300970817159679E-34</v>
      </c>
      <c r="G45" s="396">
        <v>42790</v>
      </c>
      <c r="H45" s="32">
        <v>2.0569999999999999</v>
      </c>
      <c r="O45" s="389">
        <v>1964</v>
      </c>
      <c r="P45" s="390">
        <v>0.16415455878432425</v>
      </c>
      <c r="Q45" s="391">
        <v>3.7280648911540815E-2</v>
      </c>
      <c r="S45" s="396">
        <v>44146</v>
      </c>
      <c r="T45" s="390">
        <v>5.6070000000000002E-2</v>
      </c>
      <c r="U45" s="390">
        <v>2.8149999999999998E-2</v>
      </c>
      <c r="V45" s="405">
        <f t="shared" si="1"/>
        <v>2.7155570685211572E-2</v>
      </c>
      <c r="X45" s="396">
        <v>44141</v>
      </c>
      <c r="Y45" s="405">
        <v>1.6500000000000001E-2</v>
      </c>
    </row>
    <row r="46" spans="2:25" x14ac:dyDescent="0.3">
      <c r="B46" s="379">
        <f t="shared" si="2"/>
        <v>1213</v>
      </c>
      <c r="C46" s="380">
        <v>42753</v>
      </c>
      <c r="D46" s="4">
        <v>2.42</v>
      </c>
      <c r="E46" s="381">
        <f t="shared" si="0"/>
        <v>1.5213798741659231E-34</v>
      </c>
      <c r="G46" s="396">
        <v>42793</v>
      </c>
      <c r="H46" s="32">
        <v>2.0448200000000001</v>
      </c>
      <c r="O46" s="389">
        <v>1965</v>
      </c>
      <c r="P46" s="390">
        <v>0.12399242477876114</v>
      </c>
      <c r="Q46" s="391">
        <v>7.1885509359262342E-3</v>
      </c>
      <c r="S46" s="396">
        <v>44145</v>
      </c>
      <c r="T46" s="390">
        <v>5.6399999999999999E-2</v>
      </c>
      <c r="U46" s="390">
        <v>2.8410000000000001E-2</v>
      </c>
      <c r="V46" s="405">
        <f t="shared" si="1"/>
        <v>2.7216771521085814E-2</v>
      </c>
      <c r="X46" s="396">
        <v>44140</v>
      </c>
      <c r="Y46" s="405">
        <v>1.66E-2</v>
      </c>
    </row>
    <row r="47" spans="2:25" x14ac:dyDescent="0.3">
      <c r="B47" s="379">
        <f t="shared" si="2"/>
        <v>1212</v>
      </c>
      <c r="C47" s="380">
        <v>42754</v>
      </c>
      <c r="D47" s="4">
        <v>2.4700000000000002</v>
      </c>
      <c r="E47" s="381">
        <f t="shared" si="0"/>
        <v>1.6184892278360888E-34</v>
      </c>
      <c r="G47" s="396">
        <v>42794</v>
      </c>
      <c r="H47" s="32">
        <v>2.02468</v>
      </c>
      <c r="O47" s="389">
        <v>1966</v>
      </c>
      <c r="P47" s="390">
        <v>-9.9709542356377898E-2</v>
      </c>
      <c r="Q47" s="391">
        <v>2.9079409324299622E-2</v>
      </c>
      <c r="S47" s="396">
        <v>44144</v>
      </c>
      <c r="T47" s="390">
        <v>5.534E-2</v>
      </c>
      <c r="U47" s="390">
        <v>2.7990000000000001E-2</v>
      </c>
      <c r="V47" s="405">
        <f t="shared" si="1"/>
        <v>2.6605317172345933E-2</v>
      </c>
      <c r="X47" s="396">
        <v>44139</v>
      </c>
      <c r="Y47" s="405">
        <v>1.6399999999999998E-2</v>
      </c>
    </row>
    <row r="48" spans="2:25" x14ac:dyDescent="0.3">
      <c r="B48" s="379">
        <f t="shared" si="2"/>
        <v>1211</v>
      </c>
      <c r="C48" s="380">
        <v>42755</v>
      </c>
      <c r="D48" s="4">
        <v>2.48</v>
      </c>
      <c r="E48" s="381">
        <f t="shared" si="0"/>
        <v>1.7217970508894561E-34</v>
      </c>
      <c r="G48" s="396">
        <v>42795</v>
      </c>
      <c r="H48" s="32">
        <v>1.95295</v>
      </c>
      <c r="O48" s="389">
        <v>1967</v>
      </c>
      <c r="P48" s="390">
        <v>0.23802966513133328</v>
      </c>
      <c r="Q48" s="391">
        <v>-1.5806209932824666E-2</v>
      </c>
      <c r="S48" s="396">
        <v>44141</v>
      </c>
      <c r="T48" s="390">
        <v>5.5519999999999993E-2</v>
      </c>
      <c r="U48" s="390">
        <v>2.8220000000000002E-2</v>
      </c>
      <c r="V48" s="405">
        <f t="shared" si="1"/>
        <v>2.6550738168874544E-2</v>
      </c>
      <c r="X48" s="396">
        <v>44138</v>
      </c>
      <c r="Y48" s="405">
        <v>1.72E-2</v>
      </c>
    </row>
    <row r="49" spans="2:25" x14ac:dyDescent="0.3">
      <c r="B49" s="379">
        <f t="shared" si="2"/>
        <v>1210</v>
      </c>
      <c r="C49" s="380">
        <v>42758</v>
      </c>
      <c r="D49" s="4">
        <v>2.41</v>
      </c>
      <c r="E49" s="381">
        <f t="shared" si="0"/>
        <v>1.8316989903079321E-34</v>
      </c>
      <c r="G49" s="396">
        <v>42796</v>
      </c>
      <c r="H49" s="32">
        <v>1.9570799999999999</v>
      </c>
      <c r="O49" s="389">
        <v>1968</v>
      </c>
      <c r="P49" s="390">
        <v>0.10814862651601535</v>
      </c>
      <c r="Q49" s="391">
        <v>3.2746196950768365E-2</v>
      </c>
      <c r="S49" s="396">
        <v>44140</v>
      </c>
      <c r="T49" s="390">
        <v>5.602E-2</v>
      </c>
      <c r="U49" s="390">
        <v>2.9130000000000003E-2</v>
      </c>
      <c r="V49" s="405">
        <f t="shared" si="1"/>
        <v>2.6128866129643269E-2</v>
      </c>
      <c r="X49" s="396">
        <v>44137</v>
      </c>
      <c r="Y49" s="405">
        <v>1.7100000000000001E-2</v>
      </c>
    </row>
    <row r="50" spans="2:25" x14ac:dyDescent="0.3">
      <c r="B50" s="379">
        <f t="shared" si="2"/>
        <v>1209</v>
      </c>
      <c r="C50" s="380">
        <v>42759</v>
      </c>
      <c r="D50" s="4">
        <v>2.4700000000000002</v>
      </c>
      <c r="E50" s="381">
        <f t="shared" si="0"/>
        <v>1.9486159471360977E-34</v>
      </c>
      <c r="G50" s="396">
        <v>42797</v>
      </c>
      <c r="H50" s="32">
        <v>1.94333</v>
      </c>
      <c r="O50" s="389">
        <v>1969</v>
      </c>
      <c r="P50" s="390">
        <v>-8.2413710764490639E-2</v>
      </c>
      <c r="Q50" s="391">
        <v>-5.0140493209926106E-2</v>
      </c>
      <c r="S50" s="396">
        <v>44139</v>
      </c>
      <c r="T50" s="390">
        <v>5.7340000000000002E-2</v>
      </c>
      <c r="U50" s="390">
        <v>2.8900000000000002E-2</v>
      </c>
      <c r="V50" s="405">
        <f t="shared" si="1"/>
        <v>2.764117018174761E-2</v>
      </c>
      <c r="X50" s="396">
        <v>44134</v>
      </c>
      <c r="Y50" s="405">
        <v>1.7000000000000001E-2</v>
      </c>
    </row>
    <row r="51" spans="2:25" x14ac:dyDescent="0.3">
      <c r="B51" s="379">
        <f t="shared" si="2"/>
        <v>1208</v>
      </c>
      <c r="C51" s="380">
        <v>42760</v>
      </c>
      <c r="D51" s="4">
        <v>2.5299999999999998</v>
      </c>
      <c r="E51" s="381">
        <f t="shared" si="0"/>
        <v>2.0729956884426575E-34</v>
      </c>
      <c r="G51" s="396">
        <v>42800</v>
      </c>
      <c r="H51" s="32">
        <v>1.9240200000000001</v>
      </c>
      <c r="O51" s="389">
        <v>1970</v>
      </c>
      <c r="P51" s="390">
        <v>3.5611449054964189E-2</v>
      </c>
      <c r="Q51" s="391">
        <v>0.16754737183412338</v>
      </c>
      <c r="S51" s="396">
        <v>44138</v>
      </c>
      <c r="T51" s="390">
        <v>5.7770000000000002E-2</v>
      </c>
      <c r="U51" s="390">
        <v>2.912E-2</v>
      </c>
      <c r="V51" s="405">
        <f t="shared" si="1"/>
        <v>2.7839319029850706E-2</v>
      </c>
      <c r="X51" s="396">
        <v>44133</v>
      </c>
      <c r="Y51" s="405">
        <v>1.7100000000000001E-2</v>
      </c>
    </row>
    <row r="52" spans="2:25" x14ac:dyDescent="0.3">
      <c r="B52" s="379">
        <f t="shared" si="2"/>
        <v>1207</v>
      </c>
      <c r="C52" s="380">
        <v>42761</v>
      </c>
      <c r="D52" s="4">
        <v>2.5099999999999998</v>
      </c>
      <c r="E52" s="381">
        <f t="shared" si="0"/>
        <v>2.2053145621730396E-34</v>
      </c>
      <c r="G52" s="396">
        <v>42801</v>
      </c>
      <c r="H52" s="32">
        <v>1.93868</v>
      </c>
      <c r="O52" s="389">
        <v>1971</v>
      </c>
      <c r="P52" s="390">
        <v>0.14221150298426474</v>
      </c>
      <c r="Q52" s="391">
        <v>9.7868966197122972E-2</v>
      </c>
      <c r="S52" s="396">
        <v>44137</v>
      </c>
      <c r="T52" s="390">
        <v>5.774E-2</v>
      </c>
      <c r="U52" s="390">
        <v>2.9180000000000001E-2</v>
      </c>
      <c r="V52" s="405">
        <f t="shared" si="1"/>
        <v>2.7750247770069292E-2</v>
      </c>
      <c r="X52" s="396">
        <v>44132</v>
      </c>
      <c r="Y52" s="405">
        <v>1.7000000000000001E-2</v>
      </c>
    </row>
    <row r="53" spans="2:25" x14ac:dyDescent="0.3">
      <c r="B53" s="379">
        <f t="shared" si="2"/>
        <v>1206</v>
      </c>
      <c r="C53" s="380">
        <v>42762</v>
      </c>
      <c r="D53" s="4">
        <v>2.4900000000000002</v>
      </c>
      <c r="E53" s="381">
        <f t="shared" si="0"/>
        <v>2.3460793214606808E-34</v>
      </c>
      <c r="G53" s="396">
        <v>42802</v>
      </c>
      <c r="H53" s="32">
        <v>2.0381100000000001</v>
      </c>
      <c r="O53" s="389">
        <v>1972</v>
      </c>
      <c r="P53" s="390">
        <v>0.18755362915074925</v>
      </c>
      <c r="Q53" s="391">
        <v>2.818449050444969E-2</v>
      </c>
      <c r="S53" s="396">
        <v>44134</v>
      </c>
      <c r="T53" s="390">
        <v>5.774E-2</v>
      </c>
      <c r="U53" s="390">
        <v>2.9180000000000001E-2</v>
      </c>
      <c r="V53" s="405">
        <f t="shared" si="1"/>
        <v>2.7750247770069292E-2</v>
      </c>
      <c r="X53" s="396">
        <v>44131</v>
      </c>
      <c r="Y53" s="405">
        <v>1.7100000000000001E-2</v>
      </c>
    </row>
    <row r="54" spans="2:25" x14ac:dyDescent="0.3">
      <c r="B54" s="379">
        <f t="shared" si="2"/>
        <v>1205</v>
      </c>
      <c r="C54" s="380">
        <v>42765</v>
      </c>
      <c r="D54" s="4">
        <v>2.4900000000000002</v>
      </c>
      <c r="E54" s="381">
        <f t="shared" si="0"/>
        <v>2.4958290653837028E-34</v>
      </c>
      <c r="G54" s="396">
        <v>42803</v>
      </c>
      <c r="H54" s="32">
        <v>2.0782500000000002</v>
      </c>
      <c r="O54" s="389">
        <v>1973</v>
      </c>
      <c r="P54" s="390">
        <v>-0.14308047437526472</v>
      </c>
      <c r="Q54" s="391">
        <v>3.6586646024150085E-2</v>
      </c>
      <c r="S54" s="396">
        <v>44133</v>
      </c>
      <c r="T54" s="390">
        <v>5.7930000000000002E-2</v>
      </c>
      <c r="U54" s="390">
        <v>2.9360000000000001E-2</v>
      </c>
      <c r="V54" s="405">
        <f t="shared" si="1"/>
        <v>2.7755109971244307E-2</v>
      </c>
      <c r="X54" s="396">
        <v>44130</v>
      </c>
      <c r="Y54" s="405">
        <v>1.72E-2</v>
      </c>
    </row>
    <row r="55" spans="2:25" x14ac:dyDescent="0.3">
      <c r="B55" s="379">
        <f t="shared" si="2"/>
        <v>1204</v>
      </c>
      <c r="C55" s="380">
        <v>42766</v>
      </c>
      <c r="D55" s="4">
        <v>2.4500000000000002</v>
      </c>
      <c r="E55" s="381">
        <f t="shared" si="0"/>
        <v>2.655137303599684E-34</v>
      </c>
      <c r="G55" s="396">
        <v>42804</v>
      </c>
      <c r="H55" s="32">
        <v>2.00474</v>
      </c>
      <c r="O55" s="389">
        <v>1974</v>
      </c>
      <c r="P55" s="390">
        <v>-0.25901785750896972</v>
      </c>
      <c r="Q55" s="391">
        <v>1.9886086932378574E-2</v>
      </c>
      <c r="S55" s="396">
        <v>44132</v>
      </c>
      <c r="T55" s="390">
        <v>5.8200000000000002E-2</v>
      </c>
      <c r="U55" s="390">
        <v>2.8580000000000001E-2</v>
      </c>
      <c r="V55" s="405">
        <f t="shared" si="1"/>
        <v>2.8796982247370151E-2</v>
      </c>
      <c r="X55" s="396">
        <v>44127</v>
      </c>
      <c r="Y55" s="405">
        <v>1.7500000000000002E-2</v>
      </c>
    </row>
    <row r="56" spans="2:25" x14ac:dyDescent="0.3">
      <c r="B56" s="379">
        <f t="shared" si="2"/>
        <v>1203</v>
      </c>
      <c r="C56" s="380">
        <v>42767</v>
      </c>
      <c r="D56" s="4">
        <v>2.48</v>
      </c>
      <c r="E56" s="381">
        <f t="shared" si="0"/>
        <v>2.824614152765621E-34</v>
      </c>
      <c r="G56" s="396">
        <v>42807</v>
      </c>
      <c r="H56" s="32">
        <v>2.00976</v>
      </c>
      <c r="O56" s="389">
        <v>1975</v>
      </c>
      <c r="P56" s="390">
        <v>0.36995137106184356</v>
      </c>
      <c r="Q56" s="391">
        <v>3.6052536026033838E-2</v>
      </c>
      <c r="S56" s="396">
        <v>44131</v>
      </c>
      <c r="T56" s="390">
        <v>5.7579999999999999E-2</v>
      </c>
      <c r="U56" s="390">
        <v>2.896E-2</v>
      </c>
      <c r="V56" s="405">
        <f t="shared" si="1"/>
        <v>2.7814492302907556E-2</v>
      </c>
      <c r="X56" s="396">
        <v>44126</v>
      </c>
      <c r="Y56" s="405">
        <v>1.7600000000000001E-2</v>
      </c>
    </row>
    <row r="57" spans="2:25" x14ac:dyDescent="0.3">
      <c r="B57" s="379">
        <f t="shared" si="2"/>
        <v>1202</v>
      </c>
      <c r="C57" s="380">
        <v>42768</v>
      </c>
      <c r="D57" s="4">
        <v>2.48</v>
      </c>
      <c r="E57" s="381">
        <f t="shared" si="0"/>
        <v>3.0049086731549164E-34</v>
      </c>
      <c r="G57" s="396">
        <v>42808</v>
      </c>
      <c r="H57" s="32">
        <v>2.0907300000000002</v>
      </c>
      <c r="O57" s="389">
        <v>1976</v>
      </c>
      <c r="P57" s="390">
        <v>0.23830999002106662</v>
      </c>
      <c r="Q57" s="391">
        <v>0.1598456074290921</v>
      </c>
      <c r="S57" s="396">
        <v>44130</v>
      </c>
      <c r="T57" s="390">
        <v>5.79E-2</v>
      </c>
      <c r="U57" s="390">
        <v>2.8500000000000001E-2</v>
      </c>
      <c r="V57" s="405">
        <f t="shared" si="1"/>
        <v>2.858531842489076E-2</v>
      </c>
      <c r="X57" s="396">
        <v>44125</v>
      </c>
      <c r="Y57" s="405">
        <v>1.7399999999999999E-2</v>
      </c>
    </row>
    <row r="58" spans="2:25" x14ac:dyDescent="0.3">
      <c r="B58" s="379">
        <f t="shared" si="2"/>
        <v>1201</v>
      </c>
      <c r="C58" s="380">
        <v>42769</v>
      </c>
      <c r="D58" s="4">
        <v>2.4900000000000002</v>
      </c>
      <c r="E58" s="381">
        <f t="shared" si="0"/>
        <v>3.1967113544201243E-34</v>
      </c>
      <c r="G58" s="396">
        <v>42809</v>
      </c>
      <c r="H58" s="32">
        <v>2.0546799999999998</v>
      </c>
      <c r="O58" s="389">
        <v>1977</v>
      </c>
      <c r="P58" s="390">
        <v>-6.9797040759352322E-2</v>
      </c>
      <c r="Q58" s="391">
        <v>1.2899606071070449E-2</v>
      </c>
      <c r="S58" s="396">
        <v>44127</v>
      </c>
      <c r="T58" s="390">
        <v>5.7000000000000002E-2</v>
      </c>
      <c r="U58" s="390">
        <v>3.041E-2</v>
      </c>
      <c r="V58" s="405">
        <f t="shared" si="1"/>
        <v>2.5805261983093963E-2</v>
      </c>
      <c r="X58" s="396">
        <v>44124</v>
      </c>
      <c r="Y58" s="405">
        <v>1.72E-2</v>
      </c>
    </row>
    <row r="59" spans="2:25" x14ac:dyDescent="0.3">
      <c r="B59" s="379">
        <f t="shared" si="2"/>
        <v>1200</v>
      </c>
      <c r="C59" s="380">
        <v>42772</v>
      </c>
      <c r="D59" s="4">
        <v>2.42</v>
      </c>
      <c r="E59" s="381">
        <f t="shared" si="0"/>
        <v>3.4007567600214081E-34</v>
      </c>
      <c r="G59" s="396">
        <v>42810</v>
      </c>
      <c r="H59" s="32">
        <v>1.9645900000000001</v>
      </c>
      <c r="O59" s="389">
        <v>1978</v>
      </c>
      <c r="P59" s="390">
        <v>6.50928391167193E-2</v>
      </c>
      <c r="Q59" s="391">
        <v>-7.7758069075086478E-3</v>
      </c>
      <c r="S59" s="396">
        <v>44126</v>
      </c>
      <c r="T59" s="390">
        <v>5.7149999999999999E-2</v>
      </c>
      <c r="U59" s="390">
        <v>3.041E-2</v>
      </c>
      <c r="V59" s="405">
        <f t="shared" si="1"/>
        <v>2.5950835104473047E-2</v>
      </c>
      <c r="X59" s="396">
        <v>44123</v>
      </c>
      <c r="Y59" s="405">
        <v>1.7100000000000001E-2</v>
      </c>
    </row>
    <row r="60" spans="2:25" x14ac:dyDescent="0.3">
      <c r="B60" s="379">
        <f t="shared" si="2"/>
        <v>1199</v>
      </c>
      <c r="C60" s="380">
        <v>42773</v>
      </c>
      <c r="D60" s="4">
        <v>2.4</v>
      </c>
      <c r="E60" s="381">
        <f t="shared" si="0"/>
        <v>3.6178263404483066E-34</v>
      </c>
      <c r="G60" s="396">
        <v>42811</v>
      </c>
      <c r="H60" s="32">
        <v>1.9172499999999999</v>
      </c>
      <c r="O60" s="389">
        <v>1979</v>
      </c>
      <c r="P60" s="390">
        <v>0.18519490167516386</v>
      </c>
      <c r="Q60" s="391">
        <v>6.7072031247235459E-3</v>
      </c>
      <c r="S60" s="396">
        <v>44125</v>
      </c>
      <c r="T60" s="390">
        <v>5.7210000000000004E-2</v>
      </c>
      <c r="U60" s="390">
        <v>2.9950000000000001E-2</v>
      </c>
      <c r="V60" s="405">
        <f t="shared" si="1"/>
        <v>2.6467304238069866E-2</v>
      </c>
      <c r="X60" s="396">
        <v>44120</v>
      </c>
      <c r="Y60" s="405">
        <v>1.7100000000000001E-2</v>
      </c>
    </row>
    <row r="61" spans="2:25" x14ac:dyDescent="0.3">
      <c r="B61" s="379">
        <f t="shared" si="2"/>
        <v>1198</v>
      </c>
      <c r="C61" s="380">
        <v>42774</v>
      </c>
      <c r="D61" s="4">
        <v>2.34</v>
      </c>
      <c r="E61" s="381">
        <f t="shared" si="0"/>
        <v>3.8487514260088373E-34</v>
      </c>
      <c r="G61" s="396">
        <v>42814</v>
      </c>
      <c r="H61" s="32">
        <v>1.92333</v>
      </c>
      <c r="O61" s="389">
        <v>1980</v>
      </c>
      <c r="P61" s="390">
        <v>0.3173524550676301</v>
      </c>
      <c r="Q61" s="391">
        <v>-2.989744251999403E-2</v>
      </c>
      <c r="S61" s="396">
        <v>44124</v>
      </c>
      <c r="T61" s="390">
        <v>5.6820000000000002E-2</v>
      </c>
      <c r="U61" s="390">
        <v>2.9950000000000001E-2</v>
      </c>
      <c r="V61" s="405">
        <f t="shared" si="1"/>
        <v>2.6088645079858308E-2</v>
      </c>
      <c r="X61" s="396">
        <v>44119</v>
      </c>
      <c r="Y61" s="405">
        <v>1.6899999999999998E-2</v>
      </c>
    </row>
    <row r="62" spans="2:25" x14ac:dyDescent="0.3">
      <c r="B62" s="379">
        <f t="shared" si="2"/>
        <v>1197</v>
      </c>
      <c r="C62" s="380">
        <v>42775</v>
      </c>
      <c r="D62" s="4">
        <v>2.4</v>
      </c>
      <c r="E62" s="381">
        <f t="shared" si="0"/>
        <v>4.0944164106476986E-34</v>
      </c>
      <c r="G62" s="396">
        <v>42815</v>
      </c>
      <c r="H62" s="32">
        <v>1.9463999999999999</v>
      </c>
      <c r="O62" s="389">
        <v>1981</v>
      </c>
      <c r="P62" s="390">
        <v>-4.7023902474955762E-2</v>
      </c>
      <c r="Q62" s="391">
        <v>8.1992153358923542E-2</v>
      </c>
      <c r="S62" s="396">
        <v>44123</v>
      </c>
      <c r="T62" s="390">
        <v>5.6219999999999999E-2</v>
      </c>
      <c r="U62" s="390">
        <v>3.0040000000000001E-2</v>
      </c>
      <c r="V62" s="405">
        <f t="shared" si="1"/>
        <v>2.5416488680051197E-2</v>
      </c>
      <c r="X62" s="396">
        <v>44118</v>
      </c>
      <c r="Y62" s="405">
        <v>1.6899999999999998E-2</v>
      </c>
    </row>
    <row r="63" spans="2:25" x14ac:dyDescent="0.3">
      <c r="B63" s="379">
        <f t="shared" si="2"/>
        <v>1196</v>
      </c>
      <c r="C63" s="380">
        <v>42776</v>
      </c>
      <c r="D63" s="4">
        <v>2.41</v>
      </c>
      <c r="E63" s="381">
        <f t="shared" si="0"/>
        <v>4.3557621389869144E-34</v>
      </c>
      <c r="G63" s="396">
        <v>42816</v>
      </c>
      <c r="H63" s="32">
        <v>1.9846299999999999</v>
      </c>
      <c r="O63" s="389">
        <v>1982</v>
      </c>
      <c r="P63" s="390">
        <v>0.20419055079559353</v>
      </c>
      <c r="Q63" s="391">
        <v>0.32814549486295586</v>
      </c>
      <c r="S63" s="396">
        <v>44120</v>
      </c>
      <c r="T63" s="390">
        <v>5.6120000000000003E-2</v>
      </c>
      <c r="U63" s="390">
        <v>3.0030000000000001E-2</v>
      </c>
      <c r="V63" s="405">
        <f t="shared" si="1"/>
        <v>2.532935933904823E-2</v>
      </c>
      <c r="X63" s="396">
        <v>44117</v>
      </c>
      <c r="Y63" s="405">
        <v>1.7000000000000001E-2</v>
      </c>
    </row>
    <row r="64" spans="2:25" x14ac:dyDescent="0.3">
      <c r="B64" s="379">
        <f t="shared" si="2"/>
        <v>1195</v>
      </c>
      <c r="C64" s="380">
        <v>42779</v>
      </c>
      <c r="D64" s="4">
        <v>2.4300000000000002</v>
      </c>
      <c r="E64" s="381">
        <f t="shared" si="0"/>
        <v>4.6337895095605471E-34</v>
      </c>
      <c r="G64" s="396">
        <v>42817</v>
      </c>
      <c r="H64" s="32">
        <v>1.93605</v>
      </c>
      <c r="O64" s="389">
        <v>1983</v>
      </c>
      <c r="P64" s="390">
        <v>0.22337155858930619</v>
      </c>
      <c r="Q64" s="391">
        <v>3.2002094451429264E-2</v>
      </c>
      <c r="S64" s="396">
        <v>44119</v>
      </c>
      <c r="T64" s="390">
        <v>5.5890000000000002E-2</v>
      </c>
      <c r="U64" s="390">
        <v>2.9210000000000003E-2</v>
      </c>
      <c r="V64" s="405">
        <f t="shared" si="1"/>
        <v>2.5922795153564326E-2</v>
      </c>
      <c r="X64" s="396">
        <v>44113</v>
      </c>
      <c r="Y64" s="405">
        <v>1.7299999999999999E-2</v>
      </c>
    </row>
    <row r="65" spans="2:25" x14ac:dyDescent="0.3">
      <c r="B65" s="379">
        <f t="shared" si="2"/>
        <v>1194</v>
      </c>
      <c r="C65" s="380">
        <v>42780</v>
      </c>
      <c r="D65" s="4">
        <v>2.4700000000000002</v>
      </c>
      <c r="E65" s="381">
        <f t="shared" si="0"/>
        <v>4.9295633080431357E-34</v>
      </c>
      <c r="G65" s="396">
        <v>42818</v>
      </c>
      <c r="H65" s="32">
        <v>1.8906499999999999</v>
      </c>
      <c r="O65" s="389">
        <v>1984</v>
      </c>
      <c r="P65" s="390">
        <v>6.14614199963621E-2</v>
      </c>
      <c r="Q65" s="391">
        <v>0.13733364344102345</v>
      </c>
      <c r="S65" s="396">
        <v>44118</v>
      </c>
      <c r="T65" s="390">
        <v>5.6509999999999998E-2</v>
      </c>
      <c r="U65" s="390">
        <v>3.0179999999999998E-2</v>
      </c>
      <c r="V65" s="405">
        <f t="shared" si="1"/>
        <v>2.5558640237628438E-2</v>
      </c>
      <c r="X65" s="396">
        <v>44112</v>
      </c>
      <c r="Y65" s="405">
        <v>1.72E-2</v>
      </c>
    </row>
    <row r="66" spans="2:25" x14ac:dyDescent="0.3">
      <c r="B66" s="379">
        <f t="shared" si="2"/>
        <v>1193</v>
      </c>
      <c r="C66" s="380">
        <v>42781</v>
      </c>
      <c r="D66" s="4">
        <v>2.5099999999999998</v>
      </c>
      <c r="E66" s="381">
        <f t="shared" si="0"/>
        <v>5.2442162851522715E-34</v>
      </c>
      <c r="G66" s="396">
        <v>42821</v>
      </c>
      <c r="H66" s="32">
        <v>1.8641300000000001</v>
      </c>
      <c r="O66" s="389">
        <v>1985</v>
      </c>
      <c r="P66" s="390">
        <v>0.31235149485768948</v>
      </c>
      <c r="Q66" s="391">
        <v>0.2571248821260641</v>
      </c>
      <c r="S66" s="396">
        <v>44117</v>
      </c>
      <c r="T66" s="390">
        <v>5.6420000000000005E-2</v>
      </c>
      <c r="U66" s="390">
        <v>3.0670000000000003E-2</v>
      </c>
      <c r="V66" s="405">
        <f t="shared" si="1"/>
        <v>2.4983748435483566E-2</v>
      </c>
      <c r="X66" s="396">
        <v>44111</v>
      </c>
      <c r="Y66" s="405">
        <v>1.7100000000000001E-2</v>
      </c>
    </row>
    <row r="67" spans="2:25" x14ac:dyDescent="0.3">
      <c r="B67" s="379">
        <f t="shared" si="2"/>
        <v>1192</v>
      </c>
      <c r="C67" s="380">
        <v>42782</v>
      </c>
      <c r="D67" s="4">
        <v>2.4500000000000002</v>
      </c>
      <c r="E67" s="381">
        <f t="shared" si="0"/>
        <v>5.5789534948428417E-34</v>
      </c>
      <c r="G67" s="396">
        <v>42822</v>
      </c>
      <c r="H67" s="32">
        <v>1.8256300000000001</v>
      </c>
      <c r="O67" s="389">
        <v>1986</v>
      </c>
      <c r="P67" s="390">
        <v>0.18494578758046187</v>
      </c>
      <c r="Q67" s="391">
        <v>0.24284215141767618</v>
      </c>
      <c r="S67" s="396">
        <v>44116</v>
      </c>
      <c r="T67" s="390">
        <v>6.0909999999999999E-2</v>
      </c>
      <c r="U67" s="390">
        <v>2.9790000000000001E-2</v>
      </c>
      <c r="V67" s="405">
        <f t="shared" si="1"/>
        <v>3.0219753541984362E-2</v>
      </c>
      <c r="X67" s="396">
        <v>44110</v>
      </c>
      <c r="Y67" s="405">
        <v>1.66E-2</v>
      </c>
    </row>
    <row r="68" spans="2:25" x14ac:dyDescent="0.3">
      <c r="B68" s="379">
        <f t="shared" si="2"/>
        <v>1191</v>
      </c>
      <c r="C68" s="380">
        <v>42783</v>
      </c>
      <c r="D68" s="4">
        <v>2.42</v>
      </c>
      <c r="E68" s="381">
        <f t="shared" si="0"/>
        <v>5.9350569094072796E-34</v>
      </c>
      <c r="G68" s="396">
        <v>42823</v>
      </c>
      <c r="H68" s="32">
        <v>1.8448500000000001</v>
      </c>
      <c r="O68" s="389">
        <v>1987</v>
      </c>
      <c r="P68" s="390">
        <v>5.8127216418218712E-2</v>
      </c>
      <c r="Q68" s="391">
        <v>-4.9605089379262279E-2</v>
      </c>
      <c r="S68" s="396">
        <v>44113</v>
      </c>
      <c r="T68" s="390">
        <v>6.0909999999999999E-2</v>
      </c>
      <c r="U68" s="390">
        <v>2.9790000000000001E-2</v>
      </c>
      <c r="V68" s="405">
        <f t="shared" si="1"/>
        <v>3.0219753541984362E-2</v>
      </c>
      <c r="X68" s="396">
        <v>44109</v>
      </c>
      <c r="Y68" s="405">
        <v>1.6799999999999999E-2</v>
      </c>
    </row>
    <row r="69" spans="2:25" x14ac:dyDescent="0.3">
      <c r="B69" s="379">
        <f t="shared" si="2"/>
        <v>1190</v>
      </c>
      <c r="C69" s="380">
        <v>42787</v>
      </c>
      <c r="D69" s="4">
        <v>2.4300000000000002</v>
      </c>
      <c r="E69" s="381">
        <f t="shared" si="0"/>
        <v>6.3138903291566808E-34</v>
      </c>
      <c r="G69" s="396">
        <v>42824</v>
      </c>
      <c r="H69" s="32">
        <v>1.88442</v>
      </c>
      <c r="O69" s="389">
        <v>1988</v>
      </c>
      <c r="P69" s="390">
        <v>0.16537192812044688</v>
      </c>
      <c r="Q69" s="391">
        <v>8.2235958434841674E-2</v>
      </c>
      <c r="S69" s="396">
        <v>44112</v>
      </c>
      <c r="T69" s="390">
        <v>6.0909999999999999E-2</v>
      </c>
      <c r="U69" s="390">
        <v>3.0640000000000001E-2</v>
      </c>
      <c r="V69" s="405">
        <f t="shared" si="1"/>
        <v>2.9370100131956844E-2</v>
      </c>
      <c r="X69" s="396">
        <v>44106</v>
      </c>
      <c r="Y69" s="405">
        <v>1.6399999999999998E-2</v>
      </c>
    </row>
    <row r="70" spans="2:25" x14ac:dyDescent="0.3">
      <c r="B70" s="379">
        <f t="shared" si="2"/>
        <v>1189</v>
      </c>
      <c r="C70" s="380">
        <v>42788</v>
      </c>
      <c r="D70" s="4">
        <v>2.42</v>
      </c>
      <c r="E70" s="381">
        <f t="shared" si="0"/>
        <v>6.7169046054858288E-34</v>
      </c>
      <c r="G70" s="396">
        <v>42825</v>
      </c>
      <c r="H70" s="32">
        <v>1.9214</v>
      </c>
      <c r="O70" s="389">
        <v>1989</v>
      </c>
      <c r="P70" s="390">
        <v>0.31475183638196724</v>
      </c>
      <c r="Q70" s="391">
        <v>0.17693647159446219</v>
      </c>
      <c r="S70" s="396">
        <v>44111</v>
      </c>
      <c r="T70" s="390">
        <v>6.0909999999999999E-2</v>
      </c>
      <c r="U70" s="390">
        <v>3.0839999999999999E-2</v>
      </c>
      <c r="V70" s="405">
        <f t="shared" si="1"/>
        <v>2.9170385316829028E-2</v>
      </c>
      <c r="X70" s="396">
        <v>44105</v>
      </c>
      <c r="Y70" s="405">
        <v>1.6299999999999999E-2</v>
      </c>
    </row>
    <row r="71" spans="2:25" x14ac:dyDescent="0.3">
      <c r="B71" s="379">
        <f t="shared" si="2"/>
        <v>1188</v>
      </c>
      <c r="C71" s="380">
        <v>42789</v>
      </c>
      <c r="D71" s="4">
        <v>2.38</v>
      </c>
      <c r="E71" s="381">
        <f t="shared" si="0"/>
        <v>7.1456431973253519E-34</v>
      </c>
      <c r="G71" s="396">
        <v>42828</v>
      </c>
      <c r="H71" s="32">
        <v>1.9643600000000001</v>
      </c>
      <c r="O71" s="389">
        <v>1990</v>
      </c>
      <c r="P71" s="390">
        <v>-3.0644516129032118E-2</v>
      </c>
      <c r="Q71" s="391">
        <v>6.2353753335533363E-2</v>
      </c>
      <c r="S71" s="396">
        <v>44110</v>
      </c>
      <c r="T71" s="390">
        <v>6.0909999999999999E-2</v>
      </c>
      <c r="U71" s="390">
        <v>3.0839999999999999E-2</v>
      </c>
      <c r="V71" s="405">
        <f t="shared" si="1"/>
        <v>2.9170385316829028E-2</v>
      </c>
      <c r="X71" s="396">
        <v>44104</v>
      </c>
      <c r="Y71" s="405">
        <v>1.6299999999999999E-2</v>
      </c>
    </row>
    <row r="72" spans="2:25" x14ac:dyDescent="0.3">
      <c r="B72" s="379">
        <f t="shared" si="2"/>
        <v>1187</v>
      </c>
      <c r="C72" s="380">
        <v>42790</v>
      </c>
      <c r="D72" s="4">
        <v>2.31</v>
      </c>
      <c r="E72" s="381">
        <f t="shared" si="0"/>
        <v>7.6017480822610118E-34</v>
      </c>
      <c r="G72" s="396">
        <v>42829</v>
      </c>
      <c r="H72" s="32">
        <v>1.9470400000000001</v>
      </c>
      <c r="O72" s="389">
        <v>1991</v>
      </c>
      <c r="P72" s="390">
        <v>0.30234843134879757</v>
      </c>
      <c r="Q72" s="391">
        <v>0.15004510019517303</v>
      </c>
      <c r="S72" s="396">
        <v>44109</v>
      </c>
      <c r="T72" s="390">
        <v>6.0909999999999999E-2</v>
      </c>
      <c r="U72" s="390">
        <v>3.0849999999999999E-2</v>
      </c>
      <c r="V72" s="405">
        <f t="shared" si="1"/>
        <v>2.9160401610321518E-2</v>
      </c>
      <c r="X72" s="396">
        <v>44103</v>
      </c>
      <c r="Y72" s="405">
        <v>1.6399999999999998E-2</v>
      </c>
    </row>
    <row r="73" spans="2:25" x14ac:dyDescent="0.3">
      <c r="B73" s="379">
        <f t="shared" si="2"/>
        <v>1186</v>
      </c>
      <c r="C73" s="380">
        <v>42793</v>
      </c>
      <c r="D73" s="4">
        <v>2.36</v>
      </c>
      <c r="E73" s="381">
        <f t="shared" ref="E73:E136" si="3">+(1-$C$4)*$C$4^B73</f>
        <v>8.0869660449585229E-34</v>
      </c>
      <c r="G73" s="396">
        <v>42830</v>
      </c>
      <c r="H73" s="32">
        <v>1.94163</v>
      </c>
      <c r="O73" s="389">
        <v>1992</v>
      </c>
      <c r="P73" s="390">
        <v>7.493727972380064E-2</v>
      </c>
      <c r="Q73" s="391">
        <v>9.3616373162079422E-2</v>
      </c>
      <c r="S73" s="396">
        <v>44106</v>
      </c>
      <c r="T73" s="390">
        <v>6.0909999999999999E-2</v>
      </c>
      <c r="U73" s="390">
        <v>3.0759999999999999E-2</v>
      </c>
      <c r="V73" s="405">
        <f t="shared" ref="V73:V136" si="4">(1+T73)/(1+U73)-1</f>
        <v>2.9250261942644462E-2</v>
      </c>
      <c r="X73" s="396">
        <v>44102</v>
      </c>
      <c r="Y73" s="405">
        <v>1.61E-2</v>
      </c>
    </row>
    <row r="74" spans="2:25" x14ac:dyDescent="0.3">
      <c r="B74" s="379">
        <f t="shared" si="2"/>
        <v>1185</v>
      </c>
      <c r="C74" s="380">
        <v>42794</v>
      </c>
      <c r="D74" s="4">
        <v>2.36</v>
      </c>
      <c r="E74" s="381">
        <f t="shared" si="3"/>
        <v>8.6031553669771536E-34</v>
      </c>
      <c r="G74" s="396">
        <v>42831</v>
      </c>
      <c r="H74" s="32">
        <v>1.9569099999999999</v>
      </c>
      <c r="O74" s="389">
        <v>1993</v>
      </c>
      <c r="P74" s="390">
        <v>9.96705147919488E-2</v>
      </c>
      <c r="Q74" s="391">
        <v>0.14210957589263107</v>
      </c>
      <c r="S74" s="396">
        <v>44105</v>
      </c>
      <c r="T74" s="390">
        <v>6.0909999999999999E-2</v>
      </c>
      <c r="U74" s="390">
        <v>2.9559999999999999E-2</v>
      </c>
      <c r="V74" s="405">
        <f t="shared" si="4"/>
        <v>3.0449900928551932E-2</v>
      </c>
      <c r="X74" s="396">
        <v>44099</v>
      </c>
      <c r="Y74" s="405">
        <v>1.5800000000000002E-2</v>
      </c>
    </row>
    <row r="75" spans="2:25" x14ac:dyDescent="0.3">
      <c r="B75" s="379">
        <f t="shared" ref="B75:B138" si="5">+B74-1</f>
        <v>1184</v>
      </c>
      <c r="C75" s="380">
        <v>42795</v>
      </c>
      <c r="D75" s="4">
        <v>2.46</v>
      </c>
      <c r="E75" s="381">
        <f t="shared" si="3"/>
        <v>9.152292943592717E-34</v>
      </c>
      <c r="G75" s="396">
        <v>42832</v>
      </c>
      <c r="H75" s="32">
        <v>1.9395100000000001</v>
      </c>
      <c r="O75" s="389">
        <v>1994</v>
      </c>
      <c r="P75" s="390">
        <v>1.3259206774573897E-2</v>
      </c>
      <c r="Q75" s="391">
        <v>-8.0366555509985921E-2</v>
      </c>
      <c r="S75" s="396">
        <v>44104</v>
      </c>
      <c r="T75" s="390">
        <v>6.0909999999999999E-2</v>
      </c>
      <c r="U75" s="390">
        <v>3.0130000000000001E-2</v>
      </c>
      <c r="V75" s="405">
        <f t="shared" si="4"/>
        <v>2.9879723918340373E-2</v>
      </c>
      <c r="X75" s="396">
        <v>44098</v>
      </c>
      <c r="Y75" s="405">
        <v>1.5800000000000002E-2</v>
      </c>
    </row>
    <row r="76" spans="2:25" x14ac:dyDescent="0.3">
      <c r="B76" s="379">
        <f t="shared" si="5"/>
        <v>1183</v>
      </c>
      <c r="C76" s="380">
        <v>42796</v>
      </c>
      <c r="D76" s="4">
        <v>2.4900000000000002</v>
      </c>
      <c r="E76" s="381">
        <f t="shared" si="3"/>
        <v>9.7364818548858678E-34</v>
      </c>
      <c r="G76" s="396">
        <v>42835</v>
      </c>
      <c r="H76" s="32">
        <v>1.96719</v>
      </c>
      <c r="O76" s="389">
        <v>1995</v>
      </c>
      <c r="P76" s="390">
        <v>0.37195198902606308</v>
      </c>
      <c r="Q76" s="391">
        <v>0.23480780112538907</v>
      </c>
      <c r="S76" s="396">
        <v>44103</v>
      </c>
      <c r="T76" s="390">
        <v>6.0909999999999999E-2</v>
      </c>
      <c r="U76" s="390">
        <v>3.0270000000000002E-2</v>
      </c>
      <c r="V76" s="405">
        <f t="shared" si="4"/>
        <v>2.9739776951672958E-2</v>
      </c>
      <c r="X76" s="396">
        <v>44097</v>
      </c>
      <c r="Y76" s="405">
        <v>1.6E-2</v>
      </c>
    </row>
    <row r="77" spans="2:25" x14ac:dyDescent="0.3">
      <c r="B77" s="379">
        <f t="shared" si="5"/>
        <v>1182</v>
      </c>
      <c r="C77" s="380">
        <v>42797</v>
      </c>
      <c r="D77" s="4">
        <v>2.4900000000000002</v>
      </c>
      <c r="E77" s="381">
        <f t="shared" si="3"/>
        <v>1.035795942009135E-33</v>
      </c>
      <c r="G77" s="396">
        <v>42836</v>
      </c>
      <c r="H77" s="32">
        <v>2.01105</v>
      </c>
      <c r="O77" s="389">
        <v>1996</v>
      </c>
      <c r="P77" s="390">
        <v>0.22680966018865789</v>
      </c>
      <c r="Q77" s="391">
        <v>1.428607793401844E-2</v>
      </c>
      <c r="S77" s="396">
        <v>44102</v>
      </c>
      <c r="T77" s="390">
        <v>6.0909999999999999E-2</v>
      </c>
      <c r="U77" s="390">
        <v>3.0939999999999999E-2</v>
      </c>
      <c r="V77" s="405">
        <f t="shared" si="4"/>
        <v>2.9070556967427885E-2</v>
      </c>
      <c r="X77" s="396">
        <v>44096</v>
      </c>
      <c r="Y77" s="405">
        <v>1.6200000000000003E-2</v>
      </c>
    </row>
    <row r="78" spans="2:25" x14ac:dyDescent="0.3">
      <c r="B78" s="379">
        <f t="shared" si="5"/>
        <v>1181</v>
      </c>
      <c r="C78" s="380">
        <v>42800</v>
      </c>
      <c r="D78" s="4">
        <v>2.4900000000000002</v>
      </c>
      <c r="E78" s="381">
        <f t="shared" si="3"/>
        <v>1.1019105766054625E-33</v>
      </c>
      <c r="G78" s="396">
        <v>42837</v>
      </c>
      <c r="H78" s="32">
        <v>2.0095499999999999</v>
      </c>
      <c r="O78" s="389">
        <v>1997</v>
      </c>
      <c r="P78" s="390">
        <v>0.33103653103653097</v>
      </c>
      <c r="Q78" s="391">
        <v>9.939130272977531E-2</v>
      </c>
      <c r="S78" s="396">
        <v>44099</v>
      </c>
      <c r="T78" s="390">
        <v>6.0909999999999999E-2</v>
      </c>
      <c r="U78" s="390">
        <v>3.0899999999999997E-2</v>
      </c>
      <c r="V78" s="405">
        <f t="shared" si="4"/>
        <v>2.9110485983121714E-2</v>
      </c>
      <c r="X78" s="396">
        <v>44095</v>
      </c>
      <c r="Y78" s="405">
        <v>1.6200000000000003E-2</v>
      </c>
    </row>
    <row r="79" spans="2:25" x14ac:dyDescent="0.3">
      <c r="B79" s="379">
        <f t="shared" si="5"/>
        <v>1180</v>
      </c>
      <c r="C79" s="380">
        <v>42801</v>
      </c>
      <c r="D79" s="4">
        <v>2.52</v>
      </c>
      <c r="E79" s="381">
        <f t="shared" si="3"/>
        <v>1.1722452942611306E-33</v>
      </c>
      <c r="G79" s="396">
        <v>42838</v>
      </c>
      <c r="H79" s="32">
        <v>2.0120800000000001</v>
      </c>
      <c r="O79" s="389">
        <v>1998</v>
      </c>
      <c r="P79" s="390">
        <v>0.28337953278443584</v>
      </c>
      <c r="Q79" s="391">
        <v>0.14921431922606215</v>
      </c>
      <c r="S79" s="396">
        <v>44098</v>
      </c>
      <c r="T79" s="390">
        <v>6.0909999999999999E-2</v>
      </c>
      <c r="U79" s="390">
        <v>3.057E-2</v>
      </c>
      <c r="V79" s="405">
        <f t="shared" si="4"/>
        <v>2.9440018630466636E-2</v>
      </c>
      <c r="X79" s="396">
        <v>44092</v>
      </c>
      <c r="Y79" s="405">
        <v>1.67E-2</v>
      </c>
    </row>
    <row r="80" spans="2:25" x14ac:dyDescent="0.3">
      <c r="B80" s="379">
        <f t="shared" si="5"/>
        <v>1179</v>
      </c>
      <c r="C80" s="380">
        <v>42802</v>
      </c>
      <c r="D80" s="4">
        <v>2.57</v>
      </c>
      <c r="E80" s="381">
        <f t="shared" si="3"/>
        <v>1.2470694619799261E-33</v>
      </c>
      <c r="G80" s="396">
        <v>42842</v>
      </c>
      <c r="H80" s="32">
        <v>1.98437</v>
      </c>
      <c r="O80" s="389">
        <v>1999</v>
      </c>
      <c r="P80" s="390">
        <v>0.20885350992084475</v>
      </c>
      <c r="Q80" s="391">
        <v>-8.2542147962685761E-2</v>
      </c>
      <c r="S80" s="396">
        <v>44097</v>
      </c>
      <c r="T80" s="390">
        <v>6.0909999999999999E-2</v>
      </c>
      <c r="U80" s="390">
        <v>3.2259999999999997E-2</v>
      </c>
      <c r="V80" s="405">
        <f t="shared" si="4"/>
        <v>2.775463546005863E-2</v>
      </c>
      <c r="X80" s="396">
        <v>44091</v>
      </c>
      <c r="Y80" s="405">
        <v>1.66E-2</v>
      </c>
    </row>
    <row r="81" spans="2:25" x14ac:dyDescent="0.3">
      <c r="B81" s="379">
        <f t="shared" si="5"/>
        <v>1178</v>
      </c>
      <c r="C81" s="380">
        <v>42803</v>
      </c>
      <c r="D81" s="4">
        <v>2.6</v>
      </c>
      <c r="E81" s="381">
        <f t="shared" si="3"/>
        <v>1.3266696404041767E-33</v>
      </c>
      <c r="G81" s="396">
        <v>42843</v>
      </c>
      <c r="H81" s="32">
        <v>2.0335399999999999</v>
      </c>
      <c r="O81" s="389">
        <v>2000</v>
      </c>
      <c r="P81" s="390">
        <v>-9.0318189552492781E-2</v>
      </c>
      <c r="Q81" s="391">
        <v>0.16655267125397488</v>
      </c>
      <c r="S81" s="396">
        <v>44096</v>
      </c>
      <c r="T81" s="390">
        <v>6.0909999999999999E-2</v>
      </c>
      <c r="U81" s="390">
        <v>3.107E-2</v>
      </c>
      <c r="V81" s="405">
        <f t="shared" si="4"/>
        <v>2.894080906243035E-2</v>
      </c>
      <c r="X81" s="396">
        <v>44090</v>
      </c>
      <c r="Y81" s="405">
        <v>1.6799999999999999E-2</v>
      </c>
    </row>
    <row r="82" spans="2:25" x14ac:dyDescent="0.3">
      <c r="B82" s="379">
        <f t="shared" si="5"/>
        <v>1177</v>
      </c>
      <c r="C82" s="380">
        <v>42804</v>
      </c>
      <c r="D82" s="4">
        <v>2.58</v>
      </c>
      <c r="E82" s="381">
        <f t="shared" si="3"/>
        <v>1.4113506812810393E-33</v>
      </c>
      <c r="G82" s="396">
        <v>42844</v>
      </c>
      <c r="H82" s="32">
        <v>1.9838899999999999</v>
      </c>
      <c r="O82" s="389">
        <v>2001</v>
      </c>
      <c r="P82" s="390">
        <v>-0.11849759142000185</v>
      </c>
      <c r="Q82" s="391">
        <v>5.5721811892492555E-2</v>
      </c>
      <c r="S82" s="396">
        <v>44095</v>
      </c>
      <c r="T82" s="390">
        <v>6.0909999999999999E-2</v>
      </c>
      <c r="U82" s="390">
        <v>3.1509999999999996E-2</v>
      </c>
      <c r="V82" s="405">
        <f t="shared" si="4"/>
        <v>2.8501904974261194E-2</v>
      </c>
      <c r="X82" s="396">
        <v>44089</v>
      </c>
      <c r="Y82" s="405">
        <v>1.67E-2</v>
      </c>
    </row>
    <row r="83" spans="2:25" x14ac:dyDescent="0.3">
      <c r="B83" s="379">
        <f t="shared" si="5"/>
        <v>1176</v>
      </c>
      <c r="C83" s="380">
        <v>42807</v>
      </c>
      <c r="D83" s="4">
        <v>2.62</v>
      </c>
      <c r="E83" s="381">
        <f t="shared" si="3"/>
        <v>1.501436894979829E-33</v>
      </c>
      <c r="G83" s="396">
        <v>42845</v>
      </c>
      <c r="H83" s="32">
        <v>1.9816</v>
      </c>
      <c r="O83" s="389">
        <v>2002</v>
      </c>
      <c r="P83" s="390">
        <v>-0.21966047957912699</v>
      </c>
      <c r="Q83" s="391">
        <v>0.15116400378109285</v>
      </c>
      <c r="S83" s="396">
        <v>44092</v>
      </c>
      <c r="T83" s="390">
        <v>6.0909999999999999E-2</v>
      </c>
      <c r="U83" s="390">
        <v>3.0159999999999999E-2</v>
      </c>
      <c r="V83" s="405">
        <f t="shared" si="4"/>
        <v>2.9849732080453606E-2</v>
      </c>
      <c r="X83" s="396">
        <v>44088</v>
      </c>
      <c r="Y83" s="405">
        <v>1.6500000000000001E-2</v>
      </c>
    </row>
    <row r="84" spans="2:25" x14ac:dyDescent="0.3">
      <c r="B84" s="379">
        <f t="shared" si="5"/>
        <v>1175</v>
      </c>
      <c r="C84" s="380">
        <v>42808</v>
      </c>
      <c r="D84" s="4">
        <v>2.6</v>
      </c>
      <c r="E84" s="381">
        <f t="shared" si="3"/>
        <v>1.597273292531733E-33</v>
      </c>
      <c r="G84" s="396">
        <v>42846</v>
      </c>
      <c r="H84" s="32">
        <v>1.9522900000000001</v>
      </c>
      <c r="O84" s="389">
        <v>2003</v>
      </c>
      <c r="P84" s="390">
        <v>0.28355800050010233</v>
      </c>
      <c r="Q84" s="391">
        <v>3.7531858817758529E-3</v>
      </c>
      <c r="S84" s="396">
        <v>44091</v>
      </c>
      <c r="T84" s="390">
        <v>6.0909999999999999E-2</v>
      </c>
      <c r="U84" s="390">
        <v>3.0689999999999999E-2</v>
      </c>
      <c r="V84" s="405">
        <f t="shared" si="4"/>
        <v>2.9320164161872109E-2</v>
      </c>
      <c r="X84" s="396">
        <v>44085</v>
      </c>
      <c r="Y84" s="405">
        <v>1.6500000000000001E-2</v>
      </c>
    </row>
    <row r="85" spans="2:25" x14ac:dyDescent="0.3">
      <c r="B85" s="379">
        <f t="shared" si="5"/>
        <v>1174</v>
      </c>
      <c r="C85" s="380">
        <v>42809</v>
      </c>
      <c r="D85" s="4">
        <v>2.5099999999999998</v>
      </c>
      <c r="E85" s="381">
        <f t="shared" si="3"/>
        <v>1.6992269069486522E-33</v>
      </c>
      <c r="G85" s="396">
        <v>42849</v>
      </c>
      <c r="H85" s="32">
        <v>1.9152</v>
      </c>
      <c r="O85" s="389">
        <v>2004</v>
      </c>
      <c r="P85" s="390">
        <v>0.10742775944096193</v>
      </c>
      <c r="Q85" s="391">
        <v>4.490683702274547E-2</v>
      </c>
      <c r="S85" s="396">
        <v>44090</v>
      </c>
      <c r="T85" s="390">
        <v>6.0909999999999999E-2</v>
      </c>
      <c r="U85" s="390">
        <v>3.0790000000000001E-2</v>
      </c>
      <c r="V85" s="405">
        <f t="shared" si="4"/>
        <v>2.922030675501297E-2</v>
      </c>
      <c r="X85" s="396">
        <v>44084</v>
      </c>
      <c r="Y85" s="405">
        <v>1.6899999999999998E-2</v>
      </c>
    </row>
    <row r="86" spans="2:25" x14ac:dyDescent="0.3">
      <c r="B86" s="379">
        <f t="shared" si="5"/>
        <v>1173</v>
      </c>
      <c r="C86" s="380">
        <v>42810</v>
      </c>
      <c r="D86" s="4">
        <v>2.5299999999999998</v>
      </c>
      <c r="E86" s="381">
        <f t="shared" si="3"/>
        <v>1.8076881988815447E-33</v>
      </c>
      <c r="G86" s="396">
        <v>42850</v>
      </c>
      <c r="H86" s="32">
        <v>1.90425</v>
      </c>
      <c r="O86" s="389">
        <v>2005</v>
      </c>
      <c r="P86" s="390">
        <v>4.8344775232688535E-2</v>
      </c>
      <c r="Q86" s="391">
        <v>2.8675329597779506E-2</v>
      </c>
      <c r="S86" s="396">
        <v>44089</v>
      </c>
      <c r="T86" s="390">
        <v>6.0909999999999999E-2</v>
      </c>
      <c r="U86" s="390">
        <v>3.1050000000000001E-2</v>
      </c>
      <c r="V86" s="405">
        <f t="shared" si="4"/>
        <v>2.8960768148974303E-2</v>
      </c>
      <c r="X86" s="396">
        <v>44083</v>
      </c>
      <c r="Y86" s="405">
        <v>1.7100000000000001E-2</v>
      </c>
    </row>
    <row r="87" spans="2:25" x14ac:dyDescent="0.3">
      <c r="B87" s="379">
        <f t="shared" si="5"/>
        <v>1172</v>
      </c>
      <c r="C87" s="380">
        <v>42811</v>
      </c>
      <c r="D87" s="4">
        <v>2.5</v>
      </c>
      <c r="E87" s="381">
        <f t="shared" si="3"/>
        <v>1.9230725520016436E-33</v>
      </c>
      <c r="G87" s="396">
        <v>42851</v>
      </c>
      <c r="H87" s="32">
        <v>1.93889</v>
      </c>
      <c r="O87" s="389">
        <v>2006</v>
      </c>
      <c r="P87" s="390">
        <v>0.15612557979315703</v>
      </c>
      <c r="Q87" s="391">
        <v>1.9610012417568386E-2</v>
      </c>
      <c r="S87" s="396">
        <v>44088</v>
      </c>
      <c r="T87" s="390">
        <v>6.0909999999999999E-2</v>
      </c>
      <c r="U87" s="390">
        <v>3.1030000000000002E-2</v>
      </c>
      <c r="V87" s="405">
        <f t="shared" si="4"/>
        <v>2.8980728009854406E-2</v>
      </c>
      <c r="X87" s="396">
        <v>44082</v>
      </c>
      <c r="Y87" s="405">
        <v>1.6799999999999999E-2</v>
      </c>
    </row>
    <row r="88" spans="2:25" x14ac:dyDescent="0.3">
      <c r="B88" s="379">
        <f t="shared" si="5"/>
        <v>1171</v>
      </c>
      <c r="C88" s="380">
        <v>42814</v>
      </c>
      <c r="D88" s="4">
        <v>2.4700000000000002</v>
      </c>
      <c r="E88" s="381">
        <f t="shared" si="3"/>
        <v>2.0458218638315354E-33</v>
      </c>
      <c r="G88" s="396">
        <v>42852</v>
      </c>
      <c r="H88" s="32">
        <v>1.94665</v>
      </c>
      <c r="O88" s="389">
        <v>2007</v>
      </c>
      <c r="P88" s="390">
        <v>5.4847352464217694E-2</v>
      </c>
      <c r="Q88" s="391">
        <v>0.10209921930012807</v>
      </c>
      <c r="S88" s="396">
        <v>44085</v>
      </c>
      <c r="T88" s="390">
        <v>6.0909999999999999E-2</v>
      </c>
      <c r="U88" s="390">
        <v>3.1440000000000003E-2</v>
      </c>
      <c r="V88" s="405">
        <f t="shared" si="4"/>
        <v>2.8571705576669659E-2</v>
      </c>
      <c r="X88" s="396">
        <v>44078</v>
      </c>
      <c r="Y88" s="405">
        <v>1.7000000000000001E-2</v>
      </c>
    </row>
    <row r="89" spans="2:25" x14ac:dyDescent="0.3">
      <c r="B89" s="379">
        <f t="shared" si="5"/>
        <v>1170</v>
      </c>
      <c r="C89" s="380">
        <v>42815</v>
      </c>
      <c r="D89" s="4">
        <v>2.4300000000000002</v>
      </c>
      <c r="E89" s="381">
        <f t="shared" si="3"/>
        <v>2.1764062381186548E-33</v>
      </c>
      <c r="G89" s="396">
        <v>42853</v>
      </c>
      <c r="H89" s="32">
        <v>1.9463200000000001</v>
      </c>
      <c r="O89" s="389">
        <v>2008</v>
      </c>
      <c r="P89" s="390">
        <v>-0.36552344111798191</v>
      </c>
      <c r="Q89" s="391">
        <v>0.20101279926977011</v>
      </c>
      <c r="S89" s="396">
        <v>44084</v>
      </c>
      <c r="T89" s="390">
        <v>6.0909999999999999E-2</v>
      </c>
      <c r="U89" s="390">
        <v>3.0890000000000001E-2</v>
      </c>
      <c r="V89" s="405">
        <f t="shared" si="4"/>
        <v>2.9120468721202108E-2</v>
      </c>
      <c r="X89" s="396">
        <v>44077</v>
      </c>
      <c r="Y89" s="405">
        <v>1.6500000000000001E-2</v>
      </c>
    </row>
    <row r="90" spans="2:25" x14ac:dyDescent="0.3">
      <c r="B90" s="379">
        <f t="shared" si="5"/>
        <v>1169</v>
      </c>
      <c r="C90" s="380">
        <v>42816</v>
      </c>
      <c r="D90" s="4">
        <v>2.4</v>
      </c>
      <c r="E90" s="381">
        <f t="shared" si="3"/>
        <v>2.3153257852326117E-33</v>
      </c>
      <c r="G90" s="396">
        <v>42856</v>
      </c>
      <c r="H90" s="32">
        <v>1.9101399999999999</v>
      </c>
      <c r="O90" s="389">
        <v>2009</v>
      </c>
      <c r="P90" s="390">
        <v>0.25935233877663982</v>
      </c>
      <c r="Q90" s="391">
        <v>-0.11116695313259162</v>
      </c>
      <c r="S90" s="396">
        <v>44083</v>
      </c>
      <c r="T90" s="390">
        <v>6.0909999999999999E-2</v>
      </c>
      <c r="U90" s="390">
        <v>3.1289999999999998E-2</v>
      </c>
      <c r="V90" s="405">
        <f t="shared" si="4"/>
        <v>2.872131020372537E-2</v>
      </c>
      <c r="X90" s="396">
        <v>44076</v>
      </c>
      <c r="Y90" s="405">
        <v>1.7299999999999999E-2</v>
      </c>
    </row>
    <row r="91" spans="2:25" x14ac:dyDescent="0.3">
      <c r="B91" s="379">
        <f t="shared" si="5"/>
        <v>1168</v>
      </c>
      <c r="C91" s="380">
        <v>42817</v>
      </c>
      <c r="D91" s="4">
        <v>2.41</v>
      </c>
      <c r="E91" s="381">
        <f t="shared" si="3"/>
        <v>2.4631125374815019E-33</v>
      </c>
      <c r="G91" s="396">
        <v>42857</v>
      </c>
      <c r="H91" s="32">
        <v>1.91151</v>
      </c>
      <c r="O91" s="389">
        <v>2010</v>
      </c>
      <c r="P91" s="390">
        <v>0.14821092278719414</v>
      </c>
      <c r="Q91" s="391">
        <v>8.4629338803557719E-2</v>
      </c>
      <c r="S91" s="396">
        <v>44082</v>
      </c>
      <c r="T91" s="390">
        <v>6.0909999999999999E-2</v>
      </c>
      <c r="U91" s="390">
        <v>3.1649999999999998E-2</v>
      </c>
      <c r="V91" s="405">
        <f t="shared" si="4"/>
        <v>2.8362332186303574E-2</v>
      </c>
      <c r="X91" s="396">
        <v>44075</v>
      </c>
      <c r="Y91" s="405">
        <v>1.7600000000000001E-2</v>
      </c>
    </row>
    <row r="92" spans="2:25" x14ac:dyDescent="0.3">
      <c r="B92" s="379">
        <f t="shared" si="5"/>
        <v>1167</v>
      </c>
      <c r="C92" s="380">
        <v>42818</v>
      </c>
      <c r="D92" s="4">
        <v>2.4</v>
      </c>
      <c r="E92" s="381">
        <f t="shared" si="3"/>
        <v>2.6203324866824483E-33</v>
      </c>
      <c r="G92" s="396">
        <v>42858</v>
      </c>
      <c r="H92" s="32">
        <v>1.8980900000000001</v>
      </c>
      <c r="O92" s="389">
        <v>2011</v>
      </c>
      <c r="P92" s="390">
        <v>2.09837473362805E-2</v>
      </c>
      <c r="Q92" s="391">
        <v>0.16035334999461354</v>
      </c>
      <c r="S92" s="396">
        <v>44081</v>
      </c>
      <c r="T92" s="390">
        <v>6.0909999999999999E-2</v>
      </c>
      <c r="U92" s="390">
        <v>3.1600000000000003E-2</v>
      </c>
      <c r="V92" s="405">
        <f t="shared" si="4"/>
        <v>2.8412175261729233E-2</v>
      </c>
      <c r="X92" s="396">
        <v>44074</v>
      </c>
      <c r="Y92" s="405">
        <v>1.8000000000000002E-2</v>
      </c>
    </row>
    <row r="93" spans="2:25" x14ac:dyDescent="0.3">
      <c r="B93" s="379">
        <f t="shared" si="5"/>
        <v>1166</v>
      </c>
      <c r="C93" s="380">
        <v>42821</v>
      </c>
      <c r="D93" s="4">
        <v>2.38</v>
      </c>
      <c r="E93" s="381">
        <f t="shared" si="3"/>
        <v>2.7875877517898391E-33</v>
      </c>
      <c r="G93" s="396">
        <v>42859</v>
      </c>
      <c r="H93" s="32">
        <v>1.94221</v>
      </c>
      <c r="O93" s="389">
        <v>2012</v>
      </c>
      <c r="P93" s="390">
        <v>0.15890585241730293</v>
      </c>
      <c r="Q93" s="391">
        <v>2.971571978018946E-2</v>
      </c>
      <c r="S93" s="396">
        <v>44078</v>
      </c>
      <c r="T93" s="390">
        <v>6.0909999999999999E-2</v>
      </c>
      <c r="U93" s="390">
        <v>3.1480000000000001E-2</v>
      </c>
      <c r="V93" s="405">
        <f t="shared" si="4"/>
        <v>2.853181835808738E-2</v>
      </c>
      <c r="X93" s="396">
        <v>44071</v>
      </c>
      <c r="Y93" s="405">
        <v>1.77E-2</v>
      </c>
    </row>
    <row r="94" spans="2:25" x14ac:dyDescent="0.3">
      <c r="B94" s="379">
        <f t="shared" si="5"/>
        <v>1165</v>
      </c>
      <c r="C94" s="380">
        <v>42822</v>
      </c>
      <c r="D94" s="4">
        <v>2.42</v>
      </c>
      <c r="E94" s="381">
        <f t="shared" si="3"/>
        <v>2.9655188848828071E-33</v>
      </c>
      <c r="G94" s="396">
        <v>42860</v>
      </c>
      <c r="H94" s="32">
        <v>1.95347</v>
      </c>
      <c r="O94" s="389">
        <v>2013</v>
      </c>
      <c r="P94" s="390">
        <v>0.32145085858125483</v>
      </c>
      <c r="Q94" s="391">
        <v>-9.104568794347262E-2</v>
      </c>
      <c r="S94" s="396">
        <v>44077</v>
      </c>
      <c r="T94" s="390">
        <v>6.0909999999999999E-2</v>
      </c>
      <c r="U94" s="390">
        <v>3.117E-2</v>
      </c>
      <c r="V94" s="405">
        <f t="shared" si="4"/>
        <v>2.8841025243170559E-2</v>
      </c>
      <c r="X94" s="396">
        <v>44070</v>
      </c>
      <c r="Y94" s="405">
        <v>1.7299999999999999E-2</v>
      </c>
    </row>
    <row r="95" spans="2:25" x14ac:dyDescent="0.3">
      <c r="B95" s="379">
        <f t="shared" si="5"/>
        <v>1164</v>
      </c>
      <c r="C95" s="380">
        <v>42823</v>
      </c>
      <c r="D95" s="4">
        <v>2.39</v>
      </c>
      <c r="E95" s="381">
        <f t="shared" si="3"/>
        <v>3.154807324343413E-33</v>
      </c>
      <c r="G95" s="396">
        <v>42863</v>
      </c>
      <c r="H95" s="32">
        <v>1.9388399999999999</v>
      </c>
      <c r="O95" s="389">
        <v>2014</v>
      </c>
      <c r="P95" s="390">
        <v>0.13524421649462237</v>
      </c>
      <c r="Q95" s="391">
        <v>0.10746180452004755</v>
      </c>
      <c r="S95" s="396">
        <v>44076</v>
      </c>
      <c r="T95" s="390">
        <v>6.0909999999999999E-2</v>
      </c>
      <c r="U95" s="390">
        <v>3.107E-2</v>
      </c>
      <c r="V95" s="405">
        <f t="shared" si="4"/>
        <v>2.894080906243035E-2</v>
      </c>
      <c r="X95" s="396">
        <v>44069</v>
      </c>
      <c r="Y95" s="405">
        <v>1.72E-2</v>
      </c>
    </row>
    <row r="96" spans="2:25" x14ac:dyDescent="0.3">
      <c r="B96" s="379">
        <f t="shared" si="5"/>
        <v>1163</v>
      </c>
      <c r="C96" s="380">
        <v>42824</v>
      </c>
      <c r="D96" s="4">
        <v>2.42</v>
      </c>
      <c r="E96" s="381">
        <f t="shared" si="3"/>
        <v>3.3561780046206509E-33</v>
      </c>
      <c r="G96" s="396">
        <v>42864</v>
      </c>
      <c r="H96" s="32">
        <v>1.9443699999999999</v>
      </c>
      <c r="O96" s="389">
        <v>2015</v>
      </c>
      <c r="P96" s="390">
        <v>1.3788916411676138E-2</v>
      </c>
      <c r="Q96" s="391">
        <v>1.2842996709792224E-2</v>
      </c>
      <c r="S96" s="396">
        <v>44075</v>
      </c>
      <c r="T96" s="390">
        <v>6.0909999999999999E-2</v>
      </c>
      <c r="U96" s="390">
        <v>3.2560000000000006E-2</v>
      </c>
      <c r="V96" s="405">
        <f t="shared" si="4"/>
        <v>2.7456031610753939E-2</v>
      </c>
      <c r="X96" s="396">
        <v>44068</v>
      </c>
      <c r="Y96" s="405">
        <v>1.7000000000000001E-2</v>
      </c>
    </row>
    <row r="97" spans="2:25" x14ac:dyDescent="0.3">
      <c r="B97" s="379">
        <f t="shared" si="5"/>
        <v>1162</v>
      </c>
      <c r="C97" s="380">
        <v>42825</v>
      </c>
      <c r="D97" s="4">
        <v>2.4</v>
      </c>
      <c r="E97" s="381">
        <f t="shared" si="3"/>
        <v>3.5704021325751615E-33</v>
      </c>
      <c r="G97" s="396">
        <v>42865</v>
      </c>
      <c r="H97" s="32">
        <v>1.9065799999999999</v>
      </c>
      <c r="O97" s="389">
        <v>2016</v>
      </c>
      <c r="P97" s="390">
        <v>0.11773080874798171</v>
      </c>
      <c r="Q97" s="391">
        <v>6.9055046987477921E-3</v>
      </c>
      <c r="S97" s="396">
        <v>44074</v>
      </c>
      <c r="T97" s="390">
        <v>6.0909999999999999E-2</v>
      </c>
      <c r="U97" s="390">
        <v>3.2390000000000002E-2</v>
      </c>
      <c r="V97" s="405">
        <f t="shared" si="4"/>
        <v>2.762521915167726E-2</v>
      </c>
      <c r="X97" s="396">
        <v>44067</v>
      </c>
      <c r="Y97" s="405">
        <v>1.67E-2</v>
      </c>
    </row>
    <row r="98" spans="2:25" x14ac:dyDescent="0.3">
      <c r="B98" s="379">
        <f t="shared" si="5"/>
        <v>1161</v>
      </c>
      <c r="C98" s="380">
        <v>42828</v>
      </c>
      <c r="D98" s="4">
        <v>2.35</v>
      </c>
      <c r="E98" s="381">
        <f t="shared" si="3"/>
        <v>3.7983001410374058E-33</v>
      </c>
      <c r="G98" s="396">
        <v>42866</v>
      </c>
      <c r="H98" s="32">
        <v>1.8953100000000001</v>
      </c>
      <c r="O98" s="389">
        <v>2017</v>
      </c>
      <c r="P98" s="390">
        <v>0.2160548143449928</v>
      </c>
      <c r="Q98" s="391">
        <v>2.8017162707789457E-2</v>
      </c>
      <c r="S98" s="396">
        <v>44071</v>
      </c>
      <c r="T98" s="390">
        <v>6.0909999999999999E-2</v>
      </c>
      <c r="U98" s="390">
        <v>3.2400000000000005E-2</v>
      </c>
      <c r="V98" s="405">
        <f t="shared" si="4"/>
        <v>2.7615265401007338E-2</v>
      </c>
      <c r="X98" s="396">
        <v>44064</v>
      </c>
      <c r="Y98" s="405">
        <v>1.6399999999999998E-2</v>
      </c>
    </row>
    <row r="99" spans="2:25" x14ac:dyDescent="0.3">
      <c r="B99" s="379">
        <f t="shared" si="5"/>
        <v>1160</v>
      </c>
      <c r="C99" s="380">
        <v>42829</v>
      </c>
      <c r="D99" s="4">
        <v>2.36</v>
      </c>
      <c r="E99" s="381">
        <f t="shared" si="3"/>
        <v>4.0407448308908577E-33</v>
      </c>
      <c r="G99" s="396">
        <v>42867</v>
      </c>
      <c r="H99" s="32">
        <v>1.92666</v>
      </c>
      <c r="O99" s="389">
        <v>2018</v>
      </c>
      <c r="P99" s="390">
        <v>-4.2321056549010597E-2</v>
      </c>
      <c r="Q99" s="391">
        <v>-1.6692385713402633E-4</v>
      </c>
      <c r="S99" s="396">
        <v>44070</v>
      </c>
      <c r="T99" s="390">
        <v>6.0909999999999999E-2</v>
      </c>
      <c r="U99" s="390">
        <v>3.1899999999999998E-2</v>
      </c>
      <c r="V99" s="405">
        <f t="shared" si="4"/>
        <v>2.8113189262525484E-2</v>
      </c>
      <c r="X99" s="396">
        <v>44063</v>
      </c>
      <c r="Y99" s="405">
        <v>1.6200000000000003E-2</v>
      </c>
    </row>
    <row r="100" spans="2:25" x14ac:dyDescent="0.3">
      <c r="B100" s="379">
        <f t="shared" si="5"/>
        <v>1159</v>
      </c>
      <c r="C100" s="380">
        <v>42830</v>
      </c>
      <c r="D100" s="4">
        <v>2.34</v>
      </c>
      <c r="E100" s="381">
        <f t="shared" si="3"/>
        <v>4.2986647137136777E-33</v>
      </c>
      <c r="G100" s="396">
        <v>42870</v>
      </c>
      <c r="H100" s="32">
        <v>1.89717</v>
      </c>
      <c r="O100" s="379">
        <v>2019</v>
      </c>
      <c r="P100" s="390">
        <v>0.31223647206653782</v>
      </c>
      <c r="Q100" s="392">
        <v>9.6356307415483927E-2</v>
      </c>
      <c r="S100" s="396">
        <v>44069</v>
      </c>
      <c r="T100" s="390">
        <v>6.0909999999999999E-2</v>
      </c>
      <c r="U100" s="390">
        <v>3.1760000000000004E-2</v>
      </c>
      <c r="V100" s="405">
        <f t="shared" si="4"/>
        <v>2.8252694425060065E-2</v>
      </c>
      <c r="X100" s="396">
        <v>44062</v>
      </c>
      <c r="Y100" s="405">
        <v>1.67E-2</v>
      </c>
    </row>
    <row r="101" spans="2:25" x14ac:dyDescent="0.3">
      <c r="B101" s="379">
        <f t="shared" si="5"/>
        <v>1158</v>
      </c>
      <c r="C101" s="380">
        <v>42831</v>
      </c>
      <c r="D101" s="4">
        <v>2.34</v>
      </c>
      <c r="E101" s="381">
        <f t="shared" si="3"/>
        <v>4.5730475677805096E-33</v>
      </c>
      <c r="G101" s="396">
        <v>42871</v>
      </c>
      <c r="H101" s="32">
        <v>1.88887</v>
      </c>
      <c r="O101" s="382">
        <v>2020</v>
      </c>
      <c r="P101" s="393">
        <v>0.18013916144089043</v>
      </c>
      <c r="Q101" s="394">
        <v>0.1133189764661412</v>
      </c>
      <c r="S101" s="396">
        <v>44068</v>
      </c>
      <c r="T101" s="390">
        <v>6.0909999999999999E-2</v>
      </c>
      <c r="U101" s="390">
        <v>3.1879999999999999E-2</v>
      </c>
      <c r="V101" s="405">
        <f t="shared" si="4"/>
        <v>2.8133116253828083E-2</v>
      </c>
      <c r="X101" s="396">
        <v>44061</v>
      </c>
      <c r="Y101" s="405">
        <v>1.6799999999999999E-2</v>
      </c>
    </row>
    <row r="102" spans="2:25" x14ac:dyDescent="0.3">
      <c r="B102" s="379">
        <f t="shared" si="5"/>
        <v>1157</v>
      </c>
      <c r="C102" s="380">
        <v>42832</v>
      </c>
      <c r="D102" s="4">
        <v>2.38</v>
      </c>
      <c r="E102" s="381">
        <f t="shared" si="3"/>
        <v>4.864944221043094E-33</v>
      </c>
      <c r="G102" s="396">
        <v>42872</v>
      </c>
      <c r="H102" s="32">
        <v>1.97638</v>
      </c>
      <c r="S102" s="396">
        <v>44067</v>
      </c>
      <c r="T102" s="390">
        <v>6.0909999999999999E-2</v>
      </c>
      <c r="U102" s="390">
        <v>3.2820000000000002E-2</v>
      </c>
      <c r="V102" s="405">
        <f t="shared" si="4"/>
        <v>2.7197381925214481E-2</v>
      </c>
      <c r="X102" s="396">
        <v>44060</v>
      </c>
      <c r="Y102" s="405">
        <v>1.66E-2</v>
      </c>
    </row>
    <row r="103" spans="2:25" x14ac:dyDescent="0.3">
      <c r="B103" s="379">
        <f t="shared" si="5"/>
        <v>1156</v>
      </c>
      <c r="C103" s="380">
        <v>42835</v>
      </c>
      <c r="D103" s="4">
        <v>2.37</v>
      </c>
      <c r="E103" s="381">
        <f t="shared" si="3"/>
        <v>5.1754725755777597E-33</v>
      </c>
      <c r="G103" s="396">
        <v>42873</v>
      </c>
      <c r="H103" s="32">
        <v>2.0085999999999999</v>
      </c>
      <c r="S103" s="396">
        <v>44064</v>
      </c>
      <c r="T103" s="390">
        <v>6.0909999999999999E-2</v>
      </c>
      <c r="U103" s="390">
        <v>3.1649999999999998E-2</v>
      </c>
      <c r="V103" s="405">
        <f t="shared" si="4"/>
        <v>2.8362332186303574E-2</v>
      </c>
      <c r="X103" s="396">
        <v>44057</v>
      </c>
      <c r="Y103" s="405">
        <v>1.6500000000000001E-2</v>
      </c>
    </row>
    <row r="104" spans="2:25" x14ac:dyDescent="0.3">
      <c r="B104" s="379">
        <f t="shared" si="5"/>
        <v>1155</v>
      </c>
      <c r="C104" s="380">
        <v>42836</v>
      </c>
      <c r="D104" s="4">
        <v>2.3199999999999998</v>
      </c>
      <c r="E104" s="381">
        <f t="shared" si="3"/>
        <v>5.5058218889125107E-33</v>
      </c>
      <c r="G104" s="396">
        <v>42874</v>
      </c>
      <c r="H104" s="32">
        <v>1.9834099999999999</v>
      </c>
      <c r="S104" s="396">
        <v>44063</v>
      </c>
      <c r="T104" s="390">
        <v>6.0909999999999999E-2</v>
      </c>
      <c r="U104" s="390">
        <v>3.1379999999999998E-2</v>
      </c>
      <c r="V104" s="405">
        <f t="shared" si="4"/>
        <v>2.8631542205588723E-2</v>
      </c>
      <c r="X104" s="396">
        <v>44056</v>
      </c>
      <c r="Y104" s="405">
        <v>1.67E-2</v>
      </c>
    </row>
    <row r="105" spans="2:25" x14ac:dyDescent="0.3">
      <c r="B105" s="379">
        <f t="shared" si="5"/>
        <v>1154</v>
      </c>
      <c r="C105" s="380">
        <v>42837</v>
      </c>
      <c r="D105" s="4">
        <v>2.2799999999999998</v>
      </c>
      <c r="E105" s="381">
        <f t="shared" si="3"/>
        <v>5.8572573286303308E-33</v>
      </c>
      <c r="G105" s="396">
        <v>42877</v>
      </c>
      <c r="H105" s="32">
        <v>1.9648699999999999</v>
      </c>
      <c r="S105" s="396">
        <v>44062</v>
      </c>
      <c r="T105" s="390">
        <v>6.0909999999999999E-2</v>
      </c>
      <c r="U105" s="390">
        <v>3.1269999999999999E-2</v>
      </c>
      <c r="V105" s="405">
        <f t="shared" si="4"/>
        <v>2.8741260775548616E-2</v>
      </c>
      <c r="X105" s="396">
        <v>44055</v>
      </c>
      <c r="Y105" s="405">
        <v>1.67E-2</v>
      </c>
    </row>
    <row r="106" spans="2:25" x14ac:dyDescent="0.3">
      <c r="B106" s="379">
        <f t="shared" si="5"/>
        <v>1153</v>
      </c>
      <c r="C106" s="380">
        <v>42838</v>
      </c>
      <c r="D106" s="4">
        <v>2.2400000000000002</v>
      </c>
      <c r="E106" s="381">
        <f t="shared" si="3"/>
        <v>6.2311248176918413E-33</v>
      </c>
      <c r="G106" s="396">
        <v>42878</v>
      </c>
      <c r="H106" s="32">
        <v>1.9335</v>
      </c>
      <c r="S106" s="396">
        <v>44061</v>
      </c>
      <c r="T106" s="390">
        <v>6.0909999999999999E-2</v>
      </c>
      <c r="U106" s="390">
        <v>3.0529999999999998E-2</v>
      </c>
      <c r="V106" s="405">
        <f t="shared" si="4"/>
        <v>2.9479976322863033E-2</v>
      </c>
      <c r="X106" s="396">
        <v>44054</v>
      </c>
      <c r="Y106" s="405">
        <v>1.6299999999999999E-2</v>
      </c>
    </row>
    <row r="107" spans="2:25" x14ac:dyDescent="0.3">
      <c r="B107" s="379">
        <f t="shared" si="5"/>
        <v>1152</v>
      </c>
      <c r="C107" s="380">
        <v>42842</v>
      </c>
      <c r="D107" s="4">
        <v>2.2599999999999998</v>
      </c>
      <c r="E107" s="381">
        <f t="shared" si="3"/>
        <v>6.6288561890338739E-33</v>
      </c>
      <c r="G107" s="396">
        <v>42879</v>
      </c>
      <c r="H107" s="32">
        <v>1.9288099999999999</v>
      </c>
      <c r="S107" s="396">
        <v>44060</v>
      </c>
      <c r="T107" s="390">
        <v>6.0909999999999999E-2</v>
      </c>
      <c r="U107" s="390">
        <v>3.1120000000000002E-2</v>
      </c>
      <c r="V107" s="405">
        <f t="shared" si="4"/>
        <v>2.88909147334937E-2</v>
      </c>
      <c r="X107" s="396">
        <v>44053</v>
      </c>
      <c r="Y107" s="405">
        <v>1.61E-2</v>
      </c>
    </row>
    <row r="108" spans="2:25" x14ac:dyDescent="0.3">
      <c r="B108" s="379">
        <f t="shared" si="5"/>
        <v>1151</v>
      </c>
      <c r="C108" s="380">
        <v>42843</v>
      </c>
      <c r="D108" s="4">
        <v>2.1800000000000002</v>
      </c>
      <c r="E108" s="381">
        <f t="shared" si="3"/>
        <v>7.0519746691849727E-33</v>
      </c>
      <c r="G108" s="396">
        <v>42880</v>
      </c>
      <c r="H108" s="32">
        <v>1.9568099999999999</v>
      </c>
      <c r="S108" s="396">
        <v>44057</v>
      </c>
      <c r="T108" s="390">
        <v>6.0909999999999999E-2</v>
      </c>
      <c r="U108" s="390">
        <v>3.1120000000000002E-2</v>
      </c>
      <c r="V108" s="405">
        <f t="shared" si="4"/>
        <v>2.88909147334937E-2</v>
      </c>
      <c r="X108" s="396">
        <v>44050</v>
      </c>
      <c r="Y108" s="405">
        <v>1.61E-2</v>
      </c>
    </row>
    <row r="109" spans="2:25" x14ac:dyDescent="0.3">
      <c r="B109" s="379">
        <f t="shared" si="5"/>
        <v>1150</v>
      </c>
      <c r="C109" s="380">
        <v>42844</v>
      </c>
      <c r="D109" s="4">
        <v>2.21</v>
      </c>
      <c r="E109" s="381">
        <f t="shared" si="3"/>
        <v>7.5021007118989063E-33</v>
      </c>
      <c r="G109" s="396">
        <v>42881</v>
      </c>
      <c r="H109" s="32">
        <v>1.98187</v>
      </c>
      <c r="S109" s="396">
        <v>44056</v>
      </c>
      <c r="T109" s="390">
        <v>6.0909999999999999E-2</v>
      </c>
      <c r="U109" s="390">
        <v>3.1820000000000001E-2</v>
      </c>
      <c r="V109" s="405">
        <f t="shared" si="4"/>
        <v>2.8192901862728048E-2</v>
      </c>
      <c r="X109" s="396">
        <v>44049</v>
      </c>
      <c r="Y109" s="405">
        <v>1.6299999999999999E-2</v>
      </c>
    </row>
    <row r="110" spans="2:25" x14ac:dyDescent="0.3">
      <c r="B110" s="379">
        <f t="shared" si="5"/>
        <v>1149</v>
      </c>
      <c r="C110" s="380">
        <v>42845</v>
      </c>
      <c r="D110" s="4">
        <v>2.2400000000000002</v>
      </c>
      <c r="E110" s="381">
        <f t="shared" si="3"/>
        <v>7.9809582041477711E-33</v>
      </c>
      <c r="G110" s="396">
        <v>42885</v>
      </c>
      <c r="H110" s="32">
        <v>1.9914799999999999</v>
      </c>
      <c r="S110" s="396">
        <v>44055</v>
      </c>
      <c r="T110" s="390">
        <v>6.0909999999999999E-2</v>
      </c>
      <c r="U110" s="390">
        <v>3.2120000000000003E-2</v>
      </c>
      <c r="V110" s="405">
        <f t="shared" si="4"/>
        <v>2.7894043328295259E-2</v>
      </c>
      <c r="X110" s="396">
        <v>44048</v>
      </c>
      <c r="Y110" s="405">
        <v>1.61E-2</v>
      </c>
    </row>
    <row r="111" spans="2:25" x14ac:dyDescent="0.3">
      <c r="B111" s="379">
        <f t="shared" si="5"/>
        <v>1148</v>
      </c>
      <c r="C111" s="380">
        <v>42846</v>
      </c>
      <c r="D111" s="4">
        <v>2.2400000000000002</v>
      </c>
      <c r="E111" s="381">
        <f t="shared" si="3"/>
        <v>8.4903810682423123E-33</v>
      </c>
      <c r="G111" s="396">
        <v>42886</v>
      </c>
      <c r="H111" s="32">
        <v>2.0280800000000001</v>
      </c>
      <c r="S111" s="396">
        <v>44054</v>
      </c>
      <c r="T111" s="390">
        <v>6.0909999999999999E-2</v>
      </c>
      <c r="U111" s="390">
        <v>3.2070000000000001E-2</v>
      </c>
      <c r="V111" s="405">
        <f t="shared" si="4"/>
        <v>2.7943841018535531E-2</v>
      </c>
      <c r="X111" s="396">
        <v>44047</v>
      </c>
      <c r="Y111" s="405">
        <v>1.5700000000000002E-2</v>
      </c>
    </row>
    <row r="112" spans="2:25" x14ac:dyDescent="0.3">
      <c r="B112" s="379">
        <f t="shared" si="5"/>
        <v>1147</v>
      </c>
      <c r="C112" s="380">
        <v>42849</v>
      </c>
      <c r="D112" s="4">
        <v>2.2799999999999998</v>
      </c>
      <c r="E112" s="381">
        <f t="shared" si="3"/>
        <v>9.032320285364164E-33</v>
      </c>
      <c r="G112" s="396">
        <v>42887</v>
      </c>
      <c r="H112" s="32">
        <v>2.0144799999999998</v>
      </c>
      <c r="S112" s="396">
        <v>44053</v>
      </c>
      <c r="T112" s="390">
        <v>6.0909999999999999E-2</v>
      </c>
      <c r="U112" s="390">
        <v>3.2099999999999997E-2</v>
      </c>
      <c r="V112" s="405">
        <f t="shared" si="4"/>
        <v>2.791396182540451E-2</v>
      </c>
      <c r="X112" s="396">
        <v>44046</v>
      </c>
      <c r="Y112" s="405">
        <v>1.5800000000000002E-2</v>
      </c>
    </row>
    <row r="113" spans="2:25" x14ac:dyDescent="0.3">
      <c r="B113" s="379">
        <f t="shared" si="5"/>
        <v>1146</v>
      </c>
      <c r="C113" s="380">
        <v>42850</v>
      </c>
      <c r="D113" s="4">
        <v>2.35</v>
      </c>
      <c r="E113" s="381">
        <f t="shared" si="3"/>
        <v>9.6088513674086833E-33</v>
      </c>
      <c r="G113" s="396">
        <v>42888</v>
      </c>
      <c r="H113" s="32">
        <v>2.0139800000000001</v>
      </c>
      <c r="S113" s="396">
        <v>44050</v>
      </c>
      <c r="T113" s="390">
        <v>6.0909999999999999E-2</v>
      </c>
      <c r="U113" s="390">
        <v>3.3739999999999999E-2</v>
      </c>
      <c r="V113" s="405">
        <f t="shared" si="4"/>
        <v>2.6283204674289351E-2</v>
      </c>
      <c r="X113" s="396">
        <v>44043</v>
      </c>
      <c r="Y113" s="405">
        <v>1.55E-2</v>
      </c>
    </row>
    <row r="114" spans="2:25" x14ac:dyDescent="0.3">
      <c r="B114" s="379">
        <f t="shared" si="5"/>
        <v>1145</v>
      </c>
      <c r="C114" s="380">
        <v>42851</v>
      </c>
      <c r="D114" s="4">
        <v>2.3199999999999998</v>
      </c>
      <c r="E114" s="381">
        <f t="shared" si="3"/>
        <v>1.022218230575392E-32</v>
      </c>
      <c r="G114" s="396">
        <v>42891</v>
      </c>
      <c r="H114" s="32">
        <v>1.9536500000000001</v>
      </c>
      <c r="S114" s="396">
        <v>44049</v>
      </c>
      <c r="T114" s="390">
        <v>6.0909999999999999E-2</v>
      </c>
      <c r="U114" s="390">
        <v>3.3739999999999999E-2</v>
      </c>
      <c r="V114" s="405">
        <f t="shared" si="4"/>
        <v>2.6283204674289351E-2</v>
      </c>
      <c r="X114" s="396">
        <v>44042</v>
      </c>
      <c r="Y114" s="405">
        <v>1.52E-2</v>
      </c>
    </row>
    <row r="115" spans="2:25" x14ac:dyDescent="0.3">
      <c r="B115" s="379">
        <f t="shared" si="5"/>
        <v>1144</v>
      </c>
      <c r="C115" s="380">
        <v>42852</v>
      </c>
      <c r="D115" s="4">
        <v>2.2999999999999998</v>
      </c>
      <c r="E115" s="381">
        <f t="shared" si="3"/>
        <v>1.0874662027397787E-32</v>
      </c>
      <c r="G115" s="396">
        <v>42892</v>
      </c>
      <c r="H115" s="32">
        <v>1.94272</v>
      </c>
      <c r="S115" s="396">
        <v>44048</v>
      </c>
      <c r="T115" s="390">
        <v>6.0909999999999999E-2</v>
      </c>
      <c r="U115" s="390">
        <v>3.3939999999999998E-2</v>
      </c>
      <c r="V115" s="405">
        <f t="shared" si="4"/>
        <v>2.6084685765131344E-2</v>
      </c>
      <c r="X115" s="396">
        <v>44041</v>
      </c>
      <c r="Y115" s="405">
        <v>1.5300000000000001E-2</v>
      </c>
    </row>
    <row r="116" spans="2:25" x14ac:dyDescent="0.3">
      <c r="B116" s="379">
        <f t="shared" si="5"/>
        <v>1143</v>
      </c>
      <c r="C116" s="380">
        <v>42853</v>
      </c>
      <c r="D116" s="4">
        <v>2.29</v>
      </c>
      <c r="E116" s="381">
        <f t="shared" si="3"/>
        <v>1.1568789390848708E-32</v>
      </c>
      <c r="G116" s="396">
        <v>42893</v>
      </c>
      <c r="H116" s="32">
        <v>1.8811800000000001</v>
      </c>
      <c r="S116" s="396">
        <v>44047</v>
      </c>
      <c r="T116" s="390">
        <v>6.0909999999999999E-2</v>
      </c>
      <c r="U116" s="390">
        <v>3.4159999999999996E-2</v>
      </c>
      <c r="V116" s="405">
        <f t="shared" si="4"/>
        <v>2.5866403651272574E-2</v>
      </c>
      <c r="X116" s="396">
        <v>44040</v>
      </c>
      <c r="Y116" s="405">
        <v>1.5100000000000001E-2</v>
      </c>
    </row>
    <row r="117" spans="2:25" x14ac:dyDescent="0.3">
      <c r="B117" s="379">
        <f t="shared" si="5"/>
        <v>1142</v>
      </c>
      <c r="C117" s="380">
        <v>42856</v>
      </c>
      <c r="D117" s="4">
        <v>2.33</v>
      </c>
      <c r="E117" s="381">
        <f t="shared" si="3"/>
        <v>1.2307222756222031E-32</v>
      </c>
      <c r="G117" s="396">
        <v>42894</v>
      </c>
      <c r="H117" s="32">
        <v>1.9027499999999999</v>
      </c>
      <c r="S117" s="396">
        <v>44046</v>
      </c>
      <c r="T117" s="390">
        <v>6.0909999999999999E-2</v>
      </c>
      <c r="U117" s="390">
        <v>3.4130000000000001E-2</v>
      </c>
      <c r="V117" s="405">
        <f t="shared" si="4"/>
        <v>2.5896163925231752E-2</v>
      </c>
      <c r="X117" s="396">
        <v>44039</v>
      </c>
      <c r="Y117" s="405">
        <v>1.52E-2</v>
      </c>
    </row>
    <row r="118" spans="2:25" x14ac:dyDescent="0.3">
      <c r="B118" s="379">
        <f t="shared" si="5"/>
        <v>1141</v>
      </c>
      <c r="C118" s="380">
        <v>42857</v>
      </c>
      <c r="D118" s="4">
        <v>2.29</v>
      </c>
      <c r="E118" s="381">
        <f t="shared" si="3"/>
        <v>1.3092790166193647E-32</v>
      </c>
      <c r="G118" s="396">
        <v>42895</v>
      </c>
      <c r="H118" s="32">
        <v>1.8711199999999999</v>
      </c>
      <c r="S118" s="396">
        <v>44043</v>
      </c>
      <c r="T118" s="390">
        <v>6.0909999999999999E-2</v>
      </c>
      <c r="U118" s="390">
        <v>3.4050000000000004E-2</v>
      </c>
      <c r="V118" s="405">
        <f t="shared" si="4"/>
        <v>2.5975533098012704E-2</v>
      </c>
      <c r="X118" s="396">
        <v>44036</v>
      </c>
      <c r="Y118" s="405">
        <v>1.5100000000000001E-2</v>
      </c>
    </row>
    <row r="119" spans="2:25" x14ac:dyDescent="0.3">
      <c r="B119" s="379">
        <f t="shared" si="5"/>
        <v>1140</v>
      </c>
      <c r="C119" s="380">
        <v>42858</v>
      </c>
      <c r="D119" s="4">
        <v>2.33</v>
      </c>
      <c r="E119" s="381">
        <f t="shared" si="3"/>
        <v>1.3928500176801755E-32</v>
      </c>
      <c r="G119" s="396">
        <v>42898</v>
      </c>
      <c r="H119" s="32">
        <v>1.8466100000000001</v>
      </c>
      <c r="S119" s="396">
        <v>44042</v>
      </c>
      <c r="T119" s="390">
        <v>6.0909999999999999E-2</v>
      </c>
      <c r="U119" s="390">
        <v>3.3840000000000002E-2</v>
      </c>
      <c r="V119" s="405">
        <f t="shared" si="4"/>
        <v>2.6183935618664389E-2</v>
      </c>
      <c r="X119" s="396">
        <v>44035</v>
      </c>
      <c r="Y119" s="405">
        <v>1.49E-2</v>
      </c>
    </row>
    <row r="120" spans="2:25" x14ac:dyDescent="0.3">
      <c r="B120" s="379">
        <f t="shared" si="5"/>
        <v>1139</v>
      </c>
      <c r="C120" s="380">
        <v>42859</v>
      </c>
      <c r="D120" s="4">
        <v>2.36</v>
      </c>
      <c r="E120" s="381">
        <f t="shared" si="3"/>
        <v>1.4817553379576335E-32</v>
      </c>
      <c r="G120" s="396">
        <v>42899</v>
      </c>
      <c r="H120" s="32">
        <v>1.827</v>
      </c>
      <c r="S120" s="396">
        <v>44041</v>
      </c>
      <c r="T120" s="390">
        <v>6.0909999999999999E-2</v>
      </c>
      <c r="U120" s="390">
        <v>3.4200000000000001E-2</v>
      </c>
      <c r="V120" s="405">
        <f t="shared" si="4"/>
        <v>2.5826725971765718E-2</v>
      </c>
      <c r="X120" s="396">
        <v>44034</v>
      </c>
      <c r="Y120" s="405">
        <v>1.4800000000000001E-2</v>
      </c>
    </row>
    <row r="121" spans="2:25" x14ac:dyDescent="0.3">
      <c r="B121" s="379">
        <f t="shared" si="5"/>
        <v>1138</v>
      </c>
      <c r="C121" s="380">
        <v>42860</v>
      </c>
      <c r="D121" s="4">
        <v>2.36</v>
      </c>
      <c r="E121" s="381">
        <f t="shared" si="3"/>
        <v>1.5763354659123763E-32</v>
      </c>
      <c r="G121" s="396">
        <v>42900</v>
      </c>
      <c r="H121" s="32">
        <v>1.8626199999999999</v>
      </c>
      <c r="S121" s="396">
        <v>44040</v>
      </c>
      <c r="T121" s="390">
        <v>6.0909999999999999E-2</v>
      </c>
      <c r="U121" s="390">
        <v>3.4159999999999996E-2</v>
      </c>
      <c r="V121" s="405">
        <f t="shared" si="4"/>
        <v>2.5866403651272574E-2</v>
      </c>
      <c r="X121" s="396">
        <v>44033</v>
      </c>
      <c r="Y121" s="405">
        <v>1.4800000000000001E-2</v>
      </c>
    </row>
    <row r="122" spans="2:25" x14ac:dyDescent="0.3">
      <c r="B122" s="379">
        <f t="shared" si="5"/>
        <v>1137</v>
      </c>
      <c r="C122" s="380">
        <v>42863</v>
      </c>
      <c r="D122" s="4">
        <v>2.39</v>
      </c>
      <c r="E122" s="381">
        <f t="shared" si="3"/>
        <v>1.6769526233110385E-32</v>
      </c>
      <c r="G122" s="396">
        <v>42901</v>
      </c>
      <c r="H122" s="32">
        <v>1.91269</v>
      </c>
      <c r="S122" s="396">
        <v>44039</v>
      </c>
      <c r="T122" s="390">
        <v>6.0909999999999999E-2</v>
      </c>
      <c r="U122" s="390">
        <v>3.4200000000000001E-2</v>
      </c>
      <c r="V122" s="405">
        <f t="shared" si="4"/>
        <v>2.5826725971765718E-2</v>
      </c>
      <c r="X122" s="396">
        <v>44032</v>
      </c>
      <c r="Y122" s="405">
        <v>1.46E-2</v>
      </c>
    </row>
    <row r="123" spans="2:25" x14ac:dyDescent="0.3">
      <c r="B123" s="379">
        <f t="shared" si="5"/>
        <v>1136</v>
      </c>
      <c r="C123" s="380">
        <v>42864</v>
      </c>
      <c r="D123" s="4">
        <v>2.42</v>
      </c>
      <c r="E123" s="381">
        <f t="shared" si="3"/>
        <v>1.7839921524585518E-32</v>
      </c>
      <c r="G123" s="396">
        <v>42902</v>
      </c>
      <c r="H123" s="32">
        <v>1.9486000000000001</v>
      </c>
      <c r="S123" s="396">
        <v>44036</v>
      </c>
      <c r="T123" s="390">
        <v>6.0909999999999999E-2</v>
      </c>
      <c r="U123" s="390">
        <v>3.456E-2</v>
      </c>
      <c r="V123" s="405">
        <f t="shared" si="4"/>
        <v>2.546976492421904E-2</v>
      </c>
      <c r="X123" s="396">
        <v>44029</v>
      </c>
      <c r="Y123" s="405">
        <v>1.46E-2</v>
      </c>
    </row>
    <row r="124" spans="2:25" x14ac:dyDescent="0.3">
      <c r="B124" s="379">
        <f t="shared" si="5"/>
        <v>1135</v>
      </c>
      <c r="C124" s="380">
        <v>42865</v>
      </c>
      <c r="D124" s="4">
        <v>2.41</v>
      </c>
      <c r="E124" s="381">
        <f t="shared" si="3"/>
        <v>1.8978639919771823E-32</v>
      </c>
      <c r="G124" s="396">
        <v>42905</v>
      </c>
      <c r="H124" s="32">
        <v>1.9737100000000001</v>
      </c>
      <c r="S124" s="396">
        <v>44035</v>
      </c>
      <c r="T124" s="390">
        <v>6.0909999999999999E-2</v>
      </c>
      <c r="U124" s="390">
        <v>3.474E-2</v>
      </c>
      <c r="V124" s="405">
        <f t="shared" si="4"/>
        <v>2.5291377544117477E-2</v>
      </c>
      <c r="X124" s="396">
        <v>44028</v>
      </c>
      <c r="Y124" s="405">
        <v>1.41E-2</v>
      </c>
    </row>
    <row r="125" spans="2:25" x14ac:dyDescent="0.3">
      <c r="B125" s="379">
        <f t="shared" si="5"/>
        <v>1134</v>
      </c>
      <c r="C125" s="380">
        <v>42866</v>
      </c>
      <c r="D125" s="4">
        <v>2.39</v>
      </c>
      <c r="E125" s="381">
        <f t="shared" si="3"/>
        <v>2.0190042467842368E-32</v>
      </c>
      <c r="G125" s="396">
        <v>42906</v>
      </c>
      <c r="H125" s="32">
        <v>2.0691799999999998</v>
      </c>
      <c r="S125" s="396">
        <v>44034</v>
      </c>
      <c r="T125" s="390">
        <v>6.0909999999999999E-2</v>
      </c>
      <c r="U125" s="390">
        <v>3.456E-2</v>
      </c>
      <c r="V125" s="405">
        <f t="shared" si="4"/>
        <v>2.546976492421904E-2</v>
      </c>
      <c r="X125" s="396">
        <v>44027</v>
      </c>
      <c r="Y125" s="405">
        <v>1.41E-2</v>
      </c>
    </row>
    <row r="126" spans="2:25" x14ac:dyDescent="0.3">
      <c r="B126" s="379">
        <f t="shared" si="5"/>
        <v>1133</v>
      </c>
      <c r="C126" s="380">
        <v>42867</v>
      </c>
      <c r="D126" s="4">
        <v>2.33</v>
      </c>
      <c r="E126" s="381">
        <f t="shared" si="3"/>
        <v>2.1478768582811029E-32</v>
      </c>
      <c r="G126" s="396">
        <v>42907</v>
      </c>
      <c r="H126" s="32">
        <v>2.09484</v>
      </c>
      <c r="S126" s="396">
        <v>44033</v>
      </c>
      <c r="T126" s="390">
        <v>6.0909999999999999E-2</v>
      </c>
      <c r="U126" s="390">
        <v>3.4529999999999998E-2</v>
      </c>
      <c r="V126" s="405">
        <f t="shared" si="4"/>
        <v>2.5499502189400003E-2</v>
      </c>
      <c r="X126" s="396">
        <v>44026</v>
      </c>
      <c r="Y126" s="405">
        <v>1.41E-2</v>
      </c>
    </row>
    <row r="127" spans="2:25" x14ac:dyDescent="0.3">
      <c r="B127" s="379">
        <f t="shared" si="5"/>
        <v>1132</v>
      </c>
      <c r="C127" s="380">
        <v>42870</v>
      </c>
      <c r="D127" s="4">
        <v>2.34</v>
      </c>
      <c r="E127" s="381">
        <f t="shared" si="3"/>
        <v>2.2849753811501096E-32</v>
      </c>
      <c r="G127" s="396">
        <v>42908</v>
      </c>
      <c r="H127" s="32">
        <v>2.0662799999999999</v>
      </c>
      <c r="S127" s="396">
        <v>44032</v>
      </c>
      <c r="T127" s="390">
        <v>6.0909999999999999E-2</v>
      </c>
      <c r="U127" s="390">
        <v>3.456E-2</v>
      </c>
      <c r="V127" s="405">
        <f t="shared" si="4"/>
        <v>2.546976492421904E-2</v>
      </c>
      <c r="X127" s="396">
        <v>44025</v>
      </c>
      <c r="Y127" s="405">
        <v>1.4199999999999999E-2</v>
      </c>
    </row>
    <row r="128" spans="2:25" x14ac:dyDescent="0.3">
      <c r="B128" s="379">
        <f t="shared" si="5"/>
        <v>1131</v>
      </c>
      <c r="C128" s="380">
        <v>42871</v>
      </c>
      <c r="D128" s="4">
        <v>2.33</v>
      </c>
      <c r="E128" s="381">
        <f t="shared" si="3"/>
        <v>2.4308248735639467E-32</v>
      </c>
      <c r="G128" s="396">
        <v>42909</v>
      </c>
      <c r="H128" s="32">
        <v>2.0180400000000001</v>
      </c>
      <c r="S128" s="396">
        <v>44029</v>
      </c>
      <c r="T128" s="390">
        <v>6.0909999999999999E-2</v>
      </c>
      <c r="U128" s="390">
        <v>3.456E-2</v>
      </c>
      <c r="V128" s="405">
        <f t="shared" si="4"/>
        <v>2.546976492421904E-2</v>
      </c>
      <c r="X128" s="396">
        <v>44022</v>
      </c>
      <c r="Y128" s="405">
        <v>1.41E-2</v>
      </c>
    </row>
    <row r="129" spans="2:25" x14ac:dyDescent="0.3">
      <c r="B129" s="379">
        <f t="shared" si="5"/>
        <v>1130</v>
      </c>
      <c r="C129" s="380">
        <v>42872</v>
      </c>
      <c r="D129" s="4">
        <v>2.2200000000000002</v>
      </c>
      <c r="E129" s="381">
        <f t="shared" si="3"/>
        <v>2.5859839080467515E-32</v>
      </c>
      <c r="G129" s="396">
        <v>42912</v>
      </c>
      <c r="H129" s="32">
        <v>2.0056099999999999</v>
      </c>
      <c r="S129" s="396">
        <v>44028</v>
      </c>
      <c r="T129" s="390">
        <v>6.0909999999999999E-2</v>
      </c>
      <c r="U129" s="390">
        <v>3.4419999999999999E-2</v>
      </c>
      <c r="V129" s="405">
        <f t="shared" si="4"/>
        <v>2.5608553585584337E-2</v>
      </c>
      <c r="X129" s="396">
        <v>44021</v>
      </c>
      <c r="Y129" s="405">
        <v>1.3899999999999999E-2</v>
      </c>
    </row>
    <row r="130" spans="2:25" x14ac:dyDescent="0.3">
      <c r="B130" s="379">
        <f t="shared" si="5"/>
        <v>1129</v>
      </c>
      <c r="C130" s="380">
        <v>42873</v>
      </c>
      <c r="D130" s="4">
        <v>2.23</v>
      </c>
      <c r="E130" s="381">
        <f t="shared" si="3"/>
        <v>2.7510467106880337E-32</v>
      </c>
      <c r="G130" s="396">
        <v>42913</v>
      </c>
      <c r="H130" s="32">
        <v>2.00346</v>
      </c>
      <c r="S130" s="396">
        <v>44027</v>
      </c>
      <c r="T130" s="390">
        <v>6.0909999999999999E-2</v>
      </c>
      <c r="U130" s="390">
        <v>3.4540000000000001E-2</v>
      </c>
      <c r="V130" s="405">
        <f t="shared" si="4"/>
        <v>2.5489589576043414E-2</v>
      </c>
      <c r="X130" s="396">
        <v>44020</v>
      </c>
      <c r="Y130" s="405">
        <v>1.4199999999999999E-2</v>
      </c>
    </row>
    <row r="131" spans="2:25" x14ac:dyDescent="0.3">
      <c r="B131" s="379">
        <f t="shared" si="5"/>
        <v>1128</v>
      </c>
      <c r="C131" s="380">
        <v>42874</v>
      </c>
      <c r="D131" s="4">
        <v>2.23</v>
      </c>
      <c r="E131" s="381">
        <f t="shared" si="3"/>
        <v>2.9266454369021637E-32</v>
      </c>
      <c r="G131" s="396">
        <v>42914</v>
      </c>
      <c r="H131" s="32">
        <v>1.9905200000000001</v>
      </c>
      <c r="S131" s="396">
        <v>44026</v>
      </c>
      <c r="T131" s="390">
        <v>6.0909999999999999E-2</v>
      </c>
      <c r="U131" s="390">
        <v>3.4520000000000002E-2</v>
      </c>
      <c r="V131" s="405">
        <f t="shared" si="4"/>
        <v>2.550941499439352E-2</v>
      </c>
      <c r="X131" s="396">
        <v>44019</v>
      </c>
      <c r="Y131" s="405">
        <v>1.43E-2</v>
      </c>
    </row>
    <row r="132" spans="2:25" x14ac:dyDescent="0.3">
      <c r="B132" s="379">
        <f t="shared" si="5"/>
        <v>1127</v>
      </c>
      <c r="C132" s="380">
        <v>42877</v>
      </c>
      <c r="D132" s="4">
        <v>2.25</v>
      </c>
      <c r="E132" s="381">
        <f t="shared" si="3"/>
        <v>3.1134525924491104E-32</v>
      </c>
      <c r="G132" s="396">
        <v>42915</v>
      </c>
      <c r="H132" s="32">
        <v>2.0161799999999999</v>
      </c>
      <c r="S132" s="396">
        <v>44025</v>
      </c>
      <c r="T132" s="390">
        <v>6.0909999999999999E-2</v>
      </c>
      <c r="U132" s="390">
        <v>3.4790000000000001E-2</v>
      </c>
      <c r="V132" s="405">
        <f t="shared" si="4"/>
        <v>2.5241836507890358E-2</v>
      </c>
      <c r="X132" s="396">
        <v>44018</v>
      </c>
      <c r="Y132" s="405">
        <v>1.4499999999999999E-2</v>
      </c>
    </row>
    <row r="133" spans="2:25" x14ac:dyDescent="0.3">
      <c r="B133" s="379">
        <f t="shared" si="5"/>
        <v>1126</v>
      </c>
      <c r="C133" s="380">
        <v>42878</v>
      </c>
      <c r="D133" s="4">
        <v>2.29</v>
      </c>
      <c r="E133" s="381">
        <f t="shared" si="3"/>
        <v>3.3121836089884158E-32</v>
      </c>
      <c r="G133" s="396">
        <v>42916</v>
      </c>
      <c r="H133" s="32">
        <v>1.99909</v>
      </c>
      <c r="S133" s="396">
        <v>44022</v>
      </c>
      <c r="T133" s="390">
        <v>6.0909999999999999E-2</v>
      </c>
      <c r="U133" s="390">
        <v>3.4699999999999995E-2</v>
      </c>
      <c r="V133" s="405">
        <f t="shared" si="4"/>
        <v>2.5331013820431014E-2</v>
      </c>
      <c r="X133" s="396">
        <v>44014</v>
      </c>
      <c r="Y133" s="405">
        <v>1.41E-2</v>
      </c>
    </row>
    <row r="134" spans="2:25" x14ac:dyDescent="0.3">
      <c r="B134" s="379">
        <f t="shared" si="5"/>
        <v>1125</v>
      </c>
      <c r="C134" s="380">
        <v>42879</v>
      </c>
      <c r="D134" s="4">
        <v>2.2599999999999998</v>
      </c>
      <c r="E134" s="381">
        <f t="shared" si="3"/>
        <v>3.5235995840302289E-32</v>
      </c>
      <c r="G134" s="396">
        <v>42919</v>
      </c>
      <c r="H134" s="32">
        <v>1.9672000000000001</v>
      </c>
      <c r="S134" s="396">
        <v>44021</v>
      </c>
      <c r="T134" s="390">
        <v>6.0909999999999999E-2</v>
      </c>
      <c r="U134" s="390">
        <v>3.4409999999999996E-2</v>
      </c>
      <c r="V134" s="405">
        <f t="shared" si="4"/>
        <v>2.5618468498951108E-2</v>
      </c>
      <c r="X134" s="396">
        <v>44013</v>
      </c>
      <c r="Y134" s="405">
        <v>1.37E-2</v>
      </c>
    </row>
    <row r="135" spans="2:25" x14ac:dyDescent="0.3">
      <c r="B135" s="379">
        <f t="shared" si="5"/>
        <v>1124</v>
      </c>
      <c r="C135" s="380">
        <v>42880</v>
      </c>
      <c r="D135" s="4">
        <v>2.25</v>
      </c>
      <c r="E135" s="381">
        <f t="shared" si="3"/>
        <v>3.7485101957768395E-32</v>
      </c>
      <c r="G135" s="396">
        <v>42921</v>
      </c>
      <c r="H135" s="32">
        <v>2.0218699999999998</v>
      </c>
      <c r="S135" s="396">
        <v>44020</v>
      </c>
      <c r="T135" s="390">
        <v>6.0909999999999999E-2</v>
      </c>
      <c r="U135" s="390">
        <v>3.4759999999999999E-2</v>
      </c>
      <c r="V135" s="405">
        <f t="shared" si="4"/>
        <v>2.52715605551046E-2</v>
      </c>
      <c r="X135" s="396">
        <v>44012</v>
      </c>
      <c r="Y135" s="405">
        <v>1.34E-2</v>
      </c>
    </row>
    <row r="136" spans="2:25" x14ac:dyDescent="0.3">
      <c r="B136" s="379">
        <f t="shared" si="5"/>
        <v>1123</v>
      </c>
      <c r="C136" s="380">
        <v>42881</v>
      </c>
      <c r="D136" s="4">
        <v>2.25</v>
      </c>
      <c r="E136" s="381">
        <f t="shared" si="3"/>
        <v>3.9877768040179142E-32</v>
      </c>
      <c r="G136" s="396">
        <v>42922</v>
      </c>
      <c r="H136" s="32">
        <v>2.06792</v>
      </c>
      <c r="S136" s="396">
        <v>44019</v>
      </c>
      <c r="T136" s="390">
        <v>6.0909999999999999E-2</v>
      </c>
      <c r="U136" s="390">
        <v>3.4639999999999997E-2</v>
      </c>
      <c r="V136" s="405">
        <f t="shared" si="4"/>
        <v>2.5390473981288242E-2</v>
      </c>
      <c r="X136" s="396">
        <v>44011</v>
      </c>
      <c r="Y136" s="405">
        <v>1.34E-2</v>
      </c>
    </row>
    <row r="137" spans="2:25" x14ac:dyDescent="0.3">
      <c r="B137" s="379">
        <f t="shared" si="5"/>
        <v>1122</v>
      </c>
      <c r="C137" s="380">
        <v>42885</v>
      </c>
      <c r="D137" s="4">
        <v>2.21</v>
      </c>
      <c r="E137" s="381">
        <f t="shared" ref="E137:E200" si="6">+(1-$C$4)*$C$4^B137</f>
        <v>4.2423157489552281E-32</v>
      </c>
      <c r="G137" s="396">
        <v>42923</v>
      </c>
      <c r="H137" s="32">
        <v>2.0574400000000002</v>
      </c>
      <c r="S137" s="396">
        <v>44018</v>
      </c>
      <c r="T137" s="390">
        <v>6.0909999999999999E-2</v>
      </c>
      <c r="U137" s="390">
        <v>3.44E-2</v>
      </c>
      <c r="V137" s="405">
        <f t="shared" ref="V137:V200" si="7">(1+T137)/(1+U137)-1</f>
        <v>2.5628383604021643E-2</v>
      </c>
      <c r="X137" s="396">
        <v>44008</v>
      </c>
      <c r="Y137" s="405">
        <v>1.32E-2</v>
      </c>
    </row>
    <row r="138" spans="2:25" x14ac:dyDescent="0.3">
      <c r="B138" s="379">
        <f t="shared" si="5"/>
        <v>1121</v>
      </c>
      <c r="C138" s="380">
        <v>42886</v>
      </c>
      <c r="D138" s="4">
        <v>2.21</v>
      </c>
      <c r="E138" s="381">
        <f t="shared" si="6"/>
        <v>4.5131018605906685E-32</v>
      </c>
      <c r="G138" s="396">
        <v>42926</v>
      </c>
      <c r="H138" s="32">
        <v>2.0382799999999999</v>
      </c>
      <c r="S138" s="396">
        <v>44015</v>
      </c>
      <c r="T138" s="390">
        <v>6.0909999999999999E-2</v>
      </c>
      <c r="U138" s="390">
        <v>3.4230000000000003E-2</v>
      </c>
      <c r="V138" s="405">
        <f t="shared" si="7"/>
        <v>2.579696972626988E-2</v>
      </c>
      <c r="X138" s="396">
        <v>44007</v>
      </c>
      <c r="Y138" s="405">
        <v>1.3300000000000001E-2</v>
      </c>
    </row>
    <row r="139" spans="2:25" x14ac:dyDescent="0.3">
      <c r="B139" s="379">
        <f t="shared" ref="B139:B202" si="8">+B138-1</f>
        <v>1120</v>
      </c>
      <c r="C139" s="380">
        <v>42887</v>
      </c>
      <c r="D139" s="4">
        <v>2.21</v>
      </c>
      <c r="E139" s="381">
        <f t="shared" si="6"/>
        <v>4.8011721921177325E-32</v>
      </c>
      <c r="G139" s="396">
        <v>42927</v>
      </c>
      <c r="H139" s="32">
        <v>2.0133000000000001</v>
      </c>
      <c r="S139" s="396">
        <v>44014</v>
      </c>
      <c r="T139" s="390">
        <v>6.0909999999999999E-2</v>
      </c>
      <c r="U139" s="390">
        <v>3.4520000000000002E-2</v>
      </c>
      <c r="V139" s="405">
        <f t="shared" si="7"/>
        <v>2.550941499439352E-2</v>
      </c>
      <c r="X139" s="396">
        <v>44006</v>
      </c>
      <c r="Y139" s="405">
        <v>1.3300000000000001E-2</v>
      </c>
    </row>
    <row r="140" spans="2:25" x14ac:dyDescent="0.3">
      <c r="B140" s="379">
        <f t="shared" si="8"/>
        <v>1119</v>
      </c>
      <c r="C140" s="380">
        <v>42888</v>
      </c>
      <c r="D140" s="4">
        <v>2.15</v>
      </c>
      <c r="E140" s="381">
        <f t="shared" si="6"/>
        <v>5.1076299916146094E-32</v>
      </c>
      <c r="G140" s="396">
        <v>42928</v>
      </c>
      <c r="H140" s="32">
        <v>2.0171000000000001</v>
      </c>
      <c r="S140" s="396">
        <v>44013</v>
      </c>
      <c r="T140" s="390">
        <v>6.0909999999999999E-2</v>
      </c>
      <c r="U140" s="390">
        <v>3.4569999999999997E-2</v>
      </c>
      <c r="V140" s="405">
        <f t="shared" si="7"/>
        <v>2.5459852885739931E-2</v>
      </c>
      <c r="X140" s="396">
        <v>44005</v>
      </c>
      <c r="Y140" s="405">
        <v>1.38E-2</v>
      </c>
    </row>
    <row r="141" spans="2:25" x14ac:dyDescent="0.3">
      <c r="B141" s="379">
        <f t="shared" si="8"/>
        <v>1118</v>
      </c>
      <c r="C141" s="380">
        <v>42891</v>
      </c>
      <c r="D141" s="4">
        <v>2.1800000000000002</v>
      </c>
      <c r="E141" s="381">
        <f t="shared" si="6"/>
        <v>5.4336489272495851E-32</v>
      </c>
      <c r="G141" s="396">
        <v>42929</v>
      </c>
      <c r="H141" s="32">
        <v>2.0272199999999998</v>
      </c>
      <c r="S141" s="396">
        <v>44012</v>
      </c>
      <c r="T141" s="390">
        <v>6.0909999999999999E-2</v>
      </c>
      <c r="U141" s="390">
        <v>3.4689999999999999E-2</v>
      </c>
      <c r="V141" s="405">
        <f t="shared" si="7"/>
        <v>2.534092336835192E-2</v>
      </c>
      <c r="X141" s="396">
        <v>44004</v>
      </c>
      <c r="Y141" s="405">
        <v>1.34E-2</v>
      </c>
    </row>
    <row r="142" spans="2:25" x14ac:dyDescent="0.3">
      <c r="B142" s="379">
        <f t="shared" si="8"/>
        <v>1117</v>
      </c>
      <c r="C142" s="380">
        <v>42892</v>
      </c>
      <c r="D142" s="4">
        <v>2.14</v>
      </c>
      <c r="E142" s="381">
        <f t="shared" si="6"/>
        <v>5.7804775821804088E-32</v>
      </c>
      <c r="G142" s="396">
        <v>42930</v>
      </c>
      <c r="H142" s="32">
        <v>2.0372699999999999</v>
      </c>
      <c r="S142" s="396">
        <v>44011</v>
      </c>
      <c r="T142" s="390">
        <v>6.0909999999999999E-2</v>
      </c>
      <c r="U142" s="390">
        <v>3.5279999999999999E-2</v>
      </c>
      <c r="V142" s="405">
        <f t="shared" si="7"/>
        <v>2.4756587589830792E-2</v>
      </c>
      <c r="X142" s="396">
        <v>44001</v>
      </c>
      <c r="Y142" s="405">
        <v>1.3000000000000001E-2</v>
      </c>
    </row>
    <row r="143" spans="2:25" x14ac:dyDescent="0.3">
      <c r="B143" s="379">
        <f t="shared" si="8"/>
        <v>1116</v>
      </c>
      <c r="C143" s="380">
        <v>42893</v>
      </c>
      <c r="D143" s="4">
        <v>2.1800000000000002</v>
      </c>
      <c r="E143" s="381">
        <f t="shared" si="6"/>
        <v>6.1494442363621381E-32</v>
      </c>
      <c r="G143" s="396">
        <v>42933</v>
      </c>
      <c r="H143" s="32">
        <v>2.0384199999999999</v>
      </c>
      <c r="S143" s="396">
        <v>44008</v>
      </c>
      <c r="T143" s="390">
        <v>6.0909999999999999E-2</v>
      </c>
      <c r="U143" s="390">
        <v>3.5279999999999999E-2</v>
      </c>
      <c r="V143" s="405">
        <f t="shared" si="7"/>
        <v>2.4756587589830792E-2</v>
      </c>
      <c r="X143" s="396">
        <v>44000</v>
      </c>
      <c r="Y143" s="405">
        <v>1.2800000000000001E-2</v>
      </c>
    </row>
    <row r="144" spans="2:25" x14ac:dyDescent="0.3">
      <c r="B144" s="379">
        <f t="shared" si="8"/>
        <v>1115</v>
      </c>
      <c r="C144" s="380">
        <v>42894</v>
      </c>
      <c r="D144" s="4">
        <v>2.19</v>
      </c>
      <c r="E144" s="381">
        <f t="shared" si="6"/>
        <v>6.5419619535767415E-32</v>
      </c>
      <c r="G144" s="396">
        <v>42934</v>
      </c>
      <c r="H144" s="32">
        <v>2.0304700000000002</v>
      </c>
      <c r="S144" s="396">
        <v>44007</v>
      </c>
      <c r="T144" s="390">
        <v>6.0909999999999999E-2</v>
      </c>
      <c r="U144" s="390">
        <v>3.5290000000000002E-2</v>
      </c>
      <c r="V144" s="405">
        <f t="shared" si="7"/>
        <v>2.4746689333423388E-2</v>
      </c>
      <c r="X144" s="396">
        <v>43999</v>
      </c>
      <c r="Y144" s="405">
        <v>1.26E-2</v>
      </c>
    </row>
    <row r="145" spans="2:25" x14ac:dyDescent="0.3">
      <c r="B145" s="379">
        <f t="shared" si="8"/>
        <v>1114</v>
      </c>
      <c r="C145" s="380">
        <v>42895</v>
      </c>
      <c r="D145" s="4">
        <v>2.21</v>
      </c>
      <c r="E145" s="381">
        <f t="shared" si="6"/>
        <v>6.9595339931667464E-32</v>
      </c>
      <c r="G145" s="396">
        <v>42935</v>
      </c>
      <c r="H145" s="32">
        <v>2.0080200000000001</v>
      </c>
      <c r="S145" s="396">
        <v>44006</v>
      </c>
      <c r="T145" s="390">
        <v>6.0909999999999999E-2</v>
      </c>
      <c r="U145" s="390">
        <v>3.4810000000000001E-2</v>
      </c>
      <c r="V145" s="405">
        <f t="shared" si="7"/>
        <v>2.5222021433886521E-2</v>
      </c>
      <c r="X145" s="396">
        <v>43998</v>
      </c>
      <c r="Y145" s="405">
        <v>1.2699999999999999E-2</v>
      </c>
    </row>
    <row r="146" spans="2:25" x14ac:dyDescent="0.3">
      <c r="B146" s="379">
        <f t="shared" si="8"/>
        <v>1113</v>
      </c>
      <c r="C146" s="380">
        <v>42898</v>
      </c>
      <c r="D146" s="4">
        <v>2.21</v>
      </c>
      <c r="E146" s="381">
        <f t="shared" si="6"/>
        <v>7.4037595671986669E-32</v>
      </c>
      <c r="G146" s="396">
        <v>42936</v>
      </c>
      <c r="H146" s="32">
        <v>1.9835</v>
      </c>
      <c r="S146" s="396">
        <v>44005</v>
      </c>
      <c r="T146" s="390">
        <v>6.0909999999999999E-2</v>
      </c>
      <c r="U146" s="390">
        <v>3.4820000000000004E-2</v>
      </c>
      <c r="V146" s="405">
        <f t="shared" si="7"/>
        <v>2.5212114184109291E-2</v>
      </c>
      <c r="X146" s="396">
        <v>43997</v>
      </c>
      <c r="Y146" s="405">
        <v>1.23E-2</v>
      </c>
    </row>
    <row r="147" spans="2:25" x14ac:dyDescent="0.3">
      <c r="B147" s="379">
        <f t="shared" si="8"/>
        <v>1112</v>
      </c>
      <c r="C147" s="380">
        <v>42899</v>
      </c>
      <c r="D147" s="4">
        <v>2.21</v>
      </c>
      <c r="E147" s="381">
        <f t="shared" si="6"/>
        <v>7.8763399651049648E-32</v>
      </c>
      <c r="G147" s="396">
        <v>42937</v>
      </c>
      <c r="H147" s="32">
        <v>1.97688</v>
      </c>
      <c r="S147" s="396">
        <v>44004</v>
      </c>
      <c r="T147" s="390">
        <v>6.0909999999999999E-2</v>
      </c>
      <c r="U147" s="390">
        <v>3.4599999999999999E-2</v>
      </c>
      <c r="V147" s="405">
        <f t="shared" si="7"/>
        <v>2.5430117919969186E-2</v>
      </c>
      <c r="X147" s="396">
        <v>43994</v>
      </c>
      <c r="Y147" s="405">
        <v>1.21E-2</v>
      </c>
    </row>
    <row r="148" spans="2:25" x14ac:dyDescent="0.3">
      <c r="B148" s="379">
        <f t="shared" si="8"/>
        <v>1111</v>
      </c>
      <c r="C148" s="380">
        <v>42900</v>
      </c>
      <c r="D148" s="4">
        <v>2.15</v>
      </c>
      <c r="E148" s="381">
        <f t="shared" si="6"/>
        <v>8.3790850692606004E-32</v>
      </c>
      <c r="G148" s="396">
        <v>42940</v>
      </c>
      <c r="H148" s="32">
        <v>2.0120300000000002</v>
      </c>
      <c r="S148" s="396">
        <v>44001</v>
      </c>
      <c r="T148" s="390">
        <v>6.0909999999999999E-2</v>
      </c>
      <c r="U148" s="390">
        <v>3.4599999999999999E-2</v>
      </c>
      <c r="V148" s="405">
        <f t="shared" si="7"/>
        <v>2.5430117919969186E-2</v>
      </c>
      <c r="X148" s="396">
        <v>43993</v>
      </c>
      <c r="Y148" s="405">
        <v>1.21E-2</v>
      </c>
    </row>
    <row r="149" spans="2:25" x14ac:dyDescent="0.3">
      <c r="B149" s="379">
        <f t="shared" si="8"/>
        <v>1110</v>
      </c>
      <c r="C149" s="380">
        <v>42901</v>
      </c>
      <c r="D149" s="4">
        <v>2.16</v>
      </c>
      <c r="E149" s="381">
        <f t="shared" si="6"/>
        <v>8.9139202864474488E-32</v>
      </c>
      <c r="G149" s="396">
        <v>42941</v>
      </c>
      <c r="H149" s="32">
        <v>1.97167</v>
      </c>
      <c r="S149" s="396">
        <v>44000</v>
      </c>
      <c r="T149" s="390">
        <v>6.0909999999999999E-2</v>
      </c>
      <c r="U149" s="390">
        <v>3.4189999999999998E-2</v>
      </c>
      <c r="V149" s="405">
        <f t="shared" si="7"/>
        <v>2.5836645103897826E-2</v>
      </c>
      <c r="X149" s="396">
        <v>43992</v>
      </c>
      <c r="Y149" s="405">
        <v>1.2699999999999999E-2</v>
      </c>
    </row>
    <row r="150" spans="2:25" x14ac:dyDescent="0.3">
      <c r="B150" s="379">
        <f t="shared" si="8"/>
        <v>1109</v>
      </c>
      <c r="C150" s="380">
        <v>42902</v>
      </c>
      <c r="D150" s="4">
        <v>2.16</v>
      </c>
      <c r="E150" s="381">
        <f t="shared" si="6"/>
        <v>9.4828939217526016E-32</v>
      </c>
      <c r="G150" s="396">
        <v>42942</v>
      </c>
      <c r="H150" s="32">
        <v>1.95261</v>
      </c>
      <c r="S150" s="396">
        <v>43999</v>
      </c>
      <c r="T150" s="390">
        <v>6.0909999999999999E-2</v>
      </c>
      <c r="U150" s="390">
        <v>3.3230000000000003E-2</v>
      </c>
      <c r="V150" s="405">
        <f t="shared" si="7"/>
        <v>2.6789775751768552E-2</v>
      </c>
      <c r="X150" s="396">
        <v>43991</v>
      </c>
      <c r="Y150" s="405">
        <v>1.26E-2</v>
      </c>
    </row>
    <row r="151" spans="2:25" x14ac:dyDescent="0.3">
      <c r="B151" s="379">
        <f t="shared" si="8"/>
        <v>1108</v>
      </c>
      <c r="C151" s="380">
        <v>42905</v>
      </c>
      <c r="D151" s="4">
        <v>2.19</v>
      </c>
      <c r="E151" s="381">
        <f t="shared" si="6"/>
        <v>1.0088185023141068E-31</v>
      </c>
      <c r="G151" s="396">
        <v>42943</v>
      </c>
      <c r="H151" s="32">
        <v>1.9333499999999999</v>
      </c>
      <c r="S151" s="396">
        <v>43998</v>
      </c>
      <c r="T151" s="390">
        <v>6.0909999999999999E-2</v>
      </c>
      <c r="U151" s="390">
        <v>3.5099999999999999E-2</v>
      </c>
      <c r="V151" s="405">
        <f t="shared" si="7"/>
        <v>2.4934788909284133E-2</v>
      </c>
      <c r="X151" s="396">
        <v>43990</v>
      </c>
      <c r="Y151" s="405">
        <v>1.2800000000000001E-2</v>
      </c>
    </row>
    <row r="152" spans="2:25" x14ac:dyDescent="0.3">
      <c r="B152" s="379">
        <f t="shared" si="8"/>
        <v>1107</v>
      </c>
      <c r="C152" s="380">
        <v>42906</v>
      </c>
      <c r="D152" s="4">
        <v>2.16</v>
      </c>
      <c r="E152" s="381">
        <f t="shared" si="6"/>
        <v>1.0732111726745818E-31</v>
      </c>
      <c r="G152" s="396">
        <v>42944</v>
      </c>
      <c r="H152" s="32">
        <v>1.9500299999999999</v>
      </c>
      <c r="S152" s="396">
        <v>43997</v>
      </c>
      <c r="T152" s="390">
        <v>6.0909999999999999E-2</v>
      </c>
      <c r="U152" s="390">
        <v>3.6240000000000001E-2</v>
      </c>
      <c r="V152" s="405">
        <f t="shared" si="7"/>
        <v>2.3807226125222014E-2</v>
      </c>
      <c r="X152" s="396">
        <v>43987</v>
      </c>
      <c r="Y152" s="405">
        <v>1.2699999999999999E-2</v>
      </c>
    </row>
    <row r="153" spans="2:25" x14ac:dyDescent="0.3">
      <c r="B153" s="379">
        <f t="shared" si="8"/>
        <v>1106</v>
      </c>
      <c r="C153" s="380">
        <v>42907</v>
      </c>
      <c r="D153" s="4">
        <v>2.16</v>
      </c>
      <c r="E153" s="381">
        <f t="shared" si="6"/>
        <v>1.1417140134835977E-31</v>
      </c>
      <c r="G153" s="396">
        <v>42947</v>
      </c>
      <c r="H153" s="32">
        <v>1.9421999999999999</v>
      </c>
      <c r="S153" s="396">
        <v>43994</v>
      </c>
      <c r="T153" s="390">
        <v>6.0909999999999999E-2</v>
      </c>
      <c r="U153" s="390">
        <v>3.6240000000000001E-2</v>
      </c>
      <c r="V153" s="405">
        <f t="shared" si="7"/>
        <v>2.3807226125222014E-2</v>
      </c>
      <c r="X153" s="396">
        <v>43986</v>
      </c>
      <c r="Y153" s="405">
        <v>1.2199999999999999E-2</v>
      </c>
    </row>
    <row r="154" spans="2:25" x14ac:dyDescent="0.3">
      <c r="B154" s="379">
        <f t="shared" si="8"/>
        <v>1105</v>
      </c>
      <c r="C154" s="380">
        <v>42908</v>
      </c>
      <c r="D154" s="4">
        <v>2.15</v>
      </c>
      <c r="E154" s="381">
        <f t="shared" si="6"/>
        <v>1.2145893760463804E-31</v>
      </c>
      <c r="G154" s="396">
        <v>42948</v>
      </c>
      <c r="H154" s="32">
        <v>1.95644</v>
      </c>
      <c r="S154" s="396">
        <v>43993</v>
      </c>
      <c r="T154" s="390">
        <v>6.0909999999999999E-2</v>
      </c>
      <c r="U154" s="390">
        <v>3.4300000000000004E-2</v>
      </c>
      <c r="V154" s="405">
        <f t="shared" si="7"/>
        <v>2.5727545199651924E-2</v>
      </c>
      <c r="X154" s="396">
        <v>43985</v>
      </c>
      <c r="Y154" s="405">
        <v>1.21E-2</v>
      </c>
    </row>
    <row r="155" spans="2:25" x14ac:dyDescent="0.3">
      <c r="B155" s="379">
        <f t="shared" si="8"/>
        <v>1104</v>
      </c>
      <c r="C155" s="380">
        <v>42909</v>
      </c>
      <c r="D155" s="4">
        <v>2.15</v>
      </c>
      <c r="E155" s="381">
        <f t="shared" si="6"/>
        <v>1.2921163574961496E-31</v>
      </c>
      <c r="G155" s="396">
        <v>42949</v>
      </c>
      <c r="H155" s="32">
        <v>1.9686900000000001</v>
      </c>
      <c r="S155" s="396">
        <v>43992</v>
      </c>
      <c r="T155" s="390">
        <v>6.0909999999999999E-2</v>
      </c>
      <c r="U155" s="390">
        <v>3.4300000000000004E-2</v>
      </c>
      <c r="V155" s="405">
        <f t="shared" si="7"/>
        <v>2.5727545199651924E-2</v>
      </c>
      <c r="X155" s="396">
        <v>43984</v>
      </c>
      <c r="Y155" s="405">
        <v>1.18E-2</v>
      </c>
    </row>
    <row r="156" spans="2:25" x14ac:dyDescent="0.3">
      <c r="B156" s="379">
        <f t="shared" si="8"/>
        <v>1103</v>
      </c>
      <c r="C156" s="380">
        <v>42912</v>
      </c>
      <c r="D156" s="4">
        <v>2.14</v>
      </c>
      <c r="E156" s="381">
        <f t="shared" si="6"/>
        <v>1.3745918696767547E-31</v>
      </c>
      <c r="G156" s="396">
        <v>42950</v>
      </c>
      <c r="H156" s="32">
        <v>2.0137</v>
      </c>
      <c r="S156" s="396">
        <v>43991</v>
      </c>
      <c r="T156" s="390">
        <v>6.0789999999999997E-2</v>
      </c>
      <c r="U156" s="390">
        <v>3.449E-2</v>
      </c>
      <c r="V156" s="405">
        <f t="shared" si="7"/>
        <v>2.542315537124562E-2</v>
      </c>
      <c r="X156" s="396">
        <v>43983</v>
      </c>
      <c r="Y156" s="405">
        <v>1.18E-2</v>
      </c>
    </row>
    <row r="157" spans="2:25" x14ac:dyDescent="0.3">
      <c r="B157" s="379">
        <f t="shared" si="8"/>
        <v>1102</v>
      </c>
      <c r="C157" s="380">
        <v>42913</v>
      </c>
      <c r="D157" s="4">
        <v>2.21</v>
      </c>
      <c r="E157" s="381">
        <f t="shared" si="6"/>
        <v>1.4623317762518669E-31</v>
      </c>
      <c r="G157" s="396">
        <v>42951</v>
      </c>
      <c r="H157" s="32">
        <v>1.9966600000000001</v>
      </c>
      <c r="S157" s="396">
        <v>43990</v>
      </c>
      <c r="T157" s="390">
        <v>6.1010000000000002E-2</v>
      </c>
      <c r="U157" s="390">
        <v>3.39E-2</v>
      </c>
      <c r="V157" s="405">
        <f t="shared" si="7"/>
        <v>2.6221104555566255E-2</v>
      </c>
      <c r="X157" s="396">
        <v>43980</v>
      </c>
      <c r="Y157" s="405">
        <v>1.15E-2</v>
      </c>
    </row>
    <row r="158" spans="2:25" x14ac:dyDescent="0.3">
      <c r="B158" s="379">
        <f t="shared" si="8"/>
        <v>1101</v>
      </c>
      <c r="C158" s="380">
        <v>42914</v>
      </c>
      <c r="D158" s="4">
        <v>2.2200000000000002</v>
      </c>
      <c r="E158" s="381">
        <f t="shared" si="6"/>
        <v>1.5556721023956029E-31</v>
      </c>
      <c r="G158" s="396">
        <v>42954</v>
      </c>
      <c r="H158" s="32">
        <v>1.9723299999999999</v>
      </c>
      <c r="S158" s="396">
        <v>43987</v>
      </c>
      <c r="T158" s="390">
        <v>6.0949999999999997E-2</v>
      </c>
      <c r="U158" s="390">
        <v>3.3170000000000005E-2</v>
      </c>
      <c r="V158" s="405">
        <f t="shared" si="7"/>
        <v>2.6888121025581579E-2</v>
      </c>
      <c r="X158" s="396">
        <v>43979</v>
      </c>
      <c r="Y158" s="405">
        <v>1.18E-2</v>
      </c>
    </row>
    <row r="159" spans="2:25" x14ac:dyDescent="0.3">
      <c r="B159" s="379">
        <f t="shared" si="8"/>
        <v>1100</v>
      </c>
      <c r="C159" s="380">
        <v>42915</v>
      </c>
      <c r="D159" s="4">
        <v>2.27</v>
      </c>
      <c r="E159" s="381">
        <f t="shared" si="6"/>
        <v>1.6549703216974504E-31</v>
      </c>
      <c r="G159" s="396">
        <v>42955</v>
      </c>
      <c r="H159" s="32">
        <v>1.95279</v>
      </c>
      <c r="S159" s="396">
        <v>43986</v>
      </c>
      <c r="T159" s="390">
        <v>6.0469999999999996E-2</v>
      </c>
      <c r="U159" s="390">
        <v>3.3000000000000002E-2</v>
      </c>
      <c r="V159" s="405">
        <f t="shared" si="7"/>
        <v>2.6592449177154087E-2</v>
      </c>
      <c r="X159" s="396">
        <v>43978</v>
      </c>
      <c r="Y159" s="405">
        <v>1.1399999999999999E-2</v>
      </c>
    </row>
    <row r="160" spans="2:25" x14ac:dyDescent="0.3">
      <c r="B160" s="379">
        <f t="shared" si="8"/>
        <v>1099</v>
      </c>
      <c r="C160" s="380">
        <v>42916</v>
      </c>
      <c r="D160" s="4">
        <v>2.31</v>
      </c>
      <c r="E160" s="381">
        <f t="shared" si="6"/>
        <v>1.7606067252100532E-31</v>
      </c>
      <c r="G160" s="396">
        <v>42956</v>
      </c>
      <c r="H160" s="32">
        <v>2.0187900000000001</v>
      </c>
      <c r="S160" s="396">
        <v>43985</v>
      </c>
      <c r="T160" s="390">
        <v>6.0339999999999998E-2</v>
      </c>
      <c r="U160" s="390">
        <v>3.288E-2</v>
      </c>
      <c r="V160" s="405">
        <f t="shared" si="7"/>
        <v>2.6585857021144799E-2</v>
      </c>
      <c r="X160" s="396">
        <v>43977</v>
      </c>
      <c r="Y160" s="405">
        <v>1.1299999999999999E-2</v>
      </c>
    </row>
    <row r="161" spans="2:25" x14ac:dyDescent="0.3">
      <c r="B161" s="379">
        <f t="shared" si="8"/>
        <v>1098</v>
      </c>
      <c r="C161" s="380">
        <v>42919</v>
      </c>
      <c r="D161" s="4">
        <v>2.35</v>
      </c>
      <c r="E161" s="381">
        <f t="shared" si="6"/>
        <v>1.8729858778830354E-31</v>
      </c>
      <c r="G161" s="396">
        <v>42957</v>
      </c>
      <c r="H161" s="32">
        <v>2.0982500000000002</v>
      </c>
      <c r="S161" s="396">
        <v>43984</v>
      </c>
      <c r="T161" s="390">
        <v>5.9930000000000004E-2</v>
      </c>
      <c r="U161" s="390">
        <v>3.2599999999999997E-2</v>
      </c>
      <c r="V161" s="405">
        <f t="shared" si="7"/>
        <v>2.6467170249854899E-2</v>
      </c>
      <c r="X161" s="396">
        <v>43973</v>
      </c>
      <c r="Y161" s="405">
        <v>1.1200000000000002E-2</v>
      </c>
    </row>
    <row r="162" spans="2:25" x14ac:dyDescent="0.3">
      <c r="B162" s="379">
        <f t="shared" si="8"/>
        <v>1097</v>
      </c>
      <c r="C162" s="380">
        <v>42921</v>
      </c>
      <c r="D162" s="4">
        <v>2.33</v>
      </c>
      <c r="E162" s="381">
        <f t="shared" si="6"/>
        <v>1.9925381679606759E-31</v>
      </c>
      <c r="G162" s="396">
        <v>42958</v>
      </c>
      <c r="H162" s="32">
        <v>2.0785900000000002</v>
      </c>
      <c r="S162" s="396">
        <v>43983</v>
      </c>
      <c r="T162" s="390">
        <v>6.0430000000000005E-2</v>
      </c>
      <c r="U162" s="390">
        <v>3.2910000000000002E-2</v>
      </c>
      <c r="V162" s="405">
        <f t="shared" si="7"/>
        <v>2.6643173170944223E-2</v>
      </c>
      <c r="X162" s="396">
        <v>43972</v>
      </c>
      <c r="Y162" s="405">
        <v>1.1399999999999999E-2</v>
      </c>
    </row>
    <row r="163" spans="2:25" x14ac:dyDescent="0.3">
      <c r="B163" s="379">
        <f t="shared" si="8"/>
        <v>1096</v>
      </c>
      <c r="C163" s="380">
        <v>42922</v>
      </c>
      <c r="D163" s="4">
        <v>2.37</v>
      </c>
      <c r="E163" s="381">
        <f t="shared" si="6"/>
        <v>2.1197214552773151E-31</v>
      </c>
      <c r="G163" s="396">
        <v>42961</v>
      </c>
      <c r="H163" s="32">
        <v>2.0260400000000001</v>
      </c>
      <c r="S163" s="396">
        <v>43980</v>
      </c>
      <c r="T163" s="390">
        <v>6.0590000000000005E-2</v>
      </c>
      <c r="U163" s="390">
        <v>3.2669999999999998E-2</v>
      </c>
      <c r="V163" s="405">
        <f t="shared" si="7"/>
        <v>2.7036710662651231E-2</v>
      </c>
      <c r="X163" s="396">
        <v>43971</v>
      </c>
      <c r="Y163" s="405">
        <v>1.1599999999999999E-2</v>
      </c>
    </row>
    <row r="164" spans="2:25" x14ac:dyDescent="0.3">
      <c r="B164" s="379">
        <f t="shared" si="8"/>
        <v>1095</v>
      </c>
      <c r="C164" s="380">
        <v>42923</v>
      </c>
      <c r="D164" s="4">
        <v>2.39</v>
      </c>
      <c r="E164" s="381">
        <f t="shared" si="6"/>
        <v>2.2550228247631009E-31</v>
      </c>
      <c r="G164" s="396">
        <v>42962</v>
      </c>
      <c r="H164" s="32">
        <v>1.9833400000000001</v>
      </c>
      <c r="S164" s="396">
        <v>43979</v>
      </c>
      <c r="T164" s="390">
        <v>5.7910000000000003E-2</v>
      </c>
      <c r="U164" s="390">
        <v>3.236E-2</v>
      </c>
      <c r="V164" s="405">
        <f t="shared" si="7"/>
        <v>2.4749118524545644E-2</v>
      </c>
      <c r="X164" s="396">
        <v>43970</v>
      </c>
      <c r="Y164" s="405">
        <v>1.15E-2</v>
      </c>
    </row>
    <row r="165" spans="2:25" x14ac:dyDescent="0.3">
      <c r="B165" s="379">
        <f t="shared" si="8"/>
        <v>1094</v>
      </c>
      <c r="C165" s="380">
        <v>42926</v>
      </c>
      <c r="D165" s="4">
        <v>2.38</v>
      </c>
      <c r="E165" s="381">
        <f t="shared" si="6"/>
        <v>2.3989604518756398E-31</v>
      </c>
      <c r="G165" s="396">
        <v>42963</v>
      </c>
      <c r="H165" s="32">
        <v>1.9943500000000001</v>
      </c>
      <c r="S165" s="396">
        <v>43978</v>
      </c>
      <c r="T165" s="390">
        <v>5.7670000000000006E-2</v>
      </c>
      <c r="U165" s="390">
        <v>3.1899999999999998E-2</v>
      </c>
      <c r="V165" s="405">
        <f t="shared" si="7"/>
        <v>2.4973350130826688E-2</v>
      </c>
      <c r="X165" s="396">
        <v>43969</v>
      </c>
      <c r="Y165" s="405">
        <v>1.1699999999999999E-2</v>
      </c>
    </row>
    <row r="166" spans="2:25" x14ac:dyDescent="0.3">
      <c r="B166" s="379">
        <f t="shared" si="8"/>
        <v>1093</v>
      </c>
      <c r="C166" s="380">
        <v>42927</v>
      </c>
      <c r="D166" s="4">
        <v>2.37</v>
      </c>
      <c r="E166" s="381">
        <f t="shared" si="6"/>
        <v>2.5520855871017437E-31</v>
      </c>
      <c r="G166" s="396">
        <v>42964</v>
      </c>
      <c r="H166" s="32">
        <v>2.0407299999999999</v>
      </c>
      <c r="S166" s="396">
        <v>43977</v>
      </c>
      <c r="T166" s="390">
        <v>6.1109999999999998E-2</v>
      </c>
      <c r="U166" s="390">
        <v>3.2480000000000002E-2</v>
      </c>
      <c r="V166" s="405">
        <f t="shared" si="7"/>
        <v>2.7729350689601695E-2</v>
      </c>
      <c r="X166" s="396">
        <v>43966</v>
      </c>
      <c r="Y166" s="405">
        <v>1.09E-2</v>
      </c>
    </row>
    <row r="167" spans="2:25" x14ac:dyDescent="0.3">
      <c r="B167" s="379">
        <f t="shared" si="8"/>
        <v>1092</v>
      </c>
      <c r="C167" s="380">
        <v>42928</v>
      </c>
      <c r="D167" s="4">
        <v>2.33</v>
      </c>
      <c r="E167" s="381">
        <f t="shared" si="6"/>
        <v>2.7149846671295154E-31</v>
      </c>
      <c r="G167" s="396">
        <v>42965</v>
      </c>
      <c r="H167" s="32">
        <v>2.0310299999999999</v>
      </c>
      <c r="S167" s="396">
        <v>43976</v>
      </c>
      <c r="T167" s="390">
        <v>6.1109999999999998E-2</v>
      </c>
      <c r="U167" s="390">
        <v>3.211E-2</v>
      </c>
      <c r="V167" s="405">
        <f t="shared" si="7"/>
        <v>2.8097780275358142E-2</v>
      </c>
      <c r="X167" s="396">
        <v>43965</v>
      </c>
      <c r="Y167" s="405">
        <v>1.06E-2</v>
      </c>
    </row>
    <row r="168" spans="2:25" x14ac:dyDescent="0.3">
      <c r="B168" s="379">
        <f t="shared" si="8"/>
        <v>1091</v>
      </c>
      <c r="C168" s="380">
        <v>42929</v>
      </c>
      <c r="D168" s="4">
        <v>2.35</v>
      </c>
      <c r="E168" s="381">
        <f t="shared" si="6"/>
        <v>2.8882815607760795E-31</v>
      </c>
      <c r="G168" s="396">
        <v>42968</v>
      </c>
      <c r="H168" s="32">
        <v>2.0325099999999998</v>
      </c>
      <c r="S168" s="396">
        <v>43973</v>
      </c>
      <c r="T168" s="390">
        <v>6.1109999999999998E-2</v>
      </c>
      <c r="U168" s="390">
        <v>3.211E-2</v>
      </c>
      <c r="V168" s="405">
        <f t="shared" si="7"/>
        <v>2.8097780275358142E-2</v>
      </c>
      <c r="X168" s="396">
        <v>43964</v>
      </c>
      <c r="Y168" s="405">
        <v>1.0700000000000001E-2</v>
      </c>
    </row>
    <row r="169" spans="2:25" x14ac:dyDescent="0.3">
      <c r="B169" s="379">
        <f t="shared" si="8"/>
        <v>1090</v>
      </c>
      <c r="C169" s="380">
        <v>42930</v>
      </c>
      <c r="D169" s="4">
        <v>2.33</v>
      </c>
      <c r="E169" s="381">
        <f t="shared" si="6"/>
        <v>3.0726399582724256E-31</v>
      </c>
      <c r="G169" s="396">
        <v>42969</v>
      </c>
      <c r="H169" s="32">
        <v>2.0162800000000001</v>
      </c>
      <c r="S169" s="396">
        <v>43972</v>
      </c>
      <c r="T169" s="390">
        <v>6.0929999999999998E-2</v>
      </c>
      <c r="U169" s="390">
        <v>3.2099999999999997E-2</v>
      </c>
      <c r="V169" s="405">
        <f t="shared" si="7"/>
        <v>2.7933339792655554E-2</v>
      </c>
      <c r="X169" s="396">
        <v>43963</v>
      </c>
      <c r="Y169" s="405">
        <v>1.09E-2</v>
      </c>
    </row>
    <row r="170" spans="2:25" x14ac:dyDescent="0.3">
      <c r="B170" s="379">
        <f t="shared" si="8"/>
        <v>1089</v>
      </c>
      <c r="C170" s="380">
        <v>42933</v>
      </c>
      <c r="D170" s="4">
        <v>2.31</v>
      </c>
      <c r="E170" s="381">
        <f t="shared" si="6"/>
        <v>3.2687659130557718E-31</v>
      </c>
      <c r="G170" s="396">
        <v>42970</v>
      </c>
      <c r="H170" s="32">
        <v>2.0400700000000001</v>
      </c>
      <c r="S170" s="396">
        <v>43971</v>
      </c>
      <c r="T170" s="390">
        <v>6.0270000000000004E-2</v>
      </c>
      <c r="U170" s="390">
        <v>3.2590000000000001E-2</v>
      </c>
      <c r="V170" s="405">
        <f t="shared" si="7"/>
        <v>2.6806380073407743E-2</v>
      </c>
      <c r="X170" s="396">
        <v>43962</v>
      </c>
      <c r="Y170" s="405">
        <v>1.1299999999999999E-2</v>
      </c>
    </row>
    <row r="171" spans="2:25" x14ac:dyDescent="0.3">
      <c r="B171" s="379">
        <f t="shared" si="8"/>
        <v>1088</v>
      </c>
      <c r="C171" s="380">
        <v>42934</v>
      </c>
      <c r="D171" s="4">
        <v>2.27</v>
      </c>
      <c r="E171" s="381">
        <f t="shared" si="6"/>
        <v>3.4774105458040129E-31</v>
      </c>
      <c r="G171" s="396">
        <v>42971</v>
      </c>
      <c r="H171" s="32">
        <v>1.9916799999999999</v>
      </c>
      <c r="S171" s="396">
        <v>43970</v>
      </c>
      <c r="T171" s="390">
        <v>6.1799999999999994E-2</v>
      </c>
      <c r="U171" s="390">
        <v>3.2930000000000001E-2</v>
      </c>
      <c r="V171" s="405">
        <f t="shared" si="7"/>
        <v>2.7949619044853158E-2</v>
      </c>
      <c r="X171" s="396">
        <v>43959</v>
      </c>
      <c r="Y171" s="405">
        <v>1.1200000000000002E-2</v>
      </c>
    </row>
    <row r="172" spans="2:25" x14ac:dyDescent="0.3">
      <c r="B172" s="379">
        <f t="shared" si="8"/>
        <v>1087</v>
      </c>
      <c r="C172" s="380">
        <v>42935</v>
      </c>
      <c r="D172" s="4">
        <v>2.27</v>
      </c>
      <c r="E172" s="381">
        <f t="shared" si="6"/>
        <v>3.6993729210680985E-31</v>
      </c>
      <c r="G172" s="396">
        <v>42972</v>
      </c>
      <c r="H172" s="32">
        <v>1.99915</v>
      </c>
      <c r="S172" s="396">
        <v>43969</v>
      </c>
      <c r="T172" s="390">
        <v>6.1799999999999994E-2</v>
      </c>
      <c r="U172" s="390">
        <v>3.2899999999999999E-2</v>
      </c>
      <c r="V172" s="405">
        <f t="shared" si="7"/>
        <v>2.7979475263820497E-2</v>
      </c>
      <c r="X172" s="396">
        <v>43958</v>
      </c>
      <c r="Y172" s="405">
        <v>1.0800000000000001E-2</v>
      </c>
    </row>
    <row r="173" spans="2:25" x14ac:dyDescent="0.3">
      <c r="B173" s="379">
        <f t="shared" si="8"/>
        <v>1086</v>
      </c>
      <c r="C173" s="380">
        <v>42936</v>
      </c>
      <c r="D173" s="4">
        <v>2.27</v>
      </c>
      <c r="E173" s="381">
        <f t="shared" si="6"/>
        <v>3.9355031075192546E-31</v>
      </c>
      <c r="G173" s="396">
        <v>42975</v>
      </c>
      <c r="H173" s="32">
        <v>1.9966299999999999</v>
      </c>
      <c r="S173" s="396">
        <v>43966</v>
      </c>
      <c r="T173" s="390">
        <v>6.1799999999999994E-2</v>
      </c>
      <c r="U173" s="390">
        <v>3.3360000000000001E-2</v>
      </c>
      <c r="V173" s="405">
        <f t="shared" si="7"/>
        <v>2.7521870403344417E-2</v>
      </c>
      <c r="X173" s="396">
        <v>43957</v>
      </c>
      <c r="Y173" s="405">
        <v>1.1000000000000001E-2</v>
      </c>
    </row>
    <row r="174" spans="2:25" x14ac:dyDescent="0.3">
      <c r="B174" s="379">
        <f t="shared" si="8"/>
        <v>1085</v>
      </c>
      <c r="C174" s="380">
        <v>42937</v>
      </c>
      <c r="D174" s="4">
        <v>2.2400000000000002</v>
      </c>
      <c r="E174" s="381">
        <f t="shared" si="6"/>
        <v>4.1867054335311207E-31</v>
      </c>
      <c r="G174" s="396">
        <v>42976</v>
      </c>
      <c r="H174" s="32">
        <v>2.0125600000000001</v>
      </c>
      <c r="S174" s="396">
        <v>43965</v>
      </c>
      <c r="T174" s="390">
        <v>6.2549999999999994E-2</v>
      </c>
      <c r="U174" s="390">
        <v>3.3989999999999999E-2</v>
      </c>
      <c r="V174" s="405">
        <f t="shared" si="7"/>
        <v>2.7621156877726039E-2</v>
      </c>
      <c r="X174" s="396">
        <v>43956</v>
      </c>
      <c r="Y174" s="405">
        <v>1.1000000000000001E-2</v>
      </c>
    </row>
    <row r="175" spans="2:25" x14ac:dyDescent="0.3">
      <c r="B175" s="379">
        <f t="shared" si="8"/>
        <v>1084</v>
      </c>
      <c r="C175" s="380">
        <v>42940</v>
      </c>
      <c r="D175" s="4">
        <v>2.2599999999999998</v>
      </c>
      <c r="E175" s="381">
        <f t="shared" si="6"/>
        <v>4.4539419505650228E-31</v>
      </c>
      <c r="G175" s="396">
        <v>42977</v>
      </c>
      <c r="H175" s="32">
        <v>1.98946</v>
      </c>
      <c r="S175" s="396">
        <v>43964</v>
      </c>
      <c r="T175" s="390">
        <v>6.2549999999999994E-2</v>
      </c>
      <c r="U175" s="390">
        <v>3.4689999999999999E-2</v>
      </c>
      <c r="V175" s="405">
        <f t="shared" si="7"/>
        <v>2.6925939170186153E-2</v>
      </c>
      <c r="X175" s="396">
        <v>43955</v>
      </c>
      <c r="Y175" s="405">
        <v>1.0700000000000001E-2</v>
      </c>
    </row>
    <row r="176" spans="2:25" x14ac:dyDescent="0.3">
      <c r="B176" s="379">
        <f t="shared" si="8"/>
        <v>1083</v>
      </c>
      <c r="C176" s="380">
        <v>42941</v>
      </c>
      <c r="D176" s="4">
        <v>2.33</v>
      </c>
      <c r="E176" s="381">
        <f t="shared" si="6"/>
        <v>4.7382361176223646E-31</v>
      </c>
      <c r="G176" s="396">
        <v>42978</v>
      </c>
      <c r="H176" s="32">
        <v>1.94963</v>
      </c>
      <c r="S176" s="396">
        <v>43963</v>
      </c>
      <c r="T176" s="390">
        <v>6.6619999999999999E-2</v>
      </c>
      <c r="U176" s="390">
        <v>3.5119999999999998E-2</v>
      </c>
      <c r="V176" s="405">
        <f t="shared" si="7"/>
        <v>3.0431254347321968E-2</v>
      </c>
      <c r="X176" s="396">
        <v>43952</v>
      </c>
      <c r="Y176" s="405">
        <v>1.06E-2</v>
      </c>
    </row>
    <row r="177" spans="2:25" x14ac:dyDescent="0.3">
      <c r="B177" s="379">
        <f t="shared" si="8"/>
        <v>1082</v>
      </c>
      <c r="C177" s="380">
        <v>42942</v>
      </c>
      <c r="D177" s="4">
        <v>2.29</v>
      </c>
      <c r="E177" s="381">
        <f t="shared" si="6"/>
        <v>5.0406767208748564E-31</v>
      </c>
      <c r="G177" s="396">
        <v>42979</v>
      </c>
      <c r="H177" s="32">
        <v>1.91323</v>
      </c>
      <c r="S177" s="396">
        <v>43962</v>
      </c>
      <c r="T177" s="390">
        <v>6.6619999999999999E-2</v>
      </c>
      <c r="U177" s="390">
        <v>3.56E-2</v>
      </c>
      <c r="V177" s="405">
        <f t="shared" si="7"/>
        <v>2.9953650057937153E-2</v>
      </c>
      <c r="X177" s="396">
        <v>43951</v>
      </c>
      <c r="Y177" s="405">
        <v>1.0700000000000001E-2</v>
      </c>
    </row>
    <row r="178" spans="2:25" x14ac:dyDescent="0.3">
      <c r="B178" s="379">
        <f t="shared" si="8"/>
        <v>1081</v>
      </c>
      <c r="C178" s="380">
        <v>42943</v>
      </c>
      <c r="D178" s="4">
        <v>2.3199999999999998</v>
      </c>
      <c r="E178" s="381">
        <f t="shared" si="6"/>
        <v>5.3624220434838897E-31</v>
      </c>
      <c r="G178" s="396">
        <v>42983</v>
      </c>
      <c r="H178" s="32">
        <v>1.94499</v>
      </c>
      <c r="S178" s="396">
        <v>43959</v>
      </c>
      <c r="T178" s="390">
        <v>6.6619999999999999E-2</v>
      </c>
      <c r="U178" s="390">
        <v>3.4689999999999999E-2</v>
      </c>
      <c r="V178" s="405">
        <f t="shared" si="7"/>
        <v>3.0859484483275246E-2</v>
      </c>
      <c r="X178" s="396">
        <v>43950</v>
      </c>
      <c r="Y178" s="405">
        <v>1.1399999999999999E-2</v>
      </c>
    </row>
    <row r="179" spans="2:25" x14ac:dyDescent="0.3">
      <c r="B179" s="379">
        <f t="shared" si="8"/>
        <v>1080</v>
      </c>
      <c r="C179" s="380">
        <v>42944</v>
      </c>
      <c r="D179" s="4">
        <v>2.2999999999999998</v>
      </c>
      <c r="E179" s="381">
        <f t="shared" si="6"/>
        <v>5.7047043015786062E-31</v>
      </c>
      <c r="G179" s="396">
        <v>42984</v>
      </c>
      <c r="H179" s="32">
        <v>1.9367799999999999</v>
      </c>
      <c r="S179" s="396">
        <v>43958</v>
      </c>
      <c r="T179" s="390">
        <v>6.6619999999999999E-2</v>
      </c>
      <c r="U179" s="390">
        <v>3.4689999999999999E-2</v>
      </c>
      <c r="V179" s="405">
        <f t="shared" si="7"/>
        <v>3.0859484483275246E-2</v>
      </c>
      <c r="X179" s="396">
        <v>43949</v>
      </c>
      <c r="Y179" s="405">
        <v>1.1399999999999999E-2</v>
      </c>
    </row>
    <row r="180" spans="2:25" x14ac:dyDescent="0.3">
      <c r="B180" s="379">
        <f t="shared" si="8"/>
        <v>1079</v>
      </c>
      <c r="C180" s="380">
        <v>42947</v>
      </c>
      <c r="D180" s="4">
        <v>2.2999999999999998</v>
      </c>
      <c r="E180" s="381">
        <f t="shared" si="6"/>
        <v>6.0688343633814965E-31</v>
      </c>
      <c r="G180" s="396">
        <v>42985</v>
      </c>
      <c r="H180" s="32">
        <v>1.9278200000000001</v>
      </c>
      <c r="S180" s="396">
        <v>43957</v>
      </c>
      <c r="T180" s="390">
        <v>6.6619999999999999E-2</v>
      </c>
      <c r="U180" s="390">
        <v>3.5439999999999999E-2</v>
      </c>
      <c r="V180" s="405">
        <f t="shared" si="7"/>
        <v>3.0112802286950568E-2</v>
      </c>
      <c r="X180" s="396">
        <v>43948</v>
      </c>
      <c r="Y180" s="405">
        <v>1.1699999999999999E-2</v>
      </c>
    </row>
    <row r="181" spans="2:25" x14ac:dyDescent="0.3">
      <c r="B181" s="379">
        <f t="shared" si="8"/>
        <v>1078</v>
      </c>
      <c r="C181" s="380">
        <v>42948</v>
      </c>
      <c r="D181" s="4">
        <v>2.2599999999999998</v>
      </c>
      <c r="E181" s="381">
        <f t="shared" si="6"/>
        <v>6.4562067695547827E-31</v>
      </c>
      <c r="G181" s="396">
        <v>42986</v>
      </c>
      <c r="H181" s="32">
        <v>1.92153</v>
      </c>
      <c r="S181" s="396">
        <v>43956</v>
      </c>
      <c r="T181" s="390">
        <v>7.0870000000000002E-2</v>
      </c>
      <c r="U181" s="390">
        <v>3.5279999999999999E-2</v>
      </c>
      <c r="V181" s="405">
        <f t="shared" si="7"/>
        <v>3.4377173325090826E-2</v>
      </c>
      <c r="X181" s="396">
        <v>43945</v>
      </c>
      <c r="Y181" s="405">
        <v>1.11E-2</v>
      </c>
    </row>
    <row r="182" spans="2:25" x14ac:dyDescent="0.3">
      <c r="B182" s="379">
        <f t="shared" si="8"/>
        <v>1077</v>
      </c>
      <c r="C182" s="380">
        <v>42949</v>
      </c>
      <c r="D182" s="4">
        <v>2.27</v>
      </c>
      <c r="E182" s="381">
        <f t="shared" si="6"/>
        <v>6.8683050739944494E-31</v>
      </c>
      <c r="G182" s="396">
        <v>42989</v>
      </c>
      <c r="H182" s="32">
        <v>1.8766</v>
      </c>
      <c r="S182" s="396">
        <v>43955</v>
      </c>
      <c r="T182" s="390">
        <v>7.0870000000000002E-2</v>
      </c>
      <c r="U182" s="390">
        <v>3.499E-2</v>
      </c>
      <c r="V182" s="405">
        <f t="shared" si="7"/>
        <v>3.466700161354197E-2</v>
      </c>
      <c r="X182" s="396">
        <v>43944</v>
      </c>
      <c r="Y182" s="405">
        <v>1.0500000000000001E-2</v>
      </c>
    </row>
    <row r="183" spans="2:25" x14ac:dyDescent="0.3">
      <c r="B183" s="379">
        <f t="shared" si="8"/>
        <v>1076</v>
      </c>
      <c r="C183" s="380">
        <v>42950</v>
      </c>
      <c r="D183" s="4">
        <v>2.2400000000000002</v>
      </c>
      <c r="E183" s="381">
        <f t="shared" si="6"/>
        <v>7.3067075255260109E-31</v>
      </c>
      <c r="G183" s="396">
        <v>42990</v>
      </c>
      <c r="H183" s="32">
        <v>1.8744400000000001</v>
      </c>
      <c r="S183" s="396">
        <v>43952</v>
      </c>
      <c r="T183" s="390">
        <v>7.0870000000000002E-2</v>
      </c>
      <c r="U183" s="390">
        <v>3.6080000000000001E-2</v>
      </c>
      <c r="V183" s="405">
        <f t="shared" si="7"/>
        <v>3.3578488147633312E-2</v>
      </c>
      <c r="X183" s="396">
        <v>43943</v>
      </c>
      <c r="Y183" s="405">
        <v>1.06E-2</v>
      </c>
    </row>
    <row r="184" spans="2:25" x14ac:dyDescent="0.3">
      <c r="B184" s="379">
        <f t="shared" si="8"/>
        <v>1075</v>
      </c>
      <c r="C184" s="380">
        <v>42951</v>
      </c>
      <c r="D184" s="4">
        <v>2.27</v>
      </c>
      <c r="E184" s="381">
        <f t="shared" si="6"/>
        <v>7.7730931122617122E-31</v>
      </c>
      <c r="G184" s="396">
        <v>42991</v>
      </c>
      <c r="H184" s="32">
        <v>1.83992</v>
      </c>
      <c r="S184" s="396">
        <v>43951</v>
      </c>
      <c r="T184" s="390">
        <v>7.0870000000000002E-2</v>
      </c>
      <c r="U184" s="390">
        <v>3.6080000000000001E-2</v>
      </c>
      <c r="V184" s="405">
        <f t="shared" si="7"/>
        <v>3.3578488147633312E-2</v>
      </c>
      <c r="X184" s="396">
        <v>43942</v>
      </c>
      <c r="Y184" s="405">
        <v>9.5999999999999992E-3</v>
      </c>
    </row>
    <row r="185" spans="2:25" x14ac:dyDescent="0.3">
      <c r="B185" s="379">
        <f t="shared" si="8"/>
        <v>1074</v>
      </c>
      <c r="C185" s="380">
        <v>42954</v>
      </c>
      <c r="D185" s="4">
        <v>2.2599999999999998</v>
      </c>
      <c r="E185" s="381">
        <f t="shared" si="6"/>
        <v>8.2692479917677808E-31</v>
      </c>
      <c r="G185" s="396">
        <v>42992</v>
      </c>
      <c r="H185" s="32">
        <v>1.8543000000000001</v>
      </c>
      <c r="S185" s="396">
        <v>43950</v>
      </c>
      <c r="T185" s="390">
        <v>7.0870000000000002E-2</v>
      </c>
      <c r="U185" s="390">
        <v>3.4759999999999999E-2</v>
      </c>
      <c r="V185" s="405">
        <f t="shared" si="7"/>
        <v>3.4896980942440869E-2</v>
      </c>
      <c r="X185" s="396">
        <v>43941</v>
      </c>
      <c r="Y185" s="405">
        <v>9.3999999999999986E-3</v>
      </c>
    </row>
    <row r="186" spans="2:25" x14ac:dyDescent="0.3">
      <c r="B186" s="379">
        <f t="shared" si="8"/>
        <v>1073</v>
      </c>
      <c r="C186" s="380">
        <v>42955</v>
      </c>
      <c r="D186" s="4">
        <v>2.29</v>
      </c>
      <c r="E186" s="381">
        <f t="shared" si="6"/>
        <v>8.7970723316678517E-31</v>
      </c>
      <c r="G186" s="396">
        <v>42993</v>
      </c>
      <c r="H186" s="32">
        <v>1.8597900000000001</v>
      </c>
      <c r="S186" s="396">
        <v>43949</v>
      </c>
      <c r="T186" s="390">
        <v>7.0870000000000002E-2</v>
      </c>
      <c r="U186" s="390">
        <v>3.4980000000000004E-2</v>
      </c>
      <c r="V186" s="405">
        <f t="shared" si="7"/>
        <v>3.4676998589344699E-2</v>
      </c>
      <c r="X186" s="396">
        <v>43938</v>
      </c>
      <c r="Y186" s="405">
        <v>1.01E-2</v>
      </c>
    </row>
    <row r="187" spans="2:25" x14ac:dyDescent="0.3">
      <c r="B187" s="379">
        <f t="shared" si="8"/>
        <v>1072</v>
      </c>
      <c r="C187" s="380">
        <v>42956</v>
      </c>
      <c r="D187" s="4">
        <v>2.2400000000000002</v>
      </c>
      <c r="E187" s="381">
        <f t="shared" si="6"/>
        <v>9.3585875868806941E-31</v>
      </c>
      <c r="G187" s="396">
        <v>42996</v>
      </c>
      <c r="H187" s="32">
        <v>1.8521399999999999</v>
      </c>
      <c r="S187" s="396">
        <v>43948</v>
      </c>
      <c r="T187" s="390">
        <v>7.0870000000000002E-2</v>
      </c>
      <c r="U187" s="390">
        <v>3.5130000000000002E-2</v>
      </c>
      <c r="V187" s="405">
        <f t="shared" si="7"/>
        <v>3.4527064233477844E-2</v>
      </c>
      <c r="X187" s="396">
        <v>43937</v>
      </c>
      <c r="Y187" s="405">
        <v>1.03E-2</v>
      </c>
    </row>
    <row r="188" spans="2:25" x14ac:dyDescent="0.3">
      <c r="B188" s="379">
        <f t="shared" si="8"/>
        <v>1071</v>
      </c>
      <c r="C188" s="380">
        <v>42957</v>
      </c>
      <c r="D188" s="4">
        <v>2.2000000000000002</v>
      </c>
      <c r="E188" s="381">
        <f t="shared" si="6"/>
        <v>9.9559442413624396E-31</v>
      </c>
      <c r="G188" s="396">
        <v>42997</v>
      </c>
      <c r="H188" s="32">
        <v>1.8616699999999999</v>
      </c>
      <c r="S188" s="396">
        <v>43945</v>
      </c>
      <c r="T188" s="390">
        <v>7.0870000000000002E-2</v>
      </c>
      <c r="U188" s="390">
        <v>3.2680000000000001E-2</v>
      </c>
      <c r="V188" s="405">
        <f t="shared" si="7"/>
        <v>3.6981446333810952E-2</v>
      </c>
      <c r="X188" s="396">
        <v>43936</v>
      </c>
      <c r="Y188" s="405">
        <v>1.1899999999999999E-2</v>
      </c>
    </row>
    <row r="189" spans="2:25" x14ac:dyDescent="0.3">
      <c r="B189" s="379">
        <f t="shared" si="8"/>
        <v>1070</v>
      </c>
      <c r="C189" s="380">
        <v>42958</v>
      </c>
      <c r="D189" s="4">
        <v>2.19</v>
      </c>
      <c r="E189" s="381">
        <f t="shared" si="6"/>
        <v>1.0591430044002597E-30</v>
      </c>
      <c r="G189" s="396">
        <v>42998</v>
      </c>
      <c r="H189" s="32">
        <v>1.8827400000000001</v>
      </c>
      <c r="S189" s="396">
        <v>43944</v>
      </c>
      <c r="T189" s="390">
        <v>7.0870000000000002E-2</v>
      </c>
      <c r="U189" s="390">
        <v>3.458E-2</v>
      </c>
      <c r="V189" s="405">
        <f t="shared" si="7"/>
        <v>3.5077036091940572E-2</v>
      </c>
      <c r="X189" s="396">
        <v>43935</v>
      </c>
      <c r="Y189" s="405">
        <v>1.29E-2</v>
      </c>
    </row>
    <row r="190" spans="2:25" x14ac:dyDescent="0.3">
      <c r="B190" s="379">
        <f t="shared" si="8"/>
        <v>1069</v>
      </c>
      <c r="C190" s="380">
        <v>42961</v>
      </c>
      <c r="D190" s="4">
        <v>2.2200000000000002</v>
      </c>
      <c r="E190" s="381">
        <f t="shared" si="6"/>
        <v>1.1267478770215527E-30</v>
      </c>
      <c r="G190" s="396">
        <v>42999</v>
      </c>
      <c r="H190" s="32">
        <v>1.90974</v>
      </c>
      <c r="S190" s="396">
        <v>43943</v>
      </c>
      <c r="T190" s="390">
        <v>7.0870000000000002E-2</v>
      </c>
      <c r="U190" s="390">
        <v>3.3090000000000001E-2</v>
      </c>
      <c r="V190" s="405">
        <f t="shared" si="7"/>
        <v>3.6569901944651484E-2</v>
      </c>
      <c r="X190" s="396">
        <v>43934</v>
      </c>
      <c r="Y190" s="405">
        <v>1.26E-2</v>
      </c>
    </row>
    <row r="191" spans="2:25" x14ac:dyDescent="0.3">
      <c r="B191" s="379">
        <f t="shared" si="8"/>
        <v>1068</v>
      </c>
      <c r="C191" s="380">
        <v>42962</v>
      </c>
      <c r="D191" s="4">
        <v>2.27</v>
      </c>
      <c r="E191" s="381">
        <f t="shared" si="6"/>
        <v>1.1986679542782477E-30</v>
      </c>
      <c r="G191" s="396">
        <v>43000</v>
      </c>
      <c r="H191" s="32">
        <v>1.8911</v>
      </c>
      <c r="S191" s="396">
        <v>43942</v>
      </c>
      <c r="T191" s="390">
        <v>7.0870000000000002E-2</v>
      </c>
      <c r="U191" s="390">
        <v>3.2029999999999996E-2</v>
      </c>
      <c r="V191" s="405">
        <f t="shared" si="7"/>
        <v>3.76345648866796E-2</v>
      </c>
      <c r="X191" s="396">
        <v>43930</v>
      </c>
      <c r="Y191" s="405">
        <v>1.23E-2</v>
      </c>
    </row>
    <row r="192" spans="2:25" x14ac:dyDescent="0.3">
      <c r="B192" s="379">
        <f t="shared" si="8"/>
        <v>1067</v>
      </c>
      <c r="C192" s="380">
        <v>42963</v>
      </c>
      <c r="D192" s="4">
        <v>2.23</v>
      </c>
      <c r="E192" s="381">
        <f t="shared" si="6"/>
        <v>1.2751786747640934E-30</v>
      </c>
      <c r="G192" s="396">
        <v>43003</v>
      </c>
      <c r="H192" s="32">
        <v>1.9314899999999999</v>
      </c>
      <c r="S192" s="396">
        <v>43941</v>
      </c>
      <c r="T192" s="390">
        <v>6.785999999999999E-2</v>
      </c>
      <c r="U192" s="390">
        <v>3.015E-2</v>
      </c>
      <c r="V192" s="405">
        <f t="shared" si="7"/>
        <v>3.6606319468038828E-2</v>
      </c>
      <c r="X192" s="396">
        <v>43929</v>
      </c>
      <c r="Y192" s="405">
        <v>1.1899999999999999E-2</v>
      </c>
    </row>
    <row r="193" spans="2:25" x14ac:dyDescent="0.3">
      <c r="B193" s="379">
        <f t="shared" si="8"/>
        <v>1066</v>
      </c>
      <c r="C193" s="380">
        <v>42964</v>
      </c>
      <c r="D193" s="4">
        <v>2.19</v>
      </c>
      <c r="E193" s="381">
        <f t="shared" si="6"/>
        <v>1.3565730582596739E-30</v>
      </c>
      <c r="G193" s="396">
        <v>43004</v>
      </c>
      <c r="H193" s="32">
        <v>1.9290499999999999</v>
      </c>
      <c r="S193" s="396">
        <v>43938</v>
      </c>
      <c r="T193" s="390">
        <v>6.785999999999999E-2</v>
      </c>
      <c r="U193" s="390">
        <v>3.0159999999999999E-2</v>
      </c>
      <c r="V193" s="405">
        <f t="shared" si="7"/>
        <v>3.6596256892133416E-2</v>
      </c>
      <c r="X193" s="396">
        <v>43928</v>
      </c>
      <c r="Y193" s="405">
        <v>1.1699999999999999E-2</v>
      </c>
    </row>
    <row r="194" spans="2:25" x14ac:dyDescent="0.3">
      <c r="B194" s="379">
        <f t="shared" si="8"/>
        <v>1065</v>
      </c>
      <c r="C194" s="380">
        <v>42965</v>
      </c>
      <c r="D194" s="4">
        <v>2.19</v>
      </c>
      <c r="E194" s="381">
        <f t="shared" si="6"/>
        <v>1.4431628279358233E-30</v>
      </c>
      <c r="G194" s="396">
        <v>43005</v>
      </c>
      <c r="H194" s="32">
        <v>1.9068000000000001</v>
      </c>
      <c r="S194" s="396">
        <v>43937</v>
      </c>
      <c r="T194" s="390">
        <v>8.4199999999999997E-2</v>
      </c>
      <c r="U194" s="390">
        <v>3.0179999999999998E-2</v>
      </c>
      <c r="V194" s="405">
        <f t="shared" si="7"/>
        <v>5.243743811761048E-2</v>
      </c>
      <c r="X194" s="396">
        <v>43927</v>
      </c>
      <c r="Y194" s="405">
        <v>1.1399999999999999E-2</v>
      </c>
    </row>
    <row r="195" spans="2:25" x14ac:dyDescent="0.3">
      <c r="B195" s="379">
        <f t="shared" si="8"/>
        <v>1064</v>
      </c>
      <c r="C195" s="380">
        <v>42968</v>
      </c>
      <c r="D195" s="4">
        <v>2.1800000000000002</v>
      </c>
      <c r="E195" s="381">
        <f t="shared" si="6"/>
        <v>1.535279604187046E-30</v>
      </c>
      <c r="G195" s="396">
        <v>43006</v>
      </c>
      <c r="H195" s="32">
        <v>1.8717200000000001</v>
      </c>
      <c r="S195" s="396">
        <v>43936</v>
      </c>
      <c r="T195" s="390">
        <v>8.4199999999999997E-2</v>
      </c>
      <c r="U195" s="390">
        <v>3.0190000000000002E-2</v>
      </c>
      <c r="V195" s="405">
        <f t="shared" si="7"/>
        <v>5.2427222162902076E-2</v>
      </c>
      <c r="X195" s="396">
        <v>43924</v>
      </c>
      <c r="Y195" s="405">
        <v>1.0800000000000001E-2</v>
      </c>
    </row>
    <row r="196" spans="2:25" x14ac:dyDescent="0.3">
      <c r="B196" s="379">
        <f t="shared" si="8"/>
        <v>1063</v>
      </c>
      <c r="C196" s="380">
        <v>42969</v>
      </c>
      <c r="D196" s="4">
        <v>2.2200000000000002</v>
      </c>
      <c r="E196" s="381">
        <f t="shared" si="6"/>
        <v>1.6332761746670704E-30</v>
      </c>
      <c r="G196" s="396">
        <v>43007</v>
      </c>
      <c r="H196" s="32">
        <v>1.8450599999999999</v>
      </c>
      <c r="S196" s="396">
        <v>43935</v>
      </c>
      <c r="T196" s="390">
        <v>8.4199999999999997E-2</v>
      </c>
      <c r="U196" s="390">
        <v>3.0200000000000001E-2</v>
      </c>
      <c r="V196" s="405">
        <f t="shared" si="7"/>
        <v>5.2417006406523026E-2</v>
      </c>
      <c r="X196" s="396">
        <v>43923</v>
      </c>
      <c r="Y196" s="405">
        <v>1.03E-2</v>
      </c>
    </row>
    <row r="197" spans="2:25" x14ac:dyDescent="0.3">
      <c r="B197" s="379">
        <f t="shared" si="8"/>
        <v>1062</v>
      </c>
      <c r="C197" s="380">
        <v>42970</v>
      </c>
      <c r="D197" s="4">
        <v>2.17</v>
      </c>
      <c r="E197" s="381">
        <f t="shared" si="6"/>
        <v>1.7375278453905004E-30</v>
      </c>
      <c r="G197" s="396">
        <v>43010</v>
      </c>
      <c r="H197" s="32">
        <v>1.84595</v>
      </c>
      <c r="S197" s="396">
        <v>43934</v>
      </c>
      <c r="T197" s="390">
        <v>8.4199999999999997E-2</v>
      </c>
      <c r="U197" s="390">
        <v>3.024E-2</v>
      </c>
      <c r="V197" s="405">
        <f t="shared" si="7"/>
        <v>5.2376145364186888E-2</v>
      </c>
      <c r="X197" s="396">
        <v>43922</v>
      </c>
      <c r="Y197" s="405">
        <v>9.1000000000000004E-3</v>
      </c>
    </row>
    <row r="198" spans="2:25" x14ac:dyDescent="0.3">
      <c r="B198" s="379">
        <f t="shared" si="8"/>
        <v>1061</v>
      </c>
      <c r="C198" s="380">
        <v>42971</v>
      </c>
      <c r="D198" s="4">
        <v>2.19</v>
      </c>
      <c r="E198" s="381">
        <f t="shared" si="6"/>
        <v>1.8484338780750001E-30</v>
      </c>
      <c r="G198" s="396">
        <v>43011</v>
      </c>
      <c r="H198" s="32">
        <v>1.8299399999999999</v>
      </c>
      <c r="S198" s="396">
        <v>43931</v>
      </c>
      <c r="T198" s="390">
        <v>8.4199999999999997E-2</v>
      </c>
      <c r="U198" s="390">
        <v>3.0210000000000001E-2</v>
      </c>
      <c r="V198" s="405">
        <f t="shared" si="7"/>
        <v>5.2406790848467777E-2</v>
      </c>
      <c r="X198" s="396">
        <v>43921</v>
      </c>
      <c r="Y198" s="405">
        <v>8.6999999999999994E-3</v>
      </c>
    </row>
    <row r="199" spans="2:25" x14ac:dyDescent="0.3">
      <c r="B199" s="379">
        <f t="shared" si="8"/>
        <v>1060</v>
      </c>
      <c r="C199" s="380">
        <v>42972</v>
      </c>
      <c r="D199" s="4">
        <v>2.17</v>
      </c>
      <c r="E199" s="381">
        <f t="shared" si="6"/>
        <v>1.9664190192287237E-30</v>
      </c>
      <c r="G199" s="396">
        <v>43012</v>
      </c>
      <c r="H199" s="32">
        <v>1.83795</v>
      </c>
      <c r="S199" s="396">
        <v>43930</v>
      </c>
      <c r="T199" s="390">
        <v>8.4199999999999997E-2</v>
      </c>
      <c r="U199" s="390">
        <v>3.0210000000000001E-2</v>
      </c>
      <c r="V199" s="405">
        <f t="shared" si="7"/>
        <v>5.2406790848467777E-2</v>
      </c>
      <c r="X199" s="396">
        <v>43920</v>
      </c>
      <c r="Y199" s="405">
        <v>9.4999999999999998E-3</v>
      </c>
    </row>
    <row r="200" spans="2:25" x14ac:dyDescent="0.3">
      <c r="B200" s="379">
        <f t="shared" si="8"/>
        <v>1059</v>
      </c>
      <c r="C200" s="380">
        <v>42975</v>
      </c>
      <c r="D200" s="4">
        <v>2.16</v>
      </c>
      <c r="E200" s="381">
        <f t="shared" si="6"/>
        <v>2.0919351268390674E-30</v>
      </c>
      <c r="G200" s="396">
        <v>43013</v>
      </c>
      <c r="H200" s="32">
        <v>1.83907</v>
      </c>
      <c r="S200" s="396">
        <v>43929</v>
      </c>
      <c r="T200" s="390">
        <v>8.4199999999999997E-2</v>
      </c>
      <c r="U200" s="390">
        <v>3.0210000000000001E-2</v>
      </c>
      <c r="V200" s="405">
        <f t="shared" si="7"/>
        <v>5.2406790848467777E-2</v>
      </c>
      <c r="X200" s="396">
        <v>43917</v>
      </c>
      <c r="Y200" s="405">
        <v>9.3999999999999986E-3</v>
      </c>
    </row>
    <row r="201" spans="2:25" x14ac:dyDescent="0.3">
      <c r="B201" s="379">
        <f t="shared" si="8"/>
        <v>1058</v>
      </c>
      <c r="C201" s="380">
        <v>42976</v>
      </c>
      <c r="D201" s="4">
        <v>2.13</v>
      </c>
      <c r="E201" s="381">
        <f t="shared" ref="E201:E264" si="9">+(1-$C$4)*$C$4^B201</f>
        <v>2.2254629008926255E-30</v>
      </c>
      <c r="G201" s="396">
        <v>43014</v>
      </c>
      <c r="H201" s="32">
        <v>1.86398</v>
      </c>
      <c r="S201" s="396">
        <v>43928</v>
      </c>
      <c r="T201" s="390">
        <v>8.4199999999999997E-2</v>
      </c>
      <c r="U201" s="390">
        <v>3.0210000000000001E-2</v>
      </c>
      <c r="V201" s="405">
        <f t="shared" ref="V201:V264" si="10">(1+T201)/(1+U201)-1</f>
        <v>5.2406790848467777E-2</v>
      </c>
      <c r="X201" s="396">
        <v>43916</v>
      </c>
      <c r="Y201" s="405">
        <v>1.0700000000000001E-2</v>
      </c>
    </row>
    <row r="202" spans="2:25" x14ac:dyDescent="0.3">
      <c r="B202" s="379">
        <f t="shared" si="8"/>
        <v>1057</v>
      </c>
      <c r="C202" s="380">
        <v>42977</v>
      </c>
      <c r="D202" s="4">
        <v>2.15</v>
      </c>
      <c r="E202" s="381">
        <f t="shared" si="9"/>
        <v>2.3675137243538571E-30</v>
      </c>
      <c r="G202" s="396">
        <v>43018</v>
      </c>
      <c r="H202" s="32">
        <v>1.89422</v>
      </c>
      <c r="S202" s="396">
        <v>43927</v>
      </c>
      <c r="T202" s="390">
        <v>8.4199999999999997E-2</v>
      </c>
      <c r="U202" s="390">
        <v>3.0210000000000001E-2</v>
      </c>
      <c r="V202" s="405">
        <f t="shared" si="10"/>
        <v>5.2406790848467777E-2</v>
      </c>
      <c r="X202" s="396">
        <v>43915</v>
      </c>
      <c r="Y202" s="405">
        <v>1.0700000000000001E-2</v>
      </c>
    </row>
    <row r="203" spans="2:25" x14ac:dyDescent="0.3">
      <c r="B203" s="379">
        <f t="shared" ref="B203:B266" si="11">+B202-1</f>
        <v>1056</v>
      </c>
      <c r="C203" s="380">
        <v>42978</v>
      </c>
      <c r="D203" s="4">
        <v>2.12</v>
      </c>
      <c r="E203" s="381">
        <f t="shared" si="9"/>
        <v>2.5186316216530393E-30</v>
      </c>
      <c r="G203" s="396">
        <v>43019</v>
      </c>
      <c r="H203" s="32">
        <v>1.9004300000000001</v>
      </c>
      <c r="S203" s="396">
        <v>43924</v>
      </c>
      <c r="T203" s="390">
        <v>8.4199999999999997E-2</v>
      </c>
      <c r="U203" s="390">
        <v>3.0210000000000001E-2</v>
      </c>
      <c r="V203" s="405">
        <f t="shared" si="10"/>
        <v>5.2406790848467777E-2</v>
      </c>
      <c r="X203" s="396">
        <v>43914</v>
      </c>
      <c r="Y203" s="405">
        <v>9.7000000000000003E-3</v>
      </c>
    </row>
    <row r="204" spans="2:25" x14ac:dyDescent="0.3">
      <c r="B204" s="379">
        <f t="shared" si="11"/>
        <v>1055</v>
      </c>
      <c r="C204" s="380">
        <v>42979</v>
      </c>
      <c r="D204" s="4">
        <v>2.16</v>
      </c>
      <c r="E204" s="381">
        <f t="shared" si="9"/>
        <v>2.6793953421840845E-30</v>
      </c>
      <c r="G204" s="396">
        <v>43020</v>
      </c>
      <c r="H204" s="32">
        <v>1.8868</v>
      </c>
      <c r="S204" s="396">
        <v>43923</v>
      </c>
      <c r="T204" s="390">
        <v>8.4199999999999997E-2</v>
      </c>
      <c r="U204" s="390">
        <v>3.0219999999999997E-2</v>
      </c>
      <c r="V204" s="405">
        <f t="shared" si="10"/>
        <v>5.2396575488730779E-2</v>
      </c>
      <c r="X204" s="396">
        <v>43913</v>
      </c>
      <c r="Y204" s="405">
        <v>8.0000000000000002E-3</v>
      </c>
    </row>
    <row r="205" spans="2:25" x14ac:dyDescent="0.3">
      <c r="B205" s="379">
        <f t="shared" si="11"/>
        <v>1054</v>
      </c>
      <c r="C205" s="380">
        <v>42983</v>
      </c>
      <c r="D205" s="4">
        <v>2.0699999999999998</v>
      </c>
      <c r="E205" s="381">
        <f t="shared" si="9"/>
        <v>2.8504205767915797E-30</v>
      </c>
      <c r="G205" s="396">
        <v>43021</v>
      </c>
      <c r="H205" s="32">
        <v>1.89811</v>
      </c>
      <c r="S205" s="396">
        <v>43922</v>
      </c>
      <c r="T205" s="390">
        <v>8.4199999999999997E-2</v>
      </c>
      <c r="U205" s="390">
        <v>3.024E-2</v>
      </c>
      <c r="V205" s="405">
        <f t="shared" si="10"/>
        <v>5.2376145364186888E-2</v>
      </c>
      <c r="X205" s="396">
        <v>43910</v>
      </c>
      <c r="Y205" s="405">
        <v>7.4999999999999997E-3</v>
      </c>
    </row>
    <row r="206" spans="2:25" x14ac:dyDescent="0.3">
      <c r="B206" s="379">
        <f t="shared" si="11"/>
        <v>1053</v>
      </c>
      <c r="C206" s="380">
        <v>42984</v>
      </c>
      <c r="D206" s="4">
        <v>2.1</v>
      </c>
      <c r="E206" s="381">
        <f t="shared" si="9"/>
        <v>3.0323623157357226E-30</v>
      </c>
      <c r="G206" s="396">
        <v>43024</v>
      </c>
      <c r="H206" s="32">
        <v>1.8715299999999999</v>
      </c>
      <c r="S206" s="396">
        <v>43921</v>
      </c>
      <c r="T206" s="390">
        <v>8.4199999999999997E-2</v>
      </c>
      <c r="U206" s="390">
        <v>3.0369999999999998E-2</v>
      </c>
      <c r="V206" s="405">
        <f t="shared" si="10"/>
        <v>5.224336888690484E-2</v>
      </c>
      <c r="X206" s="396">
        <v>43909</v>
      </c>
      <c r="Y206" s="405">
        <v>5.0000000000000001E-3</v>
      </c>
    </row>
    <row r="207" spans="2:25" x14ac:dyDescent="0.3">
      <c r="B207" s="379">
        <f t="shared" si="11"/>
        <v>1052</v>
      </c>
      <c r="C207" s="380">
        <v>42985</v>
      </c>
      <c r="D207" s="4">
        <v>2.0499999999999998</v>
      </c>
      <c r="E207" s="381">
        <f t="shared" si="9"/>
        <v>3.2259173571656627E-30</v>
      </c>
      <c r="G207" s="396">
        <v>43025</v>
      </c>
      <c r="H207" s="32">
        <v>1.8512200000000001</v>
      </c>
      <c r="S207" s="396">
        <v>43920</v>
      </c>
      <c r="T207" s="390">
        <v>8.4199999999999997E-2</v>
      </c>
      <c r="U207" s="390">
        <v>3.0609999999999998E-2</v>
      </c>
      <c r="V207" s="405">
        <f t="shared" si="10"/>
        <v>5.1998331085473692E-2</v>
      </c>
      <c r="X207" s="396">
        <v>43908</v>
      </c>
      <c r="Y207" s="405">
        <v>6.3E-3</v>
      </c>
    </row>
    <row r="208" spans="2:25" x14ac:dyDescent="0.3">
      <c r="B208" s="379">
        <f t="shared" si="11"/>
        <v>1051</v>
      </c>
      <c r="C208" s="380">
        <v>42986</v>
      </c>
      <c r="D208" s="4">
        <v>2.06</v>
      </c>
      <c r="E208" s="381">
        <f t="shared" si="9"/>
        <v>3.4318269757081512E-30</v>
      </c>
      <c r="G208" s="396">
        <v>43026</v>
      </c>
      <c r="H208" s="32">
        <v>1.8340000000000001</v>
      </c>
      <c r="S208" s="396">
        <v>43917</v>
      </c>
      <c r="T208" s="390">
        <v>8.4199999999999997E-2</v>
      </c>
      <c r="U208" s="390">
        <v>4.0759999999999998E-2</v>
      </c>
      <c r="V208" s="405">
        <f t="shared" si="10"/>
        <v>4.1738729390061291E-2</v>
      </c>
      <c r="X208" s="396">
        <v>43907</v>
      </c>
      <c r="Y208" s="405">
        <v>6.3E-3</v>
      </c>
    </row>
    <row r="209" spans="2:25" x14ac:dyDescent="0.3">
      <c r="B209" s="379">
        <f t="shared" si="11"/>
        <v>1050</v>
      </c>
      <c r="C209" s="380">
        <v>42989</v>
      </c>
      <c r="D209" s="4">
        <v>2.14</v>
      </c>
      <c r="E209" s="381">
        <f t="shared" si="9"/>
        <v>3.6508797613916508E-30</v>
      </c>
      <c r="G209" s="396">
        <v>43027</v>
      </c>
      <c r="H209" s="32">
        <v>1.8443400000000001</v>
      </c>
      <c r="S209" s="396">
        <v>43916</v>
      </c>
      <c r="T209" s="390">
        <v>8.4199999999999997E-2</v>
      </c>
      <c r="U209" s="390">
        <v>4.0759999999999998E-2</v>
      </c>
      <c r="V209" s="405">
        <f t="shared" si="10"/>
        <v>4.1738729390061291E-2</v>
      </c>
      <c r="X209" s="396">
        <v>43906</v>
      </c>
      <c r="Y209" s="405">
        <v>7.3000000000000001E-3</v>
      </c>
    </row>
    <row r="210" spans="2:25" x14ac:dyDescent="0.3">
      <c r="B210" s="379">
        <f t="shared" si="11"/>
        <v>1049</v>
      </c>
      <c r="C210" s="380">
        <v>42990</v>
      </c>
      <c r="D210" s="4">
        <v>2.17</v>
      </c>
      <c r="E210" s="381">
        <f t="shared" si="9"/>
        <v>3.8839146397783512E-30</v>
      </c>
      <c r="G210" s="396">
        <v>43028</v>
      </c>
      <c r="H210" s="32">
        <v>1.83768</v>
      </c>
      <c r="S210" s="396">
        <v>43915</v>
      </c>
      <c r="T210" s="390">
        <v>8.4199999999999997E-2</v>
      </c>
      <c r="U210" s="390">
        <v>4.0810000000000006E-2</v>
      </c>
      <c r="V210" s="405">
        <f t="shared" si="10"/>
        <v>4.1688684774358498E-2</v>
      </c>
      <c r="X210" s="396">
        <v>43903</v>
      </c>
      <c r="Y210" s="405">
        <v>9.0000000000000011E-3</v>
      </c>
    </row>
    <row r="211" spans="2:25" x14ac:dyDescent="0.3">
      <c r="B211" s="379">
        <f t="shared" si="11"/>
        <v>1048</v>
      </c>
      <c r="C211" s="380">
        <v>42991</v>
      </c>
      <c r="D211" s="4">
        <v>2.2000000000000002</v>
      </c>
      <c r="E211" s="381">
        <f t="shared" si="9"/>
        <v>4.1318240848705874E-30</v>
      </c>
      <c r="G211" s="396">
        <v>43031</v>
      </c>
      <c r="H211" s="32">
        <v>1.8298000000000001</v>
      </c>
      <c r="S211" s="396">
        <v>43914</v>
      </c>
      <c r="T211" s="390">
        <v>8.1460000000000005E-2</v>
      </c>
      <c r="U211" s="390">
        <v>4.0869999999999997E-2</v>
      </c>
      <c r="V211" s="405">
        <f t="shared" si="10"/>
        <v>3.8996224312354277E-2</v>
      </c>
      <c r="X211" s="396">
        <v>43902</v>
      </c>
      <c r="Y211" s="405">
        <v>9.1999999999999998E-3</v>
      </c>
    </row>
    <row r="212" spans="2:25" x14ac:dyDescent="0.3">
      <c r="B212" s="379">
        <f t="shared" si="11"/>
        <v>1047</v>
      </c>
      <c r="C212" s="380">
        <v>42992</v>
      </c>
      <c r="D212" s="4">
        <v>2.2000000000000002</v>
      </c>
      <c r="E212" s="381">
        <f t="shared" si="9"/>
        <v>4.3955575370963688E-30</v>
      </c>
      <c r="G212" s="396">
        <v>43032</v>
      </c>
      <c r="H212" s="32">
        <v>1.8393600000000001</v>
      </c>
      <c r="S212" s="396">
        <v>43913</v>
      </c>
      <c r="T212" s="390">
        <v>8.1460000000000005E-2</v>
      </c>
      <c r="U212" s="390">
        <v>4.0819999999999995E-2</v>
      </c>
      <c r="V212" s="405">
        <f t="shared" si="10"/>
        <v>3.904613669990975E-2</v>
      </c>
      <c r="X212" s="396">
        <v>43901</v>
      </c>
      <c r="Y212" s="405">
        <v>9.5999999999999992E-3</v>
      </c>
    </row>
    <row r="213" spans="2:25" x14ac:dyDescent="0.3">
      <c r="B213" s="379">
        <f t="shared" si="11"/>
        <v>1046</v>
      </c>
      <c r="C213" s="380">
        <v>42993</v>
      </c>
      <c r="D213" s="4">
        <v>2.2000000000000002</v>
      </c>
      <c r="E213" s="381">
        <f t="shared" si="9"/>
        <v>4.6761250394642231E-30</v>
      </c>
      <c r="G213" s="396">
        <v>43033</v>
      </c>
      <c r="H213" s="32">
        <v>1.84918</v>
      </c>
      <c r="S213" s="396">
        <v>43910</v>
      </c>
      <c r="T213" s="390">
        <v>8.1460000000000005E-2</v>
      </c>
      <c r="U213" s="390">
        <v>4.0819999999999995E-2</v>
      </c>
      <c r="V213" s="405">
        <f t="shared" si="10"/>
        <v>3.904613669990975E-2</v>
      </c>
      <c r="X213" s="396">
        <v>43900</v>
      </c>
      <c r="Y213" s="405">
        <v>0.01</v>
      </c>
    </row>
    <row r="214" spans="2:25" x14ac:dyDescent="0.3">
      <c r="B214" s="379">
        <f t="shared" si="11"/>
        <v>1045</v>
      </c>
      <c r="C214" s="380">
        <v>42996</v>
      </c>
      <c r="D214" s="4">
        <v>2.23</v>
      </c>
      <c r="E214" s="381">
        <f t="shared" si="9"/>
        <v>4.9746011058130029E-30</v>
      </c>
      <c r="G214" s="396">
        <v>43034</v>
      </c>
      <c r="H214" s="32">
        <v>1.85619</v>
      </c>
      <c r="S214" s="396">
        <v>43909</v>
      </c>
      <c r="T214" s="390">
        <v>8.1460000000000005E-2</v>
      </c>
      <c r="U214" s="390">
        <v>4.0910000000000002E-2</v>
      </c>
      <c r="V214" s="405">
        <f t="shared" si="10"/>
        <v>3.8956297854761734E-2</v>
      </c>
      <c r="X214" s="396">
        <v>43899</v>
      </c>
      <c r="Y214" s="405">
        <v>9.8999999999999991E-3</v>
      </c>
    </row>
    <row r="215" spans="2:25" x14ac:dyDescent="0.3">
      <c r="B215" s="379">
        <f t="shared" si="11"/>
        <v>1044</v>
      </c>
      <c r="C215" s="380">
        <v>42997</v>
      </c>
      <c r="D215" s="4">
        <v>2.2400000000000002</v>
      </c>
      <c r="E215" s="381">
        <f t="shared" si="9"/>
        <v>5.2921288359712803E-30</v>
      </c>
      <c r="G215" s="396">
        <v>43035</v>
      </c>
      <c r="H215" s="32">
        <v>1.8425199999999999</v>
      </c>
      <c r="S215" s="396">
        <v>43908</v>
      </c>
      <c r="T215" s="390">
        <v>8.1460000000000005E-2</v>
      </c>
      <c r="U215" s="390">
        <v>4.0999999999999995E-2</v>
      </c>
      <c r="V215" s="405">
        <f t="shared" si="10"/>
        <v>3.8866474543708174E-2</v>
      </c>
      <c r="X215" s="396">
        <v>43896</v>
      </c>
      <c r="Y215" s="405">
        <v>1.3100000000000001E-2</v>
      </c>
    </row>
    <row r="216" spans="2:25" x14ac:dyDescent="0.3">
      <c r="B216" s="379">
        <f t="shared" si="11"/>
        <v>1043</v>
      </c>
      <c r="C216" s="380">
        <v>42998</v>
      </c>
      <c r="D216" s="4">
        <v>2.2799999999999998</v>
      </c>
      <c r="E216" s="381">
        <f t="shared" si="9"/>
        <v>5.6299242935864676E-30</v>
      </c>
      <c r="G216" s="396">
        <v>43038</v>
      </c>
      <c r="H216" s="32">
        <v>1.8398600000000001</v>
      </c>
      <c r="S216" s="396">
        <v>43907</v>
      </c>
      <c r="T216" s="390">
        <v>8.1460000000000005E-2</v>
      </c>
      <c r="U216" s="390">
        <v>4.2220000000000008E-2</v>
      </c>
      <c r="V216" s="405">
        <f t="shared" si="10"/>
        <v>3.7650400107463122E-2</v>
      </c>
      <c r="X216" s="396">
        <v>43895</v>
      </c>
      <c r="Y216" s="405">
        <v>1.3999999999999999E-2</v>
      </c>
    </row>
    <row r="217" spans="2:25" x14ac:dyDescent="0.3">
      <c r="B217" s="379">
        <f t="shared" si="11"/>
        <v>1042</v>
      </c>
      <c r="C217" s="380">
        <v>42999</v>
      </c>
      <c r="D217" s="4">
        <v>2.27</v>
      </c>
      <c r="E217" s="381">
        <f t="shared" si="9"/>
        <v>5.9892811633898608E-30</v>
      </c>
      <c r="G217" s="396">
        <v>43039</v>
      </c>
      <c r="H217" s="32">
        <v>1.8338399999999999</v>
      </c>
      <c r="S217" s="396">
        <v>43906</v>
      </c>
      <c r="T217" s="390">
        <v>8.1460000000000005E-2</v>
      </c>
      <c r="U217" s="390">
        <v>2.5530000000000001E-2</v>
      </c>
      <c r="V217" s="405">
        <f t="shared" si="10"/>
        <v>5.4537653701013156E-2</v>
      </c>
      <c r="X217" s="396">
        <v>43894</v>
      </c>
      <c r="Y217" s="405">
        <v>1.46E-2</v>
      </c>
    </row>
    <row r="218" spans="2:25" x14ac:dyDescent="0.3">
      <c r="B218" s="379">
        <f t="shared" si="11"/>
        <v>1041</v>
      </c>
      <c r="C218" s="380">
        <v>43000</v>
      </c>
      <c r="D218" s="4">
        <v>2.2599999999999998</v>
      </c>
      <c r="E218" s="381">
        <f t="shared" si="9"/>
        <v>6.3715757057338953E-30</v>
      </c>
      <c r="G218" s="396">
        <v>43040</v>
      </c>
      <c r="H218" s="32">
        <v>1.8475299999999999</v>
      </c>
      <c r="S218" s="396">
        <v>43903</v>
      </c>
      <c r="T218" s="390">
        <v>8.1460000000000005E-2</v>
      </c>
      <c r="U218" s="390">
        <v>3.9399999999999998E-2</v>
      </c>
      <c r="V218" s="405">
        <f t="shared" si="10"/>
        <v>4.0465653261497092E-2</v>
      </c>
      <c r="X218" s="396">
        <v>43893</v>
      </c>
      <c r="Y218" s="405">
        <v>1.4499999999999999E-2</v>
      </c>
    </row>
    <row r="219" spans="2:25" x14ac:dyDescent="0.3">
      <c r="B219" s="379">
        <f t="shared" si="11"/>
        <v>1040</v>
      </c>
      <c r="C219" s="380">
        <v>43003</v>
      </c>
      <c r="D219" s="4">
        <v>2.2200000000000002</v>
      </c>
      <c r="E219" s="381">
        <f t="shared" si="9"/>
        <v>6.7782720273764828E-30</v>
      </c>
      <c r="G219" s="396">
        <v>43041</v>
      </c>
      <c r="H219" s="32">
        <v>1.8378699999999999</v>
      </c>
      <c r="S219" s="396">
        <v>43902</v>
      </c>
      <c r="T219" s="390">
        <v>7.6399999999999996E-2</v>
      </c>
      <c r="U219" s="390">
        <v>3.1349999999999996E-2</v>
      </c>
      <c r="V219" s="405">
        <f t="shared" si="10"/>
        <v>4.3680612789062989E-2</v>
      </c>
      <c r="X219" s="396">
        <v>43892</v>
      </c>
      <c r="Y219" s="405">
        <v>1.41E-2</v>
      </c>
    </row>
    <row r="220" spans="2:25" x14ac:dyDescent="0.3">
      <c r="B220" s="379">
        <f t="shared" si="11"/>
        <v>1039</v>
      </c>
      <c r="C220" s="380">
        <v>43004</v>
      </c>
      <c r="D220" s="4">
        <v>2.2400000000000002</v>
      </c>
      <c r="E220" s="381">
        <f t="shared" si="9"/>
        <v>7.2109276886983863E-30</v>
      </c>
      <c r="G220" s="396">
        <v>43042</v>
      </c>
      <c r="H220" s="32">
        <v>1.8627</v>
      </c>
      <c r="S220" s="396">
        <v>43901</v>
      </c>
      <c r="T220" s="390">
        <v>6.9360000000000005E-2</v>
      </c>
      <c r="U220" s="390">
        <v>2.8990000000000002E-2</v>
      </c>
      <c r="V220" s="405">
        <f t="shared" si="10"/>
        <v>3.9232645603941796E-2</v>
      </c>
      <c r="X220" s="396">
        <v>43889</v>
      </c>
      <c r="Y220" s="405">
        <v>1.41E-2</v>
      </c>
    </row>
    <row r="221" spans="2:25" x14ac:dyDescent="0.3">
      <c r="B221" s="379">
        <f t="shared" si="11"/>
        <v>1038</v>
      </c>
      <c r="C221" s="380">
        <v>43005</v>
      </c>
      <c r="D221" s="4">
        <v>2.31</v>
      </c>
      <c r="E221" s="381">
        <f t="shared" si="9"/>
        <v>7.6711996688280711E-30</v>
      </c>
      <c r="G221" s="396">
        <v>43045</v>
      </c>
      <c r="H221" s="32">
        <v>1.8717299999999999</v>
      </c>
      <c r="S221" s="396">
        <v>43900</v>
      </c>
      <c r="T221" s="390">
        <v>6.583E-2</v>
      </c>
      <c r="U221" s="390">
        <v>2.828E-2</v>
      </c>
      <c r="V221" s="405">
        <f t="shared" si="10"/>
        <v>3.6517291010230712E-2</v>
      </c>
      <c r="X221" s="396">
        <v>43888</v>
      </c>
      <c r="Y221" s="405">
        <v>1.5300000000000001E-2</v>
      </c>
    </row>
    <row r="222" spans="2:25" x14ac:dyDescent="0.3">
      <c r="B222" s="379">
        <f t="shared" si="11"/>
        <v>1037</v>
      </c>
      <c r="C222" s="380">
        <v>43006</v>
      </c>
      <c r="D222" s="4">
        <v>2.31</v>
      </c>
      <c r="E222" s="381">
        <f t="shared" si="9"/>
        <v>8.160850711519223E-30</v>
      </c>
      <c r="G222" s="396">
        <v>43046</v>
      </c>
      <c r="H222" s="32">
        <v>1.92083</v>
      </c>
      <c r="S222" s="396">
        <v>43899</v>
      </c>
      <c r="T222" s="390">
        <v>5.8380000000000001E-2</v>
      </c>
      <c r="U222" s="390">
        <v>2.4849999999999997E-2</v>
      </c>
      <c r="V222" s="405">
        <f t="shared" si="10"/>
        <v>3.2716982973117981E-2</v>
      </c>
      <c r="X222" s="396">
        <v>43887</v>
      </c>
      <c r="Y222" s="405">
        <v>1.54E-2</v>
      </c>
    </row>
    <row r="223" spans="2:25" x14ac:dyDescent="0.3">
      <c r="B223" s="379">
        <f t="shared" si="11"/>
        <v>1036</v>
      </c>
      <c r="C223" s="380">
        <v>43007</v>
      </c>
      <c r="D223" s="4">
        <v>2.33</v>
      </c>
      <c r="E223" s="381">
        <f t="shared" si="9"/>
        <v>8.6817560760842824E-30</v>
      </c>
      <c r="G223" s="396">
        <v>43047</v>
      </c>
      <c r="H223" s="32">
        <v>1.8974899999999999</v>
      </c>
      <c r="S223" s="396">
        <v>43896</v>
      </c>
      <c r="T223" s="390">
        <v>5.8380000000000001E-2</v>
      </c>
      <c r="U223" s="390">
        <v>2.4859999999999997E-2</v>
      </c>
      <c r="V223" s="405">
        <f t="shared" si="10"/>
        <v>3.2706906309154515E-2</v>
      </c>
      <c r="X223" s="396">
        <v>43886</v>
      </c>
      <c r="Y223" s="405">
        <v>1.5300000000000001E-2</v>
      </c>
    </row>
    <row r="224" spans="2:25" x14ac:dyDescent="0.3">
      <c r="B224" s="379">
        <f t="shared" si="11"/>
        <v>1035</v>
      </c>
      <c r="C224" s="380">
        <v>43010</v>
      </c>
      <c r="D224" s="4">
        <v>2.34</v>
      </c>
      <c r="E224" s="381">
        <f t="shared" si="9"/>
        <v>9.235910719238597E-30</v>
      </c>
      <c r="G224" s="396">
        <v>43048</v>
      </c>
      <c r="H224" s="32">
        <v>1.9137299999999999</v>
      </c>
      <c r="S224" s="396">
        <v>43895</v>
      </c>
      <c r="T224" s="390">
        <v>5.7820000000000003E-2</v>
      </c>
      <c r="U224" s="390">
        <v>2.4799999999999999E-2</v>
      </c>
      <c r="V224" s="405">
        <f t="shared" si="10"/>
        <v>3.2220921155347471E-2</v>
      </c>
      <c r="X224" s="396">
        <v>43885</v>
      </c>
      <c r="Y224" s="405">
        <v>1.5900000000000001E-2</v>
      </c>
    </row>
    <row r="225" spans="2:25" x14ac:dyDescent="0.3">
      <c r="B225" s="379">
        <f t="shared" si="11"/>
        <v>1034</v>
      </c>
      <c r="C225" s="380">
        <v>43011</v>
      </c>
      <c r="D225" s="4">
        <v>2.33</v>
      </c>
      <c r="E225" s="381">
        <f t="shared" si="9"/>
        <v>9.8254369353602092E-30</v>
      </c>
      <c r="G225" s="396">
        <v>43049</v>
      </c>
      <c r="H225" s="32">
        <v>1.883</v>
      </c>
      <c r="S225" s="396">
        <v>43894</v>
      </c>
      <c r="T225" s="390">
        <v>5.7770000000000002E-2</v>
      </c>
      <c r="U225" s="390">
        <v>2.4809999999999999E-2</v>
      </c>
      <c r="V225" s="405">
        <f t="shared" si="10"/>
        <v>3.2162059308554758E-2</v>
      </c>
      <c r="X225" s="396">
        <v>43882</v>
      </c>
      <c r="Y225" s="405">
        <v>1.61E-2</v>
      </c>
    </row>
    <row r="226" spans="2:25" x14ac:dyDescent="0.3">
      <c r="B226" s="379">
        <f t="shared" si="11"/>
        <v>1033</v>
      </c>
      <c r="C226" s="380">
        <v>43012</v>
      </c>
      <c r="D226" s="4">
        <v>2.33</v>
      </c>
      <c r="E226" s="381">
        <f t="shared" si="9"/>
        <v>1.0452592484425754E-29</v>
      </c>
      <c r="G226" s="396">
        <v>43052</v>
      </c>
      <c r="H226" s="32">
        <v>1.88619</v>
      </c>
      <c r="S226" s="396">
        <v>43893</v>
      </c>
      <c r="T226" s="390">
        <v>5.9330000000000001E-2</v>
      </c>
      <c r="U226" s="390">
        <v>2.5699999999999997E-2</v>
      </c>
      <c r="V226" s="405">
        <f t="shared" si="10"/>
        <v>3.2787364726528212E-2</v>
      </c>
      <c r="X226" s="396">
        <v>43881</v>
      </c>
      <c r="Y226" s="405">
        <v>1.6299999999999999E-2</v>
      </c>
    </row>
    <row r="227" spans="2:25" x14ac:dyDescent="0.3">
      <c r="B227" s="379">
        <f t="shared" si="11"/>
        <v>1032</v>
      </c>
      <c r="C227" s="380">
        <v>43013</v>
      </c>
      <c r="D227" s="4">
        <v>2.35</v>
      </c>
      <c r="E227" s="381">
        <f t="shared" si="9"/>
        <v>1.1119779238750804E-29</v>
      </c>
      <c r="G227" s="396">
        <v>43053</v>
      </c>
      <c r="H227" s="32">
        <v>1.89896</v>
      </c>
      <c r="S227" s="396">
        <v>43892</v>
      </c>
      <c r="T227" s="390">
        <v>6.021E-2</v>
      </c>
      <c r="U227" s="390">
        <v>2.6210000000000001E-2</v>
      </c>
      <c r="V227" s="405">
        <f t="shared" si="10"/>
        <v>3.313162023367533E-2</v>
      </c>
      <c r="X227" s="396">
        <v>43880</v>
      </c>
      <c r="Y227" s="405">
        <v>1.6500000000000001E-2</v>
      </c>
    </row>
    <row r="228" spans="2:25" x14ac:dyDescent="0.3">
      <c r="B228" s="379">
        <f t="shared" si="11"/>
        <v>1031</v>
      </c>
      <c r="C228" s="380">
        <v>43014</v>
      </c>
      <c r="D228" s="4">
        <v>2.37</v>
      </c>
      <c r="E228" s="381">
        <f t="shared" si="9"/>
        <v>1.1829552381649789E-29</v>
      </c>
      <c r="G228" s="396">
        <v>43054</v>
      </c>
      <c r="H228" s="32">
        <v>1.96014</v>
      </c>
      <c r="S228" s="396">
        <v>43889</v>
      </c>
      <c r="T228" s="390">
        <v>5.7990000000000007E-2</v>
      </c>
      <c r="U228" s="390">
        <v>2.5789999999999997E-2</v>
      </c>
      <c r="V228" s="405">
        <f t="shared" si="10"/>
        <v>3.1390440538511699E-2</v>
      </c>
      <c r="X228" s="396">
        <v>43879</v>
      </c>
      <c r="Y228" s="405">
        <v>1.6500000000000001E-2</v>
      </c>
    </row>
    <row r="229" spans="2:25" x14ac:dyDescent="0.3">
      <c r="B229" s="379">
        <f t="shared" si="11"/>
        <v>1030</v>
      </c>
      <c r="C229" s="380">
        <v>43018</v>
      </c>
      <c r="D229" s="4">
        <v>2.35</v>
      </c>
      <c r="E229" s="381">
        <f t="shared" si="9"/>
        <v>1.258463019324446E-29</v>
      </c>
      <c r="G229" s="396">
        <v>43055</v>
      </c>
      <c r="H229" s="32">
        <v>1.8829800000000001</v>
      </c>
      <c r="S229" s="396">
        <v>43888</v>
      </c>
      <c r="T229" s="390">
        <v>5.7990000000000007E-2</v>
      </c>
      <c r="U229" s="390">
        <v>2.5569999999999999E-2</v>
      </c>
      <c r="V229" s="405">
        <f t="shared" si="10"/>
        <v>3.1611689109470653E-2</v>
      </c>
      <c r="X229" s="396">
        <v>43875</v>
      </c>
      <c r="Y229" s="405">
        <v>1.66E-2</v>
      </c>
    </row>
    <row r="230" spans="2:25" x14ac:dyDescent="0.3">
      <c r="B230" s="379">
        <f t="shared" si="11"/>
        <v>1029</v>
      </c>
      <c r="C230" s="380">
        <v>43019</v>
      </c>
      <c r="D230" s="4">
        <v>2.35</v>
      </c>
      <c r="E230" s="381">
        <f t="shared" si="9"/>
        <v>1.338790446089836E-29</v>
      </c>
      <c r="G230" s="396">
        <v>43056</v>
      </c>
      <c r="H230" s="32">
        <v>1.88357</v>
      </c>
      <c r="S230" s="396">
        <v>43887</v>
      </c>
      <c r="T230" s="390">
        <v>5.7999999999999996E-2</v>
      </c>
      <c r="U230" s="390">
        <v>2.4969999999999999E-2</v>
      </c>
      <c r="V230" s="405">
        <f t="shared" si="10"/>
        <v>3.2225333424392932E-2</v>
      </c>
      <c r="X230" s="396">
        <v>43874</v>
      </c>
      <c r="Y230" s="405">
        <v>1.67E-2</v>
      </c>
    </row>
    <row r="231" spans="2:25" x14ac:dyDescent="0.3">
      <c r="B231" s="379">
        <f t="shared" si="11"/>
        <v>1028</v>
      </c>
      <c r="C231" s="380">
        <v>43020</v>
      </c>
      <c r="D231" s="4">
        <v>2.33</v>
      </c>
      <c r="E231" s="381">
        <f t="shared" si="9"/>
        <v>1.4242451554147192E-29</v>
      </c>
      <c r="G231" s="396">
        <v>43059</v>
      </c>
      <c r="H231" s="32">
        <v>1.87662</v>
      </c>
      <c r="S231" s="396">
        <v>43886</v>
      </c>
      <c r="T231" s="390">
        <v>5.7599999999999998E-2</v>
      </c>
      <c r="U231" s="390">
        <v>2.4879999999999999E-2</v>
      </c>
      <c r="V231" s="405">
        <f t="shared" si="10"/>
        <v>3.1925688861135004E-2</v>
      </c>
      <c r="X231" s="396">
        <v>43873</v>
      </c>
      <c r="Y231" s="405">
        <v>1.66E-2</v>
      </c>
    </row>
    <row r="232" spans="2:25" x14ac:dyDescent="0.3">
      <c r="B232" s="379">
        <f t="shared" si="11"/>
        <v>1027</v>
      </c>
      <c r="C232" s="380">
        <v>43021</v>
      </c>
      <c r="D232" s="4">
        <v>2.2799999999999998</v>
      </c>
      <c r="E232" s="381">
        <f t="shared" si="9"/>
        <v>1.5151544206539565E-29</v>
      </c>
      <c r="G232" s="396">
        <v>43060</v>
      </c>
      <c r="H232" s="32">
        <v>1.8729800000000001</v>
      </c>
      <c r="S232" s="396">
        <v>43885</v>
      </c>
      <c r="T232" s="390">
        <v>5.765E-2</v>
      </c>
      <c r="U232" s="390">
        <v>2.5739999999999999E-2</v>
      </c>
      <c r="V232" s="405">
        <f t="shared" si="10"/>
        <v>3.1109247957572084E-2</v>
      </c>
      <c r="X232" s="396">
        <v>43872</v>
      </c>
      <c r="Y232" s="405">
        <v>1.6500000000000001E-2</v>
      </c>
    </row>
    <row r="233" spans="2:25" x14ac:dyDescent="0.3">
      <c r="B233" s="379">
        <f t="shared" si="11"/>
        <v>1026</v>
      </c>
      <c r="C233" s="380">
        <v>43024</v>
      </c>
      <c r="D233" s="4">
        <v>2.2999999999999998</v>
      </c>
      <c r="E233" s="381">
        <f t="shared" si="9"/>
        <v>1.6118664049510177E-29</v>
      </c>
      <c r="G233" s="396">
        <v>43061</v>
      </c>
      <c r="H233" s="32">
        <v>1.85799</v>
      </c>
      <c r="S233" s="396">
        <v>43882</v>
      </c>
      <c r="T233" s="390">
        <v>5.8469999999999994E-2</v>
      </c>
      <c r="U233" s="390">
        <v>2.564E-2</v>
      </c>
      <c r="V233" s="405">
        <f t="shared" si="10"/>
        <v>3.2009282009281881E-2</v>
      </c>
      <c r="X233" s="396">
        <v>43871</v>
      </c>
      <c r="Y233" s="405">
        <v>1.66E-2</v>
      </c>
    </row>
    <row r="234" spans="2:25" x14ac:dyDescent="0.3">
      <c r="B234" s="379">
        <f t="shared" si="11"/>
        <v>1025</v>
      </c>
      <c r="C234" s="380">
        <v>43025</v>
      </c>
      <c r="D234" s="4">
        <v>2.2999999999999998</v>
      </c>
      <c r="E234" s="381">
        <f t="shared" si="9"/>
        <v>1.7147514946287422E-29</v>
      </c>
      <c r="G234" s="396">
        <v>43063</v>
      </c>
      <c r="H234" s="32">
        <v>1.83446</v>
      </c>
      <c r="S234" s="396">
        <v>43881</v>
      </c>
      <c r="T234" s="390">
        <v>5.8430000000000003E-2</v>
      </c>
      <c r="U234" s="390">
        <v>2.5739999999999999E-2</v>
      </c>
      <c r="V234" s="405">
        <f t="shared" si="10"/>
        <v>3.1869674576403328E-2</v>
      </c>
      <c r="X234" s="396">
        <v>43868</v>
      </c>
      <c r="Y234" s="405">
        <v>1.66E-2</v>
      </c>
    </row>
    <row r="235" spans="2:25" x14ac:dyDescent="0.3">
      <c r="B235" s="379">
        <f t="shared" si="11"/>
        <v>1024</v>
      </c>
      <c r="C235" s="380">
        <v>43026</v>
      </c>
      <c r="D235" s="4">
        <v>2.34</v>
      </c>
      <c r="E235" s="381">
        <f t="shared" si="9"/>
        <v>1.8242037176901514E-29</v>
      </c>
      <c r="G235" s="396">
        <v>43066</v>
      </c>
      <c r="H235" s="32">
        <v>1.8085800000000001</v>
      </c>
      <c r="S235" s="396">
        <v>43880</v>
      </c>
      <c r="T235" s="390">
        <v>5.8149999999999993E-2</v>
      </c>
      <c r="U235" s="390">
        <v>2.5699999999999997E-2</v>
      </c>
      <c r="V235" s="405">
        <f t="shared" si="10"/>
        <v>3.1636930876474567E-2</v>
      </c>
      <c r="X235" s="396">
        <v>43867</v>
      </c>
      <c r="Y235" s="405">
        <v>1.67E-2</v>
      </c>
    </row>
    <row r="236" spans="2:25" x14ac:dyDescent="0.3">
      <c r="B236" s="379">
        <f t="shared" si="11"/>
        <v>1023</v>
      </c>
      <c r="C236" s="380">
        <v>43027</v>
      </c>
      <c r="D236" s="4">
        <v>2.33</v>
      </c>
      <c r="E236" s="381">
        <f t="shared" si="9"/>
        <v>1.940642252861863E-29</v>
      </c>
      <c r="G236" s="396">
        <v>43067</v>
      </c>
      <c r="H236" s="32">
        <v>1.7740499999999999</v>
      </c>
      <c r="S236" s="396">
        <v>43879</v>
      </c>
      <c r="T236" s="390">
        <v>5.7940000000000005E-2</v>
      </c>
      <c r="U236" s="390">
        <v>2.5649999999999999E-2</v>
      </c>
      <c r="V236" s="405">
        <f t="shared" si="10"/>
        <v>3.1482474528347959E-2</v>
      </c>
      <c r="X236" s="396">
        <v>43866</v>
      </c>
      <c r="Y236" s="405">
        <v>1.66E-2</v>
      </c>
    </row>
    <row r="237" spans="2:25" x14ac:dyDescent="0.3">
      <c r="B237" s="379">
        <f t="shared" si="11"/>
        <v>1022</v>
      </c>
      <c r="C237" s="380">
        <v>43028</v>
      </c>
      <c r="D237" s="4">
        <v>2.39</v>
      </c>
      <c r="E237" s="381">
        <f t="shared" si="9"/>
        <v>2.0645130349594286E-29</v>
      </c>
      <c r="G237" s="396">
        <v>43068</v>
      </c>
      <c r="H237" s="32">
        <v>1.7724599999999999</v>
      </c>
      <c r="S237" s="396">
        <v>43878</v>
      </c>
      <c r="T237" s="390">
        <v>5.7699999999999994E-2</v>
      </c>
      <c r="U237" s="390">
        <v>2.5590000000000002E-2</v>
      </c>
      <c r="V237" s="405">
        <f t="shared" si="10"/>
        <v>3.1308807613178891E-2</v>
      </c>
      <c r="X237" s="396">
        <v>43865</v>
      </c>
      <c r="Y237" s="405">
        <v>1.6399999999999998E-2</v>
      </c>
    </row>
    <row r="238" spans="2:25" x14ac:dyDescent="0.3">
      <c r="B238" s="379">
        <f t="shared" si="11"/>
        <v>1021</v>
      </c>
      <c r="C238" s="380">
        <v>43031</v>
      </c>
      <c r="D238" s="4">
        <v>2.38</v>
      </c>
      <c r="E238" s="381">
        <f t="shared" si="9"/>
        <v>2.1962904627227966E-29</v>
      </c>
      <c r="G238" s="396">
        <v>43069</v>
      </c>
      <c r="H238" s="32">
        <v>1.7552399999999999</v>
      </c>
      <c r="S238" s="396">
        <v>43875</v>
      </c>
      <c r="T238" s="390">
        <v>5.7859999999999995E-2</v>
      </c>
      <c r="U238" s="390">
        <v>2.5849999999999998E-2</v>
      </c>
      <c r="V238" s="405">
        <f t="shared" si="10"/>
        <v>3.1203392308817079E-2</v>
      </c>
      <c r="X238" s="396">
        <v>43864</v>
      </c>
      <c r="Y238" s="405">
        <v>1.6299999999999999E-2</v>
      </c>
    </row>
    <row r="239" spans="2:25" x14ac:dyDescent="0.3">
      <c r="B239" s="379">
        <f t="shared" si="11"/>
        <v>1020</v>
      </c>
      <c r="C239" s="380">
        <v>43032</v>
      </c>
      <c r="D239" s="4">
        <v>2.42</v>
      </c>
      <c r="E239" s="381">
        <f t="shared" si="9"/>
        <v>2.3364792156625499E-29</v>
      </c>
      <c r="G239" s="396">
        <v>43070</v>
      </c>
      <c r="H239" s="32">
        <v>1.7786</v>
      </c>
      <c r="S239" s="396">
        <v>43874</v>
      </c>
      <c r="T239" s="390">
        <v>5.7990000000000007E-2</v>
      </c>
      <c r="U239" s="390">
        <v>2.6000000000000002E-2</v>
      </c>
      <c r="V239" s="405">
        <f t="shared" si="10"/>
        <v>3.1179337231968862E-2</v>
      </c>
      <c r="X239" s="396">
        <v>43861</v>
      </c>
      <c r="Y239" s="405">
        <v>1.6500000000000001E-2</v>
      </c>
    </row>
    <row r="240" spans="2:25" x14ac:dyDescent="0.3">
      <c r="B240" s="379">
        <f t="shared" si="11"/>
        <v>1019</v>
      </c>
      <c r="C240" s="380">
        <v>43033</v>
      </c>
      <c r="D240" s="4">
        <v>2.44</v>
      </c>
      <c r="E240" s="381">
        <f t="shared" si="9"/>
        <v>2.4856161868750531E-29</v>
      </c>
      <c r="G240" s="396">
        <v>43073</v>
      </c>
      <c r="H240" s="32">
        <v>1.75308</v>
      </c>
      <c r="S240" s="396">
        <v>43873</v>
      </c>
      <c r="T240" s="390">
        <v>5.7750000000000003E-2</v>
      </c>
      <c r="U240" s="390">
        <v>2.6019999999999998E-2</v>
      </c>
      <c r="V240" s="405">
        <f t="shared" si="10"/>
        <v>3.0925323093117241E-2</v>
      </c>
      <c r="X240" s="396">
        <v>43860</v>
      </c>
      <c r="Y240" s="405">
        <v>1.6399999999999998E-2</v>
      </c>
    </row>
    <row r="241" spans="2:25" x14ac:dyDescent="0.3">
      <c r="B241" s="379">
        <f t="shared" si="11"/>
        <v>1018</v>
      </c>
      <c r="C241" s="380">
        <v>43034</v>
      </c>
      <c r="D241" s="4">
        <v>2.46</v>
      </c>
      <c r="E241" s="381">
        <f t="shared" si="9"/>
        <v>2.6442725392287797E-29</v>
      </c>
      <c r="G241" s="396">
        <v>43074</v>
      </c>
      <c r="H241" s="32">
        <v>1.74434</v>
      </c>
      <c r="S241" s="396">
        <v>43872</v>
      </c>
      <c r="T241" s="390">
        <v>5.7889999999999997E-2</v>
      </c>
      <c r="U241" s="390">
        <v>2.5899999999999999E-2</v>
      </c>
      <c r="V241" s="405">
        <f t="shared" si="10"/>
        <v>3.118237644994637E-2</v>
      </c>
      <c r="X241" s="396">
        <v>43859</v>
      </c>
      <c r="Y241" s="405">
        <v>1.6399999999999998E-2</v>
      </c>
    </row>
    <row r="242" spans="2:25" x14ac:dyDescent="0.3">
      <c r="B242" s="379">
        <f t="shared" si="11"/>
        <v>1017</v>
      </c>
      <c r="C242" s="380">
        <v>43035</v>
      </c>
      <c r="D242" s="4">
        <v>2.42</v>
      </c>
      <c r="E242" s="381">
        <f t="shared" si="9"/>
        <v>2.8130558927965741E-29</v>
      </c>
      <c r="G242" s="396">
        <v>43075</v>
      </c>
      <c r="H242" s="32">
        <v>1.7723100000000001</v>
      </c>
      <c r="S242" s="396">
        <v>43871</v>
      </c>
      <c r="T242" s="390">
        <v>5.8120000000000005E-2</v>
      </c>
      <c r="U242" s="390">
        <v>2.657E-2</v>
      </c>
      <c r="V242" s="405">
        <f t="shared" si="10"/>
        <v>3.0733413210984217E-2</v>
      </c>
      <c r="X242" s="396">
        <v>43858</v>
      </c>
      <c r="Y242" s="405">
        <v>1.6500000000000001E-2</v>
      </c>
    </row>
    <row r="243" spans="2:25" x14ac:dyDescent="0.3">
      <c r="B243" s="379">
        <f t="shared" si="11"/>
        <v>1016</v>
      </c>
      <c r="C243" s="380">
        <v>43038</v>
      </c>
      <c r="D243" s="4">
        <v>2.37</v>
      </c>
      <c r="E243" s="381">
        <f t="shared" si="9"/>
        <v>2.9926126519112498E-29</v>
      </c>
      <c r="G243" s="396">
        <v>43076</v>
      </c>
      <c r="H243" s="32">
        <v>1.7714000000000001</v>
      </c>
      <c r="S243" s="396">
        <v>43868</v>
      </c>
      <c r="T243" s="390">
        <v>5.8619999999999998E-2</v>
      </c>
      <c r="U243" s="390">
        <v>2.656E-2</v>
      </c>
      <c r="V243" s="405">
        <f t="shared" si="10"/>
        <v>3.1230517456359186E-2</v>
      </c>
      <c r="X243" s="396">
        <v>43857</v>
      </c>
      <c r="Y243" s="405">
        <v>1.6299999999999999E-2</v>
      </c>
    </row>
    <row r="244" spans="2:25" x14ac:dyDescent="0.3">
      <c r="B244" s="379">
        <f t="shared" si="11"/>
        <v>1015</v>
      </c>
      <c r="C244" s="380">
        <v>43039</v>
      </c>
      <c r="D244" s="4">
        <v>2.38</v>
      </c>
      <c r="E244" s="381">
        <f t="shared" si="9"/>
        <v>3.1836304807566477E-29</v>
      </c>
      <c r="G244" s="396">
        <v>43077</v>
      </c>
      <c r="H244" s="32">
        <v>1.7541199999999999</v>
      </c>
      <c r="S244" s="396">
        <v>43867</v>
      </c>
      <c r="T244" s="390">
        <v>5.8730000000000004E-2</v>
      </c>
      <c r="U244" s="390">
        <v>2.6530000000000001E-2</v>
      </c>
      <c r="V244" s="405">
        <f t="shared" si="10"/>
        <v>3.1367811948993296E-2</v>
      </c>
      <c r="X244" s="396">
        <v>43854</v>
      </c>
      <c r="Y244" s="405">
        <v>1.6799999999999999E-2</v>
      </c>
    </row>
    <row r="245" spans="2:25" x14ac:dyDescent="0.3">
      <c r="B245" s="379">
        <f t="shared" si="11"/>
        <v>1014</v>
      </c>
      <c r="C245" s="380">
        <v>43040</v>
      </c>
      <c r="D245" s="4">
        <v>2.37</v>
      </c>
      <c r="E245" s="381">
        <f t="shared" si="9"/>
        <v>3.386840936975158E-29</v>
      </c>
      <c r="G245" s="396">
        <v>43080</v>
      </c>
      <c r="H245" s="32">
        <v>1.7607900000000001</v>
      </c>
      <c r="S245" s="396">
        <v>43866</v>
      </c>
      <c r="T245" s="390">
        <v>5.8990000000000001E-2</v>
      </c>
      <c r="U245" s="390">
        <v>2.6429999999999999E-2</v>
      </c>
      <c r="V245" s="405">
        <f t="shared" si="10"/>
        <v>3.172159816061515E-2</v>
      </c>
      <c r="X245" s="396">
        <v>43853</v>
      </c>
      <c r="Y245" s="405">
        <v>1.7000000000000001E-2</v>
      </c>
    </row>
    <row r="246" spans="2:25" x14ac:dyDescent="0.3">
      <c r="B246" s="379">
        <f t="shared" si="11"/>
        <v>1013</v>
      </c>
      <c r="C246" s="380">
        <v>43041</v>
      </c>
      <c r="D246" s="4">
        <v>2.35</v>
      </c>
      <c r="E246" s="381">
        <f t="shared" si="9"/>
        <v>3.6030222733778269E-29</v>
      </c>
      <c r="G246" s="396">
        <v>43081</v>
      </c>
      <c r="H246" s="32">
        <v>1.77318</v>
      </c>
      <c r="S246" s="396">
        <v>43865</v>
      </c>
      <c r="T246" s="390">
        <v>5.9279999999999999E-2</v>
      </c>
      <c r="U246" s="390">
        <v>2.6520000000000002E-2</v>
      </c>
      <c r="V246" s="405">
        <f t="shared" si="10"/>
        <v>3.1913650001948124E-2</v>
      </c>
      <c r="X246" s="396">
        <v>43852</v>
      </c>
      <c r="Y246" s="405">
        <v>1.72E-2</v>
      </c>
    </row>
    <row r="247" spans="2:25" x14ac:dyDescent="0.3">
      <c r="B247" s="379">
        <f t="shared" si="11"/>
        <v>1012</v>
      </c>
      <c r="C247" s="380">
        <v>43042</v>
      </c>
      <c r="D247" s="4">
        <v>2.34</v>
      </c>
      <c r="E247" s="381">
        <f t="shared" si="9"/>
        <v>3.8330024184870507E-29</v>
      </c>
      <c r="G247" s="396">
        <v>43082</v>
      </c>
      <c r="H247" s="32">
        <v>1.7898099999999999</v>
      </c>
      <c r="S247" s="396">
        <v>43864</v>
      </c>
      <c r="T247" s="390">
        <v>5.8570000000000004E-2</v>
      </c>
      <c r="U247" s="390">
        <v>2.6499999999999999E-2</v>
      </c>
      <c r="V247" s="405">
        <f t="shared" si="10"/>
        <v>3.1242084754018462E-2</v>
      </c>
      <c r="X247" s="396">
        <v>43851</v>
      </c>
      <c r="Y247" s="405">
        <v>1.7399999999999999E-2</v>
      </c>
    </row>
    <row r="248" spans="2:25" x14ac:dyDescent="0.3">
      <c r="B248" s="379">
        <f t="shared" si="11"/>
        <v>1011</v>
      </c>
      <c r="C248" s="380">
        <v>43045</v>
      </c>
      <c r="D248" s="4">
        <v>2.3199999999999998</v>
      </c>
      <c r="E248" s="381">
        <f t="shared" si="9"/>
        <v>4.0776621473266484E-29</v>
      </c>
      <c r="G248" s="396">
        <v>43083</v>
      </c>
      <c r="H248" s="32">
        <v>1.7720899999999999</v>
      </c>
      <c r="S248" s="396">
        <v>43861</v>
      </c>
      <c r="T248" s="390">
        <v>5.944E-2</v>
      </c>
      <c r="U248" s="390">
        <v>2.75E-2</v>
      </c>
      <c r="V248" s="405">
        <f t="shared" si="10"/>
        <v>3.1085158150851333E-2</v>
      </c>
      <c r="X248" s="396">
        <v>43847</v>
      </c>
      <c r="Y248" s="405">
        <v>1.7500000000000002E-2</v>
      </c>
    </row>
    <row r="249" spans="2:25" x14ac:dyDescent="0.3">
      <c r="B249" s="379">
        <f t="shared" si="11"/>
        <v>1010</v>
      </c>
      <c r="C249" s="380">
        <v>43046</v>
      </c>
      <c r="D249" s="4">
        <v>2.3199999999999998</v>
      </c>
      <c r="E249" s="381">
        <f t="shared" si="9"/>
        <v>4.3379384546028188E-29</v>
      </c>
      <c r="G249" s="396">
        <v>43084</v>
      </c>
      <c r="H249" s="32">
        <v>1.75553</v>
      </c>
      <c r="S249" s="396">
        <v>43860</v>
      </c>
      <c r="T249" s="390">
        <v>5.9559999999999995E-2</v>
      </c>
      <c r="U249" s="390">
        <v>2.7179999999999999E-2</v>
      </c>
      <c r="V249" s="405">
        <f t="shared" si="10"/>
        <v>3.1523199439241534E-2</v>
      </c>
      <c r="X249" s="396">
        <v>43846</v>
      </c>
      <c r="Y249" s="405">
        <v>1.7399999999999999E-2</v>
      </c>
    </row>
    <row r="250" spans="2:25" x14ac:dyDescent="0.3">
      <c r="B250" s="379">
        <f t="shared" si="11"/>
        <v>1009</v>
      </c>
      <c r="C250" s="380">
        <v>43047</v>
      </c>
      <c r="D250" s="4">
        <v>2.3199999999999998</v>
      </c>
      <c r="E250" s="381">
        <f t="shared" si="9"/>
        <v>4.6148281431944883E-29</v>
      </c>
      <c r="G250" s="396">
        <v>43087</v>
      </c>
      <c r="H250" s="32">
        <v>1.7085900000000001</v>
      </c>
      <c r="S250" s="396">
        <v>43859</v>
      </c>
      <c r="T250" s="390">
        <v>5.9549999999999999E-2</v>
      </c>
      <c r="U250" s="390">
        <v>2.7349999999999999E-2</v>
      </c>
      <c r="V250" s="405">
        <f t="shared" si="10"/>
        <v>3.1342775100988041E-2</v>
      </c>
      <c r="X250" s="396">
        <v>43845</v>
      </c>
      <c r="Y250" s="405">
        <v>1.7500000000000002E-2</v>
      </c>
    </row>
    <row r="251" spans="2:25" x14ac:dyDescent="0.3">
      <c r="B251" s="379">
        <f t="shared" si="11"/>
        <v>1008</v>
      </c>
      <c r="C251" s="380">
        <v>43048</v>
      </c>
      <c r="D251" s="4">
        <v>2.33</v>
      </c>
      <c r="E251" s="381">
        <f t="shared" si="9"/>
        <v>4.9093916416962642E-29</v>
      </c>
      <c r="G251" s="396">
        <v>43088</v>
      </c>
      <c r="H251" s="32">
        <v>1.6707700000000001</v>
      </c>
      <c r="S251" s="396">
        <v>43858</v>
      </c>
      <c r="T251" s="390">
        <v>5.9740000000000001E-2</v>
      </c>
      <c r="U251" s="390">
        <v>2.7349999999999999E-2</v>
      </c>
      <c r="V251" s="405">
        <f t="shared" si="10"/>
        <v>3.1527716941645911E-2</v>
      </c>
      <c r="X251" s="396">
        <v>43844</v>
      </c>
      <c r="Y251" s="405">
        <v>1.77E-2</v>
      </c>
    </row>
    <row r="252" spans="2:25" x14ac:dyDescent="0.3">
      <c r="B252" s="379">
        <f t="shared" si="11"/>
        <v>1007</v>
      </c>
      <c r="C252" s="380">
        <v>43049</v>
      </c>
      <c r="D252" s="4">
        <v>2.4</v>
      </c>
      <c r="E252" s="381">
        <f t="shared" si="9"/>
        <v>5.2227570656343223E-29</v>
      </c>
      <c r="G252" s="396">
        <v>43089</v>
      </c>
      <c r="H252" s="32">
        <v>1.64849</v>
      </c>
      <c r="S252" s="396">
        <v>43857</v>
      </c>
      <c r="T252" s="390">
        <v>5.9839999999999997E-2</v>
      </c>
      <c r="U252" s="390">
        <v>2.7349999999999999E-2</v>
      </c>
      <c r="V252" s="405">
        <f t="shared" si="10"/>
        <v>3.1625054752518533E-2</v>
      </c>
      <c r="X252" s="396">
        <v>43843</v>
      </c>
      <c r="Y252" s="405">
        <v>1.77E-2</v>
      </c>
    </row>
    <row r="253" spans="2:25" x14ac:dyDescent="0.3">
      <c r="B253" s="379">
        <f t="shared" si="11"/>
        <v>1006</v>
      </c>
      <c r="C253" s="380">
        <v>43052</v>
      </c>
      <c r="D253" s="4">
        <v>2.4</v>
      </c>
      <c r="E253" s="381">
        <f t="shared" si="9"/>
        <v>5.556124537908855E-29</v>
      </c>
      <c r="G253" s="396">
        <v>43090</v>
      </c>
      <c r="H253" s="32">
        <v>1.67133</v>
      </c>
      <c r="S253" s="396">
        <v>43854</v>
      </c>
      <c r="T253" s="390">
        <v>5.969E-2</v>
      </c>
      <c r="U253" s="390">
        <v>2.7349999999999999E-2</v>
      </c>
      <c r="V253" s="405">
        <f t="shared" si="10"/>
        <v>3.1479048036209711E-2</v>
      </c>
      <c r="X253" s="396">
        <v>43840</v>
      </c>
      <c r="Y253" s="405">
        <v>1.7600000000000001E-2</v>
      </c>
    </row>
    <row r="254" spans="2:25" x14ac:dyDescent="0.3">
      <c r="B254" s="379">
        <f t="shared" si="11"/>
        <v>1005</v>
      </c>
      <c r="C254" s="380">
        <v>43053</v>
      </c>
      <c r="D254" s="4">
        <v>2.38</v>
      </c>
      <c r="E254" s="381">
        <f t="shared" si="9"/>
        <v>5.9107707850094186E-29</v>
      </c>
      <c r="G254" s="396">
        <v>43091</v>
      </c>
      <c r="H254" s="32">
        <v>1.6869499999999999</v>
      </c>
      <c r="S254" s="396">
        <v>43853</v>
      </c>
      <c r="T254" s="390">
        <v>5.985E-2</v>
      </c>
      <c r="U254" s="390">
        <v>2.7370000000000002E-2</v>
      </c>
      <c r="V254" s="405">
        <f t="shared" si="10"/>
        <v>3.1614705510186303E-2</v>
      </c>
      <c r="X254" s="396">
        <v>43839</v>
      </c>
      <c r="Y254" s="405">
        <v>1.7399999999999999E-2</v>
      </c>
    </row>
    <row r="255" spans="2:25" x14ac:dyDescent="0.3">
      <c r="B255" s="379">
        <f t="shared" si="11"/>
        <v>1004</v>
      </c>
      <c r="C255" s="380">
        <v>43054</v>
      </c>
      <c r="D255" s="4">
        <v>2.33</v>
      </c>
      <c r="E255" s="381">
        <f t="shared" si="9"/>
        <v>6.2880540266057677E-29</v>
      </c>
      <c r="G255" s="396">
        <v>43095</v>
      </c>
      <c r="H255" s="32">
        <v>1.7021500000000001</v>
      </c>
      <c r="S255" s="396">
        <v>43852</v>
      </c>
      <c r="T255" s="390">
        <v>5.9969999999999996E-2</v>
      </c>
      <c r="U255" s="390">
        <v>2.7400000000000001E-2</v>
      </c>
      <c r="V255" s="405">
        <f t="shared" si="10"/>
        <v>3.1701382129647682E-2</v>
      </c>
      <c r="X255" s="396">
        <v>43838</v>
      </c>
      <c r="Y255" s="405">
        <v>1.7500000000000002E-2</v>
      </c>
    </row>
    <row r="256" spans="2:25" x14ac:dyDescent="0.3">
      <c r="B256" s="379">
        <f t="shared" si="11"/>
        <v>1003</v>
      </c>
      <c r="C256" s="380">
        <v>43055</v>
      </c>
      <c r="D256" s="4">
        <v>2.37</v>
      </c>
      <c r="E256" s="381">
        <f t="shared" si="9"/>
        <v>6.6894191772401759E-29</v>
      </c>
      <c r="G256" s="396">
        <v>43096</v>
      </c>
      <c r="H256" s="32">
        <v>1.7469300000000001</v>
      </c>
      <c r="S256" s="396">
        <v>43851</v>
      </c>
      <c r="T256" s="390">
        <v>6.0759999999999995E-2</v>
      </c>
      <c r="U256" s="390">
        <v>2.7480000000000001E-2</v>
      </c>
      <c r="V256" s="405">
        <f t="shared" si="10"/>
        <v>3.2389924864717479E-2</v>
      </c>
      <c r="X256" s="396">
        <v>43837</v>
      </c>
      <c r="Y256" s="405">
        <v>1.7399999999999999E-2</v>
      </c>
    </row>
    <row r="257" spans="2:25" x14ac:dyDescent="0.3">
      <c r="B257" s="379">
        <f t="shared" si="11"/>
        <v>1002</v>
      </c>
      <c r="C257" s="380">
        <v>43056</v>
      </c>
      <c r="D257" s="4">
        <v>2.35</v>
      </c>
      <c r="E257" s="381">
        <f t="shared" si="9"/>
        <v>7.1164033800427431E-29</v>
      </c>
      <c r="G257" s="396">
        <v>43097</v>
      </c>
      <c r="H257" s="32">
        <v>1.71638</v>
      </c>
      <c r="S257" s="396">
        <v>43850</v>
      </c>
      <c r="T257" s="390">
        <v>6.0629999999999996E-2</v>
      </c>
      <c r="U257" s="390">
        <v>2.7439999999999999E-2</v>
      </c>
      <c r="V257" s="405">
        <f t="shared" si="10"/>
        <v>3.2303589504010022E-2</v>
      </c>
      <c r="X257" s="396">
        <v>43836</v>
      </c>
      <c r="Y257" s="405">
        <v>1.7500000000000002E-2</v>
      </c>
    </row>
    <row r="258" spans="2:25" x14ac:dyDescent="0.3">
      <c r="B258" s="379">
        <f t="shared" si="11"/>
        <v>1001</v>
      </c>
      <c r="C258" s="380">
        <v>43059</v>
      </c>
      <c r="D258" s="4">
        <v>2.37</v>
      </c>
      <c r="E258" s="381">
        <f t="shared" si="9"/>
        <v>7.5706418936624907E-29</v>
      </c>
      <c r="G258" s="396">
        <v>43098</v>
      </c>
      <c r="H258" s="32">
        <v>1.72512</v>
      </c>
      <c r="S258" s="396">
        <v>43847</v>
      </c>
      <c r="T258" s="390">
        <v>6.0479999999999999E-2</v>
      </c>
      <c r="U258" s="390">
        <v>2.7439999999999999E-2</v>
      </c>
      <c r="V258" s="405">
        <f t="shared" si="10"/>
        <v>3.2157595577357423E-2</v>
      </c>
      <c r="X258" s="396"/>
      <c r="Y258" s="405"/>
    </row>
    <row r="259" spans="2:25" x14ac:dyDescent="0.3">
      <c r="B259" s="379">
        <f t="shared" si="11"/>
        <v>1000</v>
      </c>
      <c r="C259" s="380">
        <v>43060</v>
      </c>
      <c r="D259" s="4">
        <v>2.36</v>
      </c>
      <c r="E259" s="381">
        <f t="shared" si="9"/>
        <v>8.0538743549600969E-29</v>
      </c>
      <c r="G259" s="396">
        <v>43102</v>
      </c>
      <c r="H259" s="32">
        <v>1.6784699999999999</v>
      </c>
      <c r="S259" s="396">
        <v>43846</v>
      </c>
      <c r="T259" s="390">
        <v>6.0650000000000003E-2</v>
      </c>
      <c r="U259" s="390">
        <v>2.7439999999999999E-2</v>
      </c>
      <c r="V259" s="405">
        <f t="shared" si="10"/>
        <v>3.2323055360897079E-2</v>
      </c>
      <c r="X259" s="396"/>
      <c r="Y259" s="405"/>
    </row>
    <row r="260" spans="2:25" x14ac:dyDescent="0.3">
      <c r="B260" s="379">
        <f t="shared" si="11"/>
        <v>999</v>
      </c>
      <c r="C260" s="380">
        <v>43061</v>
      </c>
      <c r="D260" s="4">
        <v>2.3199999999999998</v>
      </c>
      <c r="E260" s="381">
        <f t="shared" si="9"/>
        <v>8.5679514414469118E-29</v>
      </c>
      <c r="G260" s="396">
        <v>43103</v>
      </c>
      <c r="H260" s="32">
        <v>1.65846</v>
      </c>
      <c r="S260" s="396">
        <v>43845</v>
      </c>
      <c r="T260" s="390">
        <v>6.132E-2</v>
      </c>
      <c r="U260" s="390">
        <v>2.7389999999999998E-2</v>
      </c>
      <c r="V260" s="405">
        <f t="shared" si="10"/>
        <v>3.3025433379729296E-2</v>
      </c>
      <c r="X260" s="396"/>
      <c r="Y260" s="405"/>
    </row>
    <row r="261" spans="2:25" x14ac:dyDescent="0.3">
      <c r="B261" s="379">
        <f t="shared" si="11"/>
        <v>998</v>
      </c>
      <c r="C261" s="380">
        <v>43063</v>
      </c>
      <c r="D261" s="4">
        <v>2.34</v>
      </c>
      <c r="E261" s="381">
        <f t="shared" si="9"/>
        <v>9.1148419589860774E-29</v>
      </c>
      <c r="G261" s="396">
        <v>43104</v>
      </c>
      <c r="H261" s="32">
        <v>1.65333</v>
      </c>
      <c r="S261" s="396">
        <v>43844</v>
      </c>
      <c r="T261" s="390">
        <v>6.1429999999999998E-2</v>
      </c>
      <c r="U261" s="390">
        <v>2.7459999999999998E-2</v>
      </c>
      <c r="V261" s="405">
        <f t="shared" si="10"/>
        <v>3.3062114340217663E-2</v>
      </c>
      <c r="X261" s="396"/>
      <c r="Y261" s="405"/>
    </row>
    <row r="262" spans="2:25" x14ac:dyDescent="0.3">
      <c r="B262" s="379">
        <f t="shared" si="11"/>
        <v>997</v>
      </c>
      <c r="C262" s="380">
        <v>43066</v>
      </c>
      <c r="D262" s="4">
        <v>2.3199999999999998</v>
      </c>
      <c r="E262" s="381">
        <f t="shared" si="9"/>
        <v>9.6966403819000808E-29</v>
      </c>
      <c r="G262" s="396">
        <v>43105</v>
      </c>
      <c r="H262" s="32">
        <v>1.62805</v>
      </c>
      <c r="S262" s="396">
        <v>43843</v>
      </c>
      <c r="T262" s="390">
        <v>6.1340000000000006E-2</v>
      </c>
      <c r="U262" s="390">
        <v>2.7459999999999998E-2</v>
      </c>
      <c r="V262" s="405">
        <f t="shared" si="10"/>
        <v>3.2974519689330961E-2</v>
      </c>
      <c r="X262" s="396"/>
      <c r="Y262" s="405"/>
    </row>
    <row r="263" spans="2:25" x14ac:dyDescent="0.3">
      <c r="B263" s="379">
        <f t="shared" si="11"/>
        <v>996</v>
      </c>
      <c r="C263" s="380">
        <v>43067</v>
      </c>
      <c r="D263" s="4">
        <v>2.34</v>
      </c>
      <c r="E263" s="381">
        <f t="shared" si="9"/>
        <v>1.0315574874361789E-28</v>
      </c>
      <c r="G263" s="396">
        <v>43108</v>
      </c>
      <c r="H263" s="32">
        <v>1.6325000000000001</v>
      </c>
      <c r="S263" s="396">
        <v>43840</v>
      </c>
      <c r="T263" s="390">
        <v>6.1399999999999996E-2</v>
      </c>
      <c r="U263" s="390">
        <v>2.7199999999999998E-2</v>
      </c>
      <c r="V263" s="405">
        <f t="shared" si="10"/>
        <v>3.3294392523364413E-2</v>
      </c>
      <c r="X263" s="396"/>
      <c r="Y263" s="405"/>
    </row>
    <row r="264" spans="2:25" x14ac:dyDescent="0.3">
      <c r="B264" s="379">
        <f t="shared" si="11"/>
        <v>995</v>
      </c>
      <c r="C264" s="380">
        <v>43068</v>
      </c>
      <c r="D264" s="4">
        <v>2.37</v>
      </c>
      <c r="E264" s="381">
        <f t="shared" si="9"/>
        <v>1.0974015823789136E-28</v>
      </c>
      <c r="G264" s="396">
        <v>43109</v>
      </c>
      <c r="H264" s="32">
        <v>1.6130199999999999</v>
      </c>
      <c r="S264" s="396">
        <v>43839</v>
      </c>
      <c r="T264" s="390">
        <v>6.3170000000000004E-2</v>
      </c>
      <c r="U264" s="390">
        <v>2.7459999999999998E-2</v>
      </c>
      <c r="V264" s="405">
        <f t="shared" si="10"/>
        <v>3.4755610924026126E-2</v>
      </c>
      <c r="X264" s="396"/>
      <c r="Y264" s="405"/>
    </row>
    <row r="265" spans="2:25" x14ac:dyDescent="0.3">
      <c r="B265" s="379">
        <f t="shared" si="11"/>
        <v>994</v>
      </c>
      <c r="C265" s="380">
        <v>43069</v>
      </c>
      <c r="D265" s="4">
        <v>2.42</v>
      </c>
      <c r="E265" s="381">
        <f t="shared" ref="E265:E328" si="12">+(1-$C$4)*$C$4^B265</f>
        <v>1.1674484918924614E-28</v>
      </c>
      <c r="G265" s="396">
        <v>43110</v>
      </c>
      <c r="H265" s="32">
        <v>1.6378200000000001</v>
      </c>
      <c r="S265" s="396">
        <v>43838</v>
      </c>
      <c r="T265" s="390">
        <v>6.3170000000000004E-2</v>
      </c>
      <c r="U265" s="390">
        <v>2.7450000000000002E-2</v>
      </c>
      <c r="V265" s="405">
        <f t="shared" ref="V265:V270" si="13">(1+T265)/(1+U265)-1</f>
        <v>3.476568202832242E-2</v>
      </c>
      <c r="X265" s="396"/>
      <c r="Y265" s="405"/>
    </row>
    <row r="266" spans="2:25" x14ac:dyDescent="0.3">
      <c r="B266" s="379">
        <f t="shared" si="11"/>
        <v>993</v>
      </c>
      <c r="C266" s="380">
        <v>43070</v>
      </c>
      <c r="D266" s="4">
        <v>2.37</v>
      </c>
      <c r="E266" s="381">
        <f t="shared" si="12"/>
        <v>1.2419664807366613E-28</v>
      </c>
      <c r="G266" s="396">
        <v>43111</v>
      </c>
      <c r="H266" s="32">
        <v>1.64446</v>
      </c>
      <c r="S266" s="396">
        <v>43837</v>
      </c>
      <c r="T266" s="390">
        <v>6.3259999999999997E-2</v>
      </c>
      <c r="U266" s="390">
        <v>2.7450000000000002E-2</v>
      </c>
      <c r="V266" s="405">
        <f t="shared" si="13"/>
        <v>3.4853277531753379E-2</v>
      </c>
      <c r="X266" s="396"/>
      <c r="Y266" s="405"/>
    </row>
    <row r="267" spans="2:25" x14ac:dyDescent="0.3">
      <c r="B267" s="379">
        <f t="shared" ref="B267:B330" si="14">+B266-1</f>
        <v>992</v>
      </c>
      <c r="C267" s="380">
        <v>43073</v>
      </c>
      <c r="D267" s="4">
        <v>2.37</v>
      </c>
      <c r="E267" s="381">
        <f t="shared" si="12"/>
        <v>1.321240936953895E-28</v>
      </c>
      <c r="G267" s="396">
        <v>43112</v>
      </c>
      <c r="H267" s="32">
        <v>1.63771</v>
      </c>
      <c r="S267" s="396">
        <v>43836</v>
      </c>
      <c r="T267" s="390">
        <v>6.3399999999999998E-2</v>
      </c>
      <c r="U267" s="390">
        <v>2.733E-2</v>
      </c>
      <c r="V267" s="405">
        <f t="shared" si="13"/>
        <v>3.5110431896274719E-2</v>
      </c>
      <c r="X267" s="396"/>
      <c r="Y267" s="405"/>
    </row>
    <row r="268" spans="2:25" x14ac:dyDescent="0.3">
      <c r="B268" s="379">
        <f t="shared" si="14"/>
        <v>991</v>
      </c>
      <c r="C268" s="380">
        <v>43074</v>
      </c>
      <c r="D268" s="4">
        <v>2.36</v>
      </c>
      <c r="E268" s="381">
        <f t="shared" si="12"/>
        <v>1.405575464844569E-28</v>
      </c>
      <c r="G268" s="396">
        <v>43116</v>
      </c>
      <c r="H268" s="32">
        <v>1.6206</v>
      </c>
      <c r="S268" s="396">
        <v>43833</v>
      </c>
      <c r="T268" s="390">
        <v>6.3399999999999998E-2</v>
      </c>
      <c r="U268" s="390">
        <v>2.733E-2</v>
      </c>
      <c r="V268" s="405">
        <f t="shared" si="13"/>
        <v>3.5110431896274719E-2</v>
      </c>
      <c r="X268" s="396"/>
      <c r="Y268" s="405"/>
    </row>
    <row r="269" spans="2:25" x14ac:dyDescent="0.3">
      <c r="B269" s="379">
        <f t="shared" si="14"/>
        <v>990</v>
      </c>
      <c r="C269" s="380">
        <v>43075</v>
      </c>
      <c r="D269" s="4">
        <v>2.33</v>
      </c>
      <c r="E269" s="381">
        <f t="shared" si="12"/>
        <v>1.4952930477069887E-28</v>
      </c>
      <c r="G269" s="396">
        <v>43117</v>
      </c>
      <c r="H269" s="32">
        <v>1.5722700000000001</v>
      </c>
      <c r="S269" s="396">
        <v>43832</v>
      </c>
      <c r="T269" s="390">
        <v>6.3399999999999998E-2</v>
      </c>
      <c r="U269" s="390">
        <v>2.734E-2</v>
      </c>
      <c r="V269" s="405">
        <f t="shared" si="13"/>
        <v>3.5100356259855525E-2</v>
      </c>
      <c r="X269" s="396"/>
      <c r="Y269" s="405"/>
    </row>
    <row r="270" spans="2:25" x14ac:dyDescent="0.3">
      <c r="B270" s="379">
        <f t="shared" si="14"/>
        <v>989</v>
      </c>
      <c r="C270" s="380">
        <v>43076</v>
      </c>
      <c r="D270" s="4">
        <v>2.37</v>
      </c>
      <c r="E270" s="381">
        <f t="shared" si="12"/>
        <v>1.5907372847946685E-28</v>
      </c>
      <c r="G270" s="396">
        <v>43118</v>
      </c>
      <c r="H270" s="32">
        <v>1.5738700000000001</v>
      </c>
      <c r="S270" s="397">
        <v>43831</v>
      </c>
      <c r="T270" s="393">
        <v>6.3399999999999998E-2</v>
      </c>
      <c r="U270" s="393">
        <v>2.734E-2</v>
      </c>
      <c r="V270" s="406">
        <f t="shared" si="13"/>
        <v>3.5100356259855525E-2</v>
      </c>
      <c r="X270" s="397"/>
      <c r="Y270" s="406"/>
    </row>
    <row r="271" spans="2:25" x14ac:dyDescent="0.3">
      <c r="B271" s="379">
        <f t="shared" si="14"/>
        <v>988</v>
      </c>
      <c r="C271" s="380">
        <v>43077</v>
      </c>
      <c r="D271" s="4">
        <v>2.38</v>
      </c>
      <c r="E271" s="381">
        <f t="shared" si="12"/>
        <v>1.6922737072283709E-28</v>
      </c>
      <c r="G271" s="396">
        <v>43119</v>
      </c>
      <c r="H271" s="32">
        <v>1.5636699999999999</v>
      </c>
    </row>
    <row r="272" spans="2:25" x14ac:dyDescent="0.3">
      <c r="B272" s="379">
        <f t="shared" si="14"/>
        <v>987</v>
      </c>
      <c r="C272" s="380">
        <v>43080</v>
      </c>
      <c r="D272" s="4">
        <v>2.39</v>
      </c>
      <c r="E272" s="381">
        <f t="shared" si="12"/>
        <v>1.8002911779025219E-28</v>
      </c>
      <c r="G272" s="396">
        <v>43122</v>
      </c>
      <c r="H272" s="32">
        <v>1.5511200000000001</v>
      </c>
    </row>
    <row r="273" spans="2:8" x14ac:dyDescent="0.3">
      <c r="B273" s="379">
        <f t="shared" si="14"/>
        <v>986</v>
      </c>
      <c r="C273" s="380">
        <v>43081</v>
      </c>
      <c r="D273" s="4">
        <v>2.4</v>
      </c>
      <c r="E273" s="381">
        <f t="shared" si="12"/>
        <v>1.9152033807473638E-28</v>
      </c>
      <c r="G273" s="396">
        <v>43123</v>
      </c>
      <c r="H273" s="32">
        <v>1.5491900000000001</v>
      </c>
    </row>
    <row r="274" spans="2:8" x14ac:dyDescent="0.3">
      <c r="B274" s="379">
        <f t="shared" si="14"/>
        <v>985</v>
      </c>
      <c r="C274" s="380">
        <v>43082</v>
      </c>
      <c r="D274" s="4">
        <v>2.36</v>
      </c>
      <c r="E274" s="381">
        <f t="shared" si="12"/>
        <v>2.0374504050503874E-28</v>
      </c>
      <c r="G274" s="396">
        <v>43124</v>
      </c>
      <c r="H274" s="32">
        <v>1.5421800000000001</v>
      </c>
    </row>
    <row r="275" spans="2:8" x14ac:dyDescent="0.3">
      <c r="B275" s="379">
        <f t="shared" si="14"/>
        <v>984</v>
      </c>
      <c r="C275" s="380">
        <v>43083</v>
      </c>
      <c r="D275" s="4">
        <v>2.35</v>
      </c>
      <c r="E275" s="381">
        <f t="shared" si="12"/>
        <v>2.167500430904667E-28</v>
      </c>
      <c r="G275" s="396">
        <v>43125</v>
      </c>
      <c r="H275" s="32">
        <v>1.5480400000000001</v>
      </c>
    </row>
    <row r="276" spans="2:8" x14ac:dyDescent="0.3">
      <c r="B276" s="379">
        <f t="shared" si="14"/>
        <v>983</v>
      </c>
      <c r="C276" s="380">
        <v>43084</v>
      </c>
      <c r="D276" s="4">
        <v>2.35</v>
      </c>
      <c r="E276" s="381">
        <f t="shared" si="12"/>
        <v>2.3058515222390077E-28</v>
      </c>
      <c r="G276" s="396">
        <v>43126</v>
      </c>
      <c r="H276" s="32">
        <v>1.5244800000000001</v>
      </c>
    </row>
    <row r="277" spans="2:8" x14ac:dyDescent="0.3">
      <c r="B277" s="379">
        <f t="shared" si="14"/>
        <v>982</v>
      </c>
      <c r="C277" s="380">
        <v>43087</v>
      </c>
      <c r="D277" s="4">
        <v>2.39</v>
      </c>
      <c r="E277" s="381">
        <f t="shared" si="12"/>
        <v>2.4530335342968172E-28</v>
      </c>
      <c r="G277" s="396">
        <v>43129</v>
      </c>
      <c r="H277" s="32">
        <v>1.5362899999999999</v>
      </c>
    </row>
    <row r="278" spans="2:8" x14ac:dyDescent="0.3">
      <c r="B278" s="379">
        <f t="shared" si="14"/>
        <v>981</v>
      </c>
      <c r="C278" s="380">
        <v>43088</v>
      </c>
      <c r="D278" s="4">
        <v>2.46</v>
      </c>
      <c r="E278" s="381">
        <f t="shared" si="12"/>
        <v>2.6096101428689536E-28</v>
      </c>
      <c r="G278" s="396">
        <v>43130</v>
      </c>
      <c r="H278" s="32">
        <v>1.5307599999999999</v>
      </c>
    </row>
    <row r="279" spans="2:8" x14ac:dyDescent="0.3">
      <c r="B279" s="379">
        <f t="shared" si="14"/>
        <v>980</v>
      </c>
      <c r="C279" s="380">
        <v>43089</v>
      </c>
      <c r="D279" s="4">
        <v>2.4900000000000002</v>
      </c>
      <c r="E279" s="381">
        <f t="shared" si="12"/>
        <v>2.776181003052079E-28</v>
      </c>
      <c r="G279" s="396">
        <v>43131</v>
      </c>
      <c r="H279" s="32">
        <v>1.5279700000000001</v>
      </c>
    </row>
    <row r="280" spans="2:8" x14ac:dyDescent="0.3">
      <c r="B280" s="379">
        <f t="shared" si="14"/>
        <v>979</v>
      </c>
      <c r="C280" s="380">
        <v>43090</v>
      </c>
      <c r="D280" s="4">
        <v>2.48</v>
      </c>
      <c r="E280" s="381">
        <f t="shared" si="12"/>
        <v>2.953384045800084E-28</v>
      </c>
      <c r="G280" s="396">
        <v>43132</v>
      </c>
      <c r="H280" s="32">
        <v>1.52942</v>
      </c>
    </row>
    <row r="281" spans="2:8" x14ac:dyDescent="0.3">
      <c r="B281" s="379">
        <f t="shared" si="14"/>
        <v>978</v>
      </c>
      <c r="C281" s="380">
        <v>43091</v>
      </c>
      <c r="D281" s="4">
        <v>2.48</v>
      </c>
      <c r="E281" s="381">
        <f t="shared" si="12"/>
        <v>3.1418979210639195E-28</v>
      </c>
      <c r="G281" s="396">
        <v>43133</v>
      </c>
      <c r="H281" s="32">
        <v>1.5763400000000001</v>
      </c>
    </row>
    <row r="282" spans="2:8" x14ac:dyDescent="0.3">
      <c r="B282" s="379">
        <f t="shared" si="14"/>
        <v>977</v>
      </c>
      <c r="C282" s="380">
        <v>43095</v>
      </c>
      <c r="D282" s="4">
        <v>2.4700000000000002</v>
      </c>
      <c r="E282" s="381">
        <f t="shared" si="12"/>
        <v>3.3424445968765102E-28</v>
      </c>
      <c r="G282" s="396">
        <v>43136</v>
      </c>
      <c r="H282" s="32">
        <v>1.7117500000000001</v>
      </c>
    </row>
    <row r="283" spans="2:8" x14ac:dyDescent="0.3">
      <c r="B283" s="379">
        <f t="shared" si="14"/>
        <v>976</v>
      </c>
      <c r="C283" s="380">
        <v>43096</v>
      </c>
      <c r="D283" s="4">
        <v>2.42</v>
      </c>
      <c r="E283" s="381">
        <f t="shared" si="12"/>
        <v>3.5557921243367127E-28</v>
      </c>
      <c r="G283" s="396">
        <v>43137</v>
      </c>
      <c r="H283" s="32">
        <v>1.66587</v>
      </c>
    </row>
    <row r="284" spans="2:8" x14ac:dyDescent="0.3">
      <c r="B284" s="379">
        <f t="shared" si="14"/>
        <v>975</v>
      </c>
      <c r="C284" s="380">
        <v>43097</v>
      </c>
      <c r="D284" s="4">
        <v>2.4300000000000002</v>
      </c>
      <c r="E284" s="381">
        <f t="shared" si="12"/>
        <v>3.7827575790816087E-28</v>
      </c>
      <c r="G284" s="396">
        <v>43138</v>
      </c>
      <c r="H284" s="32">
        <v>1.5907100000000001</v>
      </c>
    </row>
    <row r="285" spans="2:8" x14ac:dyDescent="0.3">
      <c r="B285" s="379">
        <f t="shared" si="14"/>
        <v>974</v>
      </c>
      <c r="C285" s="380">
        <v>43098</v>
      </c>
      <c r="D285" s="4">
        <v>2.4</v>
      </c>
      <c r="E285" s="381">
        <f t="shared" si="12"/>
        <v>4.0242101905123507E-28</v>
      </c>
      <c r="G285" s="396">
        <v>43139</v>
      </c>
      <c r="H285" s="32">
        <v>1.7655000000000001</v>
      </c>
    </row>
    <row r="286" spans="2:8" x14ac:dyDescent="0.3">
      <c r="B286" s="379">
        <f t="shared" si="14"/>
        <v>973</v>
      </c>
      <c r="C286" s="380">
        <v>43102</v>
      </c>
      <c r="D286" s="4">
        <v>2.46</v>
      </c>
      <c r="E286" s="381">
        <f t="shared" si="12"/>
        <v>4.281074670757819E-28</v>
      </c>
      <c r="G286" s="396">
        <v>43140</v>
      </c>
      <c r="H286" s="32">
        <v>1.89466</v>
      </c>
    </row>
    <row r="287" spans="2:8" x14ac:dyDescent="0.3">
      <c r="B287" s="379">
        <f t="shared" si="14"/>
        <v>972</v>
      </c>
      <c r="C287" s="380">
        <v>43103</v>
      </c>
      <c r="D287" s="4">
        <v>2.44</v>
      </c>
      <c r="E287" s="381">
        <f t="shared" si="12"/>
        <v>4.5543347561253403E-28</v>
      </c>
      <c r="G287" s="396">
        <v>43143</v>
      </c>
      <c r="H287" s="32">
        <v>1.8196399999999999</v>
      </c>
    </row>
    <row r="288" spans="2:8" x14ac:dyDescent="0.3">
      <c r="B288" s="379">
        <f t="shared" si="14"/>
        <v>971</v>
      </c>
      <c r="C288" s="380">
        <v>43104</v>
      </c>
      <c r="D288" s="4">
        <v>2.46</v>
      </c>
      <c r="E288" s="381">
        <f t="shared" si="12"/>
        <v>4.8450369746014257E-28</v>
      </c>
      <c r="G288" s="396">
        <v>43144</v>
      </c>
      <c r="H288" s="32">
        <v>1.87079</v>
      </c>
    </row>
    <row r="289" spans="2:8" x14ac:dyDescent="0.3">
      <c r="B289" s="379">
        <f t="shared" si="14"/>
        <v>970</v>
      </c>
      <c r="C289" s="380">
        <v>43105</v>
      </c>
      <c r="D289" s="4">
        <v>2.4700000000000002</v>
      </c>
      <c r="E289" s="381">
        <f t="shared" si="12"/>
        <v>5.1542946538313034E-28</v>
      </c>
      <c r="G289" s="396">
        <v>43145</v>
      </c>
      <c r="H289" s="32">
        <v>1.8374200000000001</v>
      </c>
    </row>
    <row r="290" spans="2:8" x14ac:dyDescent="0.3">
      <c r="B290" s="379">
        <f t="shared" si="14"/>
        <v>969</v>
      </c>
      <c r="C290" s="380">
        <v>43108</v>
      </c>
      <c r="D290" s="4">
        <v>2.4900000000000002</v>
      </c>
      <c r="E290" s="381">
        <f t="shared" si="12"/>
        <v>5.48329218492692E-28</v>
      </c>
      <c r="G290" s="396">
        <v>43146</v>
      </c>
      <c r="H290" s="32">
        <v>1.7518</v>
      </c>
    </row>
    <row r="291" spans="2:8" x14ac:dyDescent="0.3">
      <c r="B291" s="379">
        <f t="shared" si="14"/>
        <v>968</v>
      </c>
      <c r="C291" s="380">
        <v>43109</v>
      </c>
      <c r="D291" s="4">
        <v>2.5499999999999998</v>
      </c>
      <c r="E291" s="381">
        <f t="shared" si="12"/>
        <v>5.8332895584328931E-28</v>
      </c>
      <c r="G291" s="396">
        <v>43147</v>
      </c>
      <c r="H291" s="32">
        <v>1.6657299999999999</v>
      </c>
    </row>
    <row r="292" spans="2:8" x14ac:dyDescent="0.3">
      <c r="B292" s="379">
        <f t="shared" si="14"/>
        <v>967</v>
      </c>
      <c r="C292" s="380">
        <v>43110</v>
      </c>
      <c r="D292" s="4">
        <v>2.5499999999999998</v>
      </c>
      <c r="E292" s="381">
        <f t="shared" si="12"/>
        <v>6.2056271898222264E-28</v>
      </c>
      <c r="G292" s="396">
        <v>43151</v>
      </c>
      <c r="H292" s="32">
        <v>1.7325200000000001</v>
      </c>
    </row>
    <row r="293" spans="2:8" x14ac:dyDescent="0.3">
      <c r="B293" s="379">
        <f t="shared" si="14"/>
        <v>966</v>
      </c>
      <c r="C293" s="380">
        <v>43111</v>
      </c>
      <c r="D293" s="4">
        <v>2.54</v>
      </c>
      <c r="E293" s="381">
        <f t="shared" si="12"/>
        <v>6.6017310530023692E-28</v>
      </c>
      <c r="G293" s="396">
        <v>43152</v>
      </c>
      <c r="H293" s="32">
        <v>1.7281299999999999</v>
      </c>
    </row>
    <row r="294" spans="2:8" x14ac:dyDescent="0.3">
      <c r="B294" s="379">
        <f t="shared" si="14"/>
        <v>965</v>
      </c>
      <c r="C294" s="380">
        <v>43112</v>
      </c>
      <c r="D294" s="4">
        <v>2.5499999999999998</v>
      </c>
      <c r="E294" s="381">
        <f t="shared" si="12"/>
        <v>7.0231181414918811E-28</v>
      </c>
      <c r="G294" s="396">
        <v>43153</v>
      </c>
      <c r="H294" s="32">
        <v>1.7642500000000001</v>
      </c>
    </row>
    <row r="295" spans="2:8" x14ac:dyDescent="0.3">
      <c r="B295" s="379">
        <f t="shared" si="14"/>
        <v>964</v>
      </c>
      <c r="C295" s="380">
        <v>43116</v>
      </c>
      <c r="D295" s="4">
        <v>2.54</v>
      </c>
      <c r="E295" s="381">
        <f t="shared" si="12"/>
        <v>7.4714022781828549E-28</v>
      </c>
      <c r="G295" s="396">
        <v>43154</v>
      </c>
      <c r="H295" s="32">
        <v>1.7930699999999999</v>
      </c>
    </row>
    <row r="296" spans="2:8" x14ac:dyDescent="0.3">
      <c r="B296" s="379">
        <f t="shared" si="14"/>
        <v>963</v>
      </c>
      <c r="C296" s="380">
        <v>43117</v>
      </c>
      <c r="D296" s="4">
        <v>2.57</v>
      </c>
      <c r="E296" s="381">
        <f t="shared" si="12"/>
        <v>7.9483002959392042E-28</v>
      </c>
      <c r="G296" s="396">
        <v>43157</v>
      </c>
      <c r="H296" s="32">
        <v>1.7364999999999999</v>
      </c>
    </row>
    <row r="297" spans="2:8" x14ac:dyDescent="0.3">
      <c r="B297" s="379">
        <f t="shared" si="14"/>
        <v>962</v>
      </c>
      <c r="C297" s="380">
        <v>43118</v>
      </c>
      <c r="D297" s="4">
        <v>2.62</v>
      </c>
      <c r="E297" s="381">
        <f t="shared" si="12"/>
        <v>8.4556386127012814E-28</v>
      </c>
      <c r="G297" s="396">
        <v>43158</v>
      </c>
      <c r="H297" s="32">
        <v>1.69428</v>
      </c>
    </row>
    <row r="298" spans="2:8" x14ac:dyDescent="0.3">
      <c r="B298" s="379">
        <f t="shared" si="14"/>
        <v>961</v>
      </c>
      <c r="C298" s="380">
        <v>43119</v>
      </c>
      <c r="D298" s="4">
        <v>2.64</v>
      </c>
      <c r="E298" s="381">
        <f t="shared" si="12"/>
        <v>8.9953602262779602E-28</v>
      </c>
      <c r="G298" s="396">
        <v>43159</v>
      </c>
      <c r="H298" s="32">
        <v>1.7806900000000001</v>
      </c>
    </row>
    <row r="299" spans="2:8" x14ac:dyDescent="0.3">
      <c r="B299" s="379">
        <f t="shared" si="14"/>
        <v>960</v>
      </c>
      <c r="C299" s="380">
        <v>43122</v>
      </c>
      <c r="D299" s="4">
        <v>2.66</v>
      </c>
      <c r="E299" s="381">
        <f t="shared" si="12"/>
        <v>9.5695321556148522E-28</v>
      </c>
      <c r="G299" s="396">
        <v>43160</v>
      </c>
      <c r="H299" s="32">
        <v>1.85042</v>
      </c>
    </row>
    <row r="300" spans="2:8" x14ac:dyDescent="0.3">
      <c r="B300" s="379">
        <f t="shared" si="14"/>
        <v>959</v>
      </c>
      <c r="C300" s="380">
        <v>43123</v>
      </c>
      <c r="D300" s="4">
        <v>2.63</v>
      </c>
      <c r="E300" s="381">
        <f t="shared" si="12"/>
        <v>1.0180353357037076E-27</v>
      </c>
      <c r="G300" s="396">
        <v>43161</v>
      </c>
      <c r="H300" s="32">
        <v>1.79817</v>
      </c>
    </row>
    <row r="301" spans="2:8" x14ac:dyDescent="0.3">
      <c r="B301" s="379">
        <f t="shared" si="14"/>
        <v>958</v>
      </c>
      <c r="C301" s="380">
        <v>43124</v>
      </c>
      <c r="D301" s="4">
        <v>2.65</v>
      </c>
      <c r="E301" s="381">
        <f t="shared" si="12"/>
        <v>1.0830163145784125E-27</v>
      </c>
      <c r="G301" s="396">
        <v>43164</v>
      </c>
      <c r="H301" s="32">
        <v>1.7625900000000001</v>
      </c>
    </row>
    <row r="302" spans="2:8" x14ac:dyDescent="0.3">
      <c r="B302" s="379">
        <f t="shared" si="14"/>
        <v>957</v>
      </c>
      <c r="C302" s="380">
        <v>43125</v>
      </c>
      <c r="D302" s="4">
        <v>2.63</v>
      </c>
      <c r="E302" s="381">
        <f t="shared" si="12"/>
        <v>1.1521450155089491E-27</v>
      </c>
      <c r="G302" s="396">
        <v>43165</v>
      </c>
      <c r="H302" s="32">
        <v>1.75871</v>
      </c>
    </row>
    <row r="303" spans="2:8" x14ac:dyDescent="0.3">
      <c r="B303" s="379">
        <f t="shared" si="14"/>
        <v>956</v>
      </c>
      <c r="C303" s="380">
        <v>43126</v>
      </c>
      <c r="D303" s="4">
        <v>2.66</v>
      </c>
      <c r="E303" s="381">
        <f t="shared" si="12"/>
        <v>1.2256861867116483E-27</v>
      </c>
      <c r="G303" s="396">
        <v>43166</v>
      </c>
      <c r="H303" s="32">
        <v>1.78257</v>
      </c>
    </row>
    <row r="304" spans="2:8" x14ac:dyDescent="0.3">
      <c r="B304" s="379">
        <f t="shared" si="14"/>
        <v>955</v>
      </c>
      <c r="C304" s="380">
        <v>43129</v>
      </c>
      <c r="D304" s="4">
        <v>2.7</v>
      </c>
      <c r="E304" s="381">
        <f t="shared" si="12"/>
        <v>1.3039214752251578E-27</v>
      </c>
      <c r="G304" s="396">
        <v>43167</v>
      </c>
      <c r="H304" s="32">
        <v>1.78512</v>
      </c>
    </row>
    <row r="305" spans="2:8" x14ac:dyDescent="0.3">
      <c r="B305" s="379">
        <f t="shared" si="14"/>
        <v>954</v>
      </c>
      <c r="C305" s="380">
        <v>43130</v>
      </c>
      <c r="D305" s="4">
        <v>2.73</v>
      </c>
      <c r="E305" s="381">
        <f t="shared" si="12"/>
        <v>1.3871505055586788E-27</v>
      </c>
      <c r="G305" s="396">
        <v>43168</v>
      </c>
      <c r="H305" s="32">
        <v>1.72624</v>
      </c>
    </row>
    <row r="306" spans="2:8" x14ac:dyDescent="0.3">
      <c r="B306" s="379">
        <f t="shared" si="14"/>
        <v>953</v>
      </c>
      <c r="C306" s="380">
        <v>43131</v>
      </c>
      <c r="D306" s="4">
        <v>2.72</v>
      </c>
      <c r="E306" s="381">
        <f t="shared" si="12"/>
        <v>1.4756920271900835E-27</v>
      </c>
      <c r="G306" s="396">
        <v>43171</v>
      </c>
      <c r="H306" s="32">
        <v>1.7371399999999999</v>
      </c>
    </row>
    <row r="307" spans="2:8" x14ac:dyDescent="0.3">
      <c r="B307" s="379">
        <f t="shared" si="14"/>
        <v>952</v>
      </c>
      <c r="C307" s="380">
        <v>43132</v>
      </c>
      <c r="D307" s="4">
        <v>2.78</v>
      </c>
      <c r="E307" s="381">
        <f t="shared" si="12"/>
        <v>1.5698851353085999E-27</v>
      </c>
      <c r="G307" s="396">
        <v>43172</v>
      </c>
      <c r="H307" s="32">
        <v>1.78251</v>
      </c>
    </row>
    <row r="308" spans="2:8" x14ac:dyDescent="0.3">
      <c r="B308" s="379">
        <f t="shared" si="14"/>
        <v>951</v>
      </c>
      <c r="C308" s="380">
        <v>43133</v>
      </c>
      <c r="D308" s="4">
        <v>2.84</v>
      </c>
      <c r="E308" s="381">
        <f t="shared" si="12"/>
        <v>1.6700905694772335E-27</v>
      </c>
      <c r="G308" s="396">
        <v>43173</v>
      </c>
      <c r="H308" s="32">
        <v>1.7926500000000001</v>
      </c>
    </row>
    <row r="309" spans="2:8" x14ac:dyDescent="0.3">
      <c r="B309" s="379">
        <f t="shared" si="14"/>
        <v>950</v>
      </c>
      <c r="C309" s="380">
        <v>43136</v>
      </c>
      <c r="D309" s="4">
        <v>2.77</v>
      </c>
      <c r="E309" s="381">
        <f t="shared" si="12"/>
        <v>1.7766920951885464E-27</v>
      </c>
      <c r="G309" s="396">
        <v>43174</v>
      </c>
      <c r="H309" s="32">
        <v>1.7817499999999999</v>
      </c>
    </row>
    <row r="310" spans="2:8" x14ac:dyDescent="0.3">
      <c r="B310" s="379">
        <f t="shared" si="14"/>
        <v>949</v>
      </c>
      <c r="C310" s="380">
        <v>43137</v>
      </c>
      <c r="D310" s="4">
        <v>2.79</v>
      </c>
      <c r="E310" s="381">
        <f t="shared" si="12"/>
        <v>1.8900979736048366E-27</v>
      </c>
      <c r="G310" s="396">
        <v>43175</v>
      </c>
      <c r="H310" s="32">
        <v>1.77383</v>
      </c>
    </row>
    <row r="311" spans="2:8" x14ac:dyDescent="0.3">
      <c r="B311" s="379">
        <f t="shared" si="14"/>
        <v>948</v>
      </c>
      <c r="C311" s="380">
        <v>43138</v>
      </c>
      <c r="D311" s="4">
        <v>2.84</v>
      </c>
      <c r="E311" s="381">
        <f t="shared" si="12"/>
        <v>2.0107425251115283E-27</v>
      </c>
      <c r="G311" s="396">
        <v>43178</v>
      </c>
      <c r="H311" s="32">
        <v>1.80271</v>
      </c>
    </row>
    <row r="312" spans="2:8" x14ac:dyDescent="0.3">
      <c r="B312" s="379">
        <f t="shared" si="14"/>
        <v>947</v>
      </c>
      <c r="C312" s="380">
        <v>43139</v>
      </c>
      <c r="D312" s="4">
        <v>2.85</v>
      </c>
      <c r="E312" s="381">
        <f t="shared" si="12"/>
        <v>2.1390877926718383E-27</v>
      </c>
      <c r="G312" s="396">
        <v>43179</v>
      </c>
      <c r="H312" s="32">
        <v>1.7975000000000001</v>
      </c>
    </row>
    <row r="313" spans="2:8" x14ac:dyDescent="0.3">
      <c r="B313" s="379">
        <f t="shared" si="14"/>
        <v>946</v>
      </c>
      <c r="C313" s="380">
        <v>43140</v>
      </c>
      <c r="D313" s="4">
        <v>2.83</v>
      </c>
      <c r="E313" s="381">
        <f t="shared" si="12"/>
        <v>2.2756253113530204E-27</v>
      </c>
      <c r="G313" s="396">
        <v>43180</v>
      </c>
      <c r="H313" s="32">
        <v>1.7591399999999999</v>
      </c>
    </row>
    <row r="314" spans="2:8" x14ac:dyDescent="0.3">
      <c r="B314" s="379">
        <f t="shared" si="14"/>
        <v>945</v>
      </c>
      <c r="C314" s="380">
        <v>43143</v>
      </c>
      <c r="D314" s="4">
        <v>2.86</v>
      </c>
      <c r="E314" s="381">
        <f t="shared" si="12"/>
        <v>2.4208779908010851E-27</v>
      </c>
      <c r="G314" s="396">
        <v>43181</v>
      </c>
      <c r="H314" s="32">
        <v>1.8067599999999999</v>
      </c>
    </row>
    <row r="315" spans="2:8" x14ac:dyDescent="0.3">
      <c r="B315" s="379">
        <f t="shared" si="14"/>
        <v>944</v>
      </c>
      <c r="C315" s="380">
        <v>43144</v>
      </c>
      <c r="D315" s="4">
        <v>2.83</v>
      </c>
      <c r="E315" s="381">
        <f t="shared" si="12"/>
        <v>2.5754021178734951E-27</v>
      </c>
      <c r="G315" s="396">
        <v>43182</v>
      </c>
      <c r="H315" s="32">
        <v>1.8435600000000001</v>
      </c>
    </row>
    <row r="316" spans="2:8" x14ac:dyDescent="0.3">
      <c r="B316" s="379">
        <f t="shared" si="14"/>
        <v>943</v>
      </c>
      <c r="C316" s="380">
        <v>43145</v>
      </c>
      <c r="D316" s="4">
        <v>2.91</v>
      </c>
      <c r="E316" s="381">
        <f t="shared" si="12"/>
        <v>2.7397894870994625E-27</v>
      </c>
      <c r="G316" s="396">
        <v>43185</v>
      </c>
      <c r="H316" s="32">
        <v>1.8048299999999999</v>
      </c>
    </row>
    <row r="317" spans="2:8" x14ac:dyDescent="0.3">
      <c r="B317" s="379">
        <f t="shared" si="14"/>
        <v>942</v>
      </c>
      <c r="C317" s="380">
        <v>43146</v>
      </c>
      <c r="D317" s="4">
        <v>2.9</v>
      </c>
      <c r="E317" s="381">
        <f t="shared" si="12"/>
        <v>2.9146696671270883E-27</v>
      </c>
      <c r="G317" s="396">
        <v>43186</v>
      </c>
      <c r="H317" s="32">
        <v>1.80776</v>
      </c>
    </row>
    <row r="318" spans="2:8" x14ac:dyDescent="0.3">
      <c r="B318" s="379">
        <f t="shared" si="14"/>
        <v>941</v>
      </c>
      <c r="C318" s="380">
        <v>43147</v>
      </c>
      <c r="D318" s="4">
        <v>2.87</v>
      </c>
      <c r="E318" s="381">
        <f t="shared" si="12"/>
        <v>3.1007124118373273E-27</v>
      </c>
      <c r="G318" s="396">
        <v>43187</v>
      </c>
      <c r="H318" s="32">
        <v>1.8087599999999999</v>
      </c>
    </row>
    <row r="319" spans="2:8" x14ac:dyDescent="0.3">
      <c r="B319" s="379">
        <f t="shared" si="14"/>
        <v>940</v>
      </c>
      <c r="C319" s="380">
        <v>43151</v>
      </c>
      <c r="D319" s="4">
        <v>2.88</v>
      </c>
      <c r="E319" s="381">
        <f t="shared" si="12"/>
        <v>3.2986302253588593E-27</v>
      </c>
      <c r="G319" s="396">
        <v>43188</v>
      </c>
      <c r="H319" s="32">
        <v>1.80494</v>
      </c>
    </row>
    <row r="320" spans="2:8" x14ac:dyDescent="0.3">
      <c r="B320" s="379">
        <f t="shared" si="14"/>
        <v>939</v>
      </c>
      <c r="C320" s="380">
        <v>43152</v>
      </c>
      <c r="D320" s="4">
        <v>2.94</v>
      </c>
      <c r="E320" s="381">
        <f t="shared" si="12"/>
        <v>3.5091810908072976E-27</v>
      </c>
      <c r="G320" s="396">
        <v>43192</v>
      </c>
      <c r="H320" s="32">
        <v>1.81856</v>
      </c>
    </row>
    <row r="321" spans="2:8" x14ac:dyDescent="0.3">
      <c r="B321" s="379">
        <f t="shared" si="14"/>
        <v>938</v>
      </c>
      <c r="C321" s="380">
        <v>43153</v>
      </c>
      <c r="D321" s="4">
        <v>2.92</v>
      </c>
      <c r="E321" s="381">
        <f t="shared" si="12"/>
        <v>3.7331713731992524E-27</v>
      </c>
      <c r="G321" s="396">
        <v>43193</v>
      </c>
      <c r="H321" s="32">
        <v>1.7438100000000001</v>
      </c>
    </row>
    <row r="322" spans="2:8" x14ac:dyDescent="0.3">
      <c r="B322" s="379">
        <f t="shared" si="14"/>
        <v>937</v>
      </c>
      <c r="C322" s="380">
        <v>43154</v>
      </c>
      <c r="D322" s="4">
        <v>2.88</v>
      </c>
      <c r="E322" s="381">
        <f t="shared" si="12"/>
        <v>3.9714589076587795E-27</v>
      </c>
      <c r="G322" s="396">
        <v>43194</v>
      </c>
      <c r="H322" s="32">
        <v>1.7395499999999999</v>
      </c>
    </row>
    <row r="323" spans="2:8" x14ac:dyDescent="0.3">
      <c r="B323" s="379">
        <f t="shared" si="14"/>
        <v>936</v>
      </c>
      <c r="C323" s="380">
        <v>43157</v>
      </c>
      <c r="D323" s="4">
        <v>2.86</v>
      </c>
      <c r="E323" s="381">
        <f t="shared" si="12"/>
        <v>4.2249562847433825E-27</v>
      </c>
      <c r="G323" s="396">
        <v>43195</v>
      </c>
      <c r="H323" s="32">
        <v>1.69347</v>
      </c>
    </row>
    <row r="324" spans="2:8" x14ac:dyDescent="0.3">
      <c r="B324" s="379">
        <f t="shared" si="14"/>
        <v>935</v>
      </c>
      <c r="C324" s="380">
        <v>43158</v>
      </c>
      <c r="D324" s="4">
        <v>2.9</v>
      </c>
      <c r="E324" s="381">
        <f t="shared" si="12"/>
        <v>4.4946343454716837E-27</v>
      </c>
      <c r="G324" s="396">
        <v>43196</v>
      </c>
      <c r="H324" s="32">
        <v>1.73864</v>
      </c>
    </row>
    <row r="325" spans="2:8" x14ac:dyDescent="0.3">
      <c r="B325" s="379">
        <f t="shared" si="14"/>
        <v>934</v>
      </c>
      <c r="C325" s="380">
        <v>43159</v>
      </c>
      <c r="D325" s="4">
        <v>2.87</v>
      </c>
      <c r="E325" s="381">
        <f t="shared" si="12"/>
        <v>4.7815258994379617E-27</v>
      </c>
      <c r="G325" s="396">
        <v>43199</v>
      </c>
      <c r="H325" s="32">
        <v>1.74318</v>
      </c>
    </row>
    <row r="326" spans="2:8" x14ac:dyDescent="0.3">
      <c r="B326" s="379">
        <f t="shared" si="14"/>
        <v>933</v>
      </c>
      <c r="C326" s="380">
        <v>43160</v>
      </c>
      <c r="D326" s="4">
        <v>2.81</v>
      </c>
      <c r="E326" s="381">
        <f t="shared" si="12"/>
        <v>5.0867296802531497E-27</v>
      </c>
      <c r="G326" s="396">
        <v>43200</v>
      </c>
      <c r="H326" s="32">
        <v>1.7381599999999999</v>
      </c>
    </row>
    <row r="327" spans="2:8" x14ac:dyDescent="0.3">
      <c r="B327" s="379">
        <f t="shared" si="14"/>
        <v>932</v>
      </c>
      <c r="C327" s="380">
        <v>43161</v>
      </c>
      <c r="D327" s="4">
        <v>2.86</v>
      </c>
      <c r="E327" s="381">
        <f t="shared" si="12"/>
        <v>5.4114145534607989E-27</v>
      </c>
      <c r="G327" s="396">
        <v>43201</v>
      </c>
      <c r="H327" s="32">
        <v>1.7161200000000001</v>
      </c>
    </row>
    <row r="328" spans="2:8" x14ac:dyDescent="0.3">
      <c r="B328" s="379">
        <f t="shared" si="14"/>
        <v>931</v>
      </c>
      <c r="C328" s="380">
        <v>43164</v>
      </c>
      <c r="D328" s="4">
        <v>2.88</v>
      </c>
      <c r="E328" s="381">
        <f t="shared" si="12"/>
        <v>5.756823993043403E-27</v>
      </c>
      <c r="G328" s="396">
        <v>43202</v>
      </c>
      <c r="H328" s="32">
        <v>1.6868099999999999</v>
      </c>
    </row>
    <row r="329" spans="2:8" x14ac:dyDescent="0.3">
      <c r="B329" s="379">
        <f t="shared" si="14"/>
        <v>930</v>
      </c>
      <c r="C329" s="380">
        <v>43165</v>
      </c>
      <c r="D329" s="4">
        <v>2.88</v>
      </c>
      <c r="E329" s="381">
        <f t="shared" ref="E329:E392" si="15">+(1-$C$4)*$C$4^B329</f>
        <v>6.1242808436631951E-27</v>
      </c>
      <c r="G329" s="396">
        <v>43203</v>
      </c>
      <c r="H329" s="32">
        <v>1.7090000000000001</v>
      </c>
    </row>
    <row r="330" spans="2:8" x14ac:dyDescent="0.3">
      <c r="B330" s="379">
        <f t="shared" si="14"/>
        <v>929</v>
      </c>
      <c r="C330" s="380">
        <v>43166</v>
      </c>
      <c r="D330" s="4">
        <v>2.89</v>
      </c>
      <c r="E330" s="381">
        <f t="shared" si="15"/>
        <v>6.5151923868757401E-27</v>
      </c>
      <c r="G330" s="396">
        <v>43206</v>
      </c>
      <c r="H330" s="32">
        <v>1.72844</v>
      </c>
    </row>
    <row r="331" spans="2:8" x14ac:dyDescent="0.3">
      <c r="B331" s="379">
        <f t="shared" ref="B331:B394" si="16">+B330-1</f>
        <v>928</v>
      </c>
      <c r="C331" s="380">
        <v>43167</v>
      </c>
      <c r="D331" s="4">
        <v>2.86</v>
      </c>
      <c r="E331" s="381">
        <f t="shared" si="15"/>
        <v>6.9310557307188711E-27</v>
      </c>
      <c r="G331" s="396">
        <v>43207</v>
      </c>
      <c r="H331" s="32">
        <v>1.74569</v>
      </c>
    </row>
    <row r="332" spans="2:8" x14ac:dyDescent="0.3">
      <c r="B332" s="379">
        <f t="shared" si="16"/>
        <v>927</v>
      </c>
      <c r="C332" s="380">
        <v>43168</v>
      </c>
      <c r="D332" s="4">
        <v>2.9</v>
      </c>
      <c r="E332" s="381">
        <f t="shared" si="15"/>
        <v>7.3734635433179478E-27</v>
      </c>
      <c r="G332" s="396">
        <v>43208</v>
      </c>
      <c r="H332" s="32">
        <v>1.70198</v>
      </c>
    </row>
    <row r="333" spans="2:8" x14ac:dyDescent="0.3">
      <c r="B333" s="379">
        <f t="shared" si="16"/>
        <v>926</v>
      </c>
      <c r="C333" s="380">
        <v>43171</v>
      </c>
      <c r="D333" s="4">
        <v>2.87</v>
      </c>
      <c r="E333" s="381">
        <f t="shared" si="15"/>
        <v>7.8441101524659035E-27</v>
      </c>
      <c r="G333" s="396">
        <v>43209</v>
      </c>
      <c r="H333" s="32">
        <v>1.6991099999999999</v>
      </c>
    </row>
    <row r="334" spans="2:8" x14ac:dyDescent="0.3">
      <c r="B334" s="379">
        <f t="shared" si="16"/>
        <v>925</v>
      </c>
      <c r="C334" s="380">
        <v>43172</v>
      </c>
      <c r="D334" s="4">
        <v>2.84</v>
      </c>
      <c r="E334" s="381">
        <f t="shared" si="15"/>
        <v>8.3447980345381917E-27</v>
      </c>
      <c r="G334" s="396">
        <v>43210</v>
      </c>
      <c r="H334" s="32">
        <v>1.6949000000000001</v>
      </c>
    </row>
    <row r="335" spans="2:8" x14ac:dyDescent="0.3">
      <c r="B335" s="379">
        <f t="shared" si="16"/>
        <v>924</v>
      </c>
      <c r="C335" s="380">
        <v>43173</v>
      </c>
      <c r="D335" s="4">
        <v>2.81</v>
      </c>
      <c r="E335" s="381">
        <f t="shared" si="15"/>
        <v>8.8774447175938235E-27</v>
      </c>
      <c r="G335" s="396">
        <v>43213</v>
      </c>
      <c r="H335" s="32">
        <v>1.7048300000000001</v>
      </c>
    </row>
    <row r="336" spans="2:8" x14ac:dyDescent="0.3">
      <c r="B336" s="379">
        <f t="shared" si="16"/>
        <v>923</v>
      </c>
      <c r="C336" s="380">
        <v>43174</v>
      </c>
      <c r="D336" s="4">
        <v>2.82</v>
      </c>
      <c r="E336" s="381">
        <f t="shared" si="15"/>
        <v>9.4440901250998123E-27</v>
      </c>
      <c r="G336" s="396">
        <v>43214</v>
      </c>
      <c r="H336" s="32">
        <v>1.7095100000000001</v>
      </c>
    </row>
    <row r="337" spans="2:8" x14ac:dyDescent="0.3">
      <c r="B337" s="379">
        <f t="shared" si="16"/>
        <v>922</v>
      </c>
      <c r="C337" s="380">
        <v>43175</v>
      </c>
      <c r="D337" s="4">
        <v>2.85</v>
      </c>
      <c r="E337" s="381">
        <f t="shared" si="15"/>
        <v>1.0046904388404057E-26</v>
      </c>
      <c r="G337" s="396">
        <v>43215</v>
      </c>
      <c r="H337" s="32">
        <v>1.7123600000000001</v>
      </c>
    </row>
    <row r="338" spans="2:8" x14ac:dyDescent="0.3">
      <c r="B338" s="379">
        <f t="shared" si="16"/>
        <v>921</v>
      </c>
      <c r="C338" s="380">
        <v>43178</v>
      </c>
      <c r="D338" s="4">
        <v>2.85</v>
      </c>
      <c r="E338" s="381">
        <f t="shared" si="15"/>
        <v>1.0688196157876656E-26</v>
      </c>
      <c r="G338" s="396">
        <v>43216</v>
      </c>
      <c r="H338" s="32">
        <v>1.7552099999999999</v>
      </c>
    </row>
    <row r="339" spans="2:8" x14ac:dyDescent="0.3">
      <c r="B339" s="379">
        <f t="shared" si="16"/>
        <v>920</v>
      </c>
      <c r="C339" s="380">
        <v>43179</v>
      </c>
      <c r="D339" s="4">
        <v>2.89</v>
      </c>
      <c r="E339" s="381">
        <f t="shared" si="15"/>
        <v>1.1370421444549634E-26</v>
      </c>
      <c r="G339" s="396">
        <v>43217</v>
      </c>
      <c r="H339" s="32">
        <v>1.7869200000000001</v>
      </c>
    </row>
    <row r="340" spans="2:8" x14ac:dyDescent="0.3">
      <c r="B340" s="379">
        <f t="shared" si="16"/>
        <v>919</v>
      </c>
      <c r="C340" s="380">
        <v>43180</v>
      </c>
      <c r="D340" s="4">
        <v>2.89</v>
      </c>
      <c r="E340" s="381">
        <f t="shared" si="15"/>
        <v>1.2096193026116632E-26</v>
      </c>
      <c r="G340" s="396">
        <v>43220</v>
      </c>
      <c r="H340" s="32">
        <v>1.8154999999999999</v>
      </c>
    </row>
    <row r="341" spans="2:8" x14ac:dyDescent="0.3">
      <c r="B341" s="379">
        <f t="shared" si="16"/>
        <v>918</v>
      </c>
      <c r="C341" s="380">
        <v>43181</v>
      </c>
      <c r="D341" s="4">
        <v>2.83</v>
      </c>
      <c r="E341" s="381">
        <f t="shared" si="15"/>
        <v>1.2868290453315567E-26</v>
      </c>
      <c r="G341" s="396">
        <v>43221</v>
      </c>
      <c r="H341" s="32">
        <v>1.81718</v>
      </c>
    </row>
    <row r="342" spans="2:8" x14ac:dyDescent="0.3">
      <c r="B342" s="379">
        <f t="shared" si="16"/>
        <v>917</v>
      </c>
      <c r="C342" s="380">
        <v>43182</v>
      </c>
      <c r="D342" s="4">
        <v>2.82</v>
      </c>
      <c r="E342" s="381">
        <f t="shared" si="15"/>
        <v>1.3689670695016562E-26</v>
      </c>
      <c r="G342" s="396">
        <v>43222</v>
      </c>
      <c r="H342" s="32">
        <v>1.8791</v>
      </c>
    </row>
    <row r="343" spans="2:8" x14ac:dyDescent="0.3">
      <c r="B343" s="379">
        <f t="shared" si="16"/>
        <v>916</v>
      </c>
      <c r="C343" s="380">
        <v>43185</v>
      </c>
      <c r="D343" s="4">
        <v>2.85</v>
      </c>
      <c r="E343" s="381">
        <f t="shared" si="15"/>
        <v>1.4563479462783576E-26</v>
      </c>
      <c r="G343" s="396">
        <v>43223</v>
      </c>
      <c r="H343" s="32">
        <v>1.97523</v>
      </c>
    </row>
    <row r="344" spans="2:8" x14ac:dyDescent="0.3">
      <c r="B344" s="379">
        <f t="shared" si="16"/>
        <v>915</v>
      </c>
      <c r="C344" s="380">
        <v>43186</v>
      </c>
      <c r="D344" s="4">
        <v>2.78</v>
      </c>
      <c r="E344" s="381">
        <f t="shared" si="15"/>
        <v>1.5493063258280397E-26</v>
      </c>
      <c r="G344" s="396">
        <v>43224</v>
      </c>
      <c r="H344" s="32">
        <v>1.9482200000000001</v>
      </c>
    </row>
    <row r="345" spans="2:8" x14ac:dyDescent="0.3">
      <c r="B345" s="379">
        <f t="shared" si="16"/>
        <v>914</v>
      </c>
      <c r="C345" s="380">
        <v>43187</v>
      </c>
      <c r="D345" s="4">
        <v>2.77</v>
      </c>
      <c r="E345" s="381">
        <f t="shared" si="15"/>
        <v>1.648198218966E-26</v>
      </c>
      <c r="G345" s="396">
        <v>43227</v>
      </c>
      <c r="H345" s="32">
        <v>1.9068799999999999</v>
      </c>
    </row>
    <row r="346" spans="2:8" x14ac:dyDescent="0.3">
      <c r="B346" s="379">
        <f t="shared" si="16"/>
        <v>913</v>
      </c>
      <c r="C346" s="380">
        <v>43188</v>
      </c>
      <c r="D346" s="4">
        <v>2.74</v>
      </c>
      <c r="E346" s="381">
        <f t="shared" si="15"/>
        <v>1.7534023606021276E-26</v>
      </c>
      <c r="G346" s="396">
        <v>43228</v>
      </c>
      <c r="H346" s="32">
        <v>1.9504300000000001</v>
      </c>
    </row>
    <row r="347" spans="2:8" x14ac:dyDescent="0.3">
      <c r="B347" s="379">
        <f t="shared" si="16"/>
        <v>912</v>
      </c>
      <c r="C347" s="380">
        <v>43192</v>
      </c>
      <c r="D347" s="4">
        <v>2.73</v>
      </c>
      <c r="E347" s="381">
        <f t="shared" si="15"/>
        <v>1.8653216602150297E-26</v>
      </c>
      <c r="G347" s="396">
        <v>43229</v>
      </c>
      <c r="H347" s="32">
        <v>1.9053100000000001</v>
      </c>
    </row>
    <row r="348" spans="2:8" x14ac:dyDescent="0.3">
      <c r="B348" s="379">
        <f t="shared" si="16"/>
        <v>911</v>
      </c>
      <c r="C348" s="380">
        <v>43193</v>
      </c>
      <c r="D348" s="4">
        <v>2.79</v>
      </c>
      <c r="E348" s="381">
        <f t="shared" si="15"/>
        <v>1.9843847449096055E-26</v>
      </c>
      <c r="G348" s="396">
        <v>43230</v>
      </c>
      <c r="H348" s="32">
        <v>1.8138099999999999</v>
      </c>
    </row>
    <row r="349" spans="2:8" x14ac:dyDescent="0.3">
      <c r="B349" s="379">
        <f t="shared" si="16"/>
        <v>910</v>
      </c>
      <c r="C349" s="380">
        <v>43194</v>
      </c>
      <c r="D349" s="4">
        <v>2.79</v>
      </c>
      <c r="E349" s="381">
        <f t="shared" si="15"/>
        <v>2.1110476009676659E-26</v>
      </c>
      <c r="G349" s="396">
        <v>43231</v>
      </c>
      <c r="H349" s="32">
        <v>1.7748200000000001</v>
      </c>
    </row>
    <row r="350" spans="2:8" x14ac:dyDescent="0.3">
      <c r="B350" s="379">
        <f t="shared" si="16"/>
        <v>909</v>
      </c>
      <c r="C350" s="380">
        <v>43195</v>
      </c>
      <c r="D350" s="4">
        <v>2.83</v>
      </c>
      <c r="E350" s="381">
        <f t="shared" si="15"/>
        <v>2.2457953201783675E-26</v>
      </c>
      <c r="G350" s="396">
        <v>43234</v>
      </c>
      <c r="H350" s="32">
        <v>1.77</v>
      </c>
    </row>
    <row r="351" spans="2:8" x14ac:dyDescent="0.3">
      <c r="B351" s="379">
        <f t="shared" si="16"/>
        <v>908</v>
      </c>
      <c r="C351" s="380">
        <v>43196</v>
      </c>
      <c r="D351" s="4">
        <v>2.77</v>
      </c>
      <c r="E351" s="381">
        <f t="shared" si="15"/>
        <v>2.3891439576365614E-26</v>
      </c>
      <c r="G351" s="396">
        <v>43235</v>
      </c>
      <c r="H351" s="32">
        <v>1.8025800000000001</v>
      </c>
    </row>
    <row r="352" spans="2:8" x14ac:dyDescent="0.3">
      <c r="B352" s="379">
        <f t="shared" si="16"/>
        <v>907</v>
      </c>
      <c r="C352" s="380">
        <v>43199</v>
      </c>
      <c r="D352" s="4">
        <v>2.78</v>
      </c>
      <c r="E352" s="381">
        <f t="shared" si="15"/>
        <v>2.5416425081240017E-26</v>
      </c>
      <c r="G352" s="396">
        <v>43236</v>
      </c>
      <c r="H352" s="32">
        <v>1.77691</v>
      </c>
    </row>
    <row r="353" spans="2:8" x14ac:dyDescent="0.3">
      <c r="B353" s="379">
        <f t="shared" si="16"/>
        <v>906</v>
      </c>
      <c r="C353" s="380">
        <v>43200</v>
      </c>
      <c r="D353" s="4">
        <v>2.8</v>
      </c>
      <c r="E353" s="381">
        <f t="shared" si="15"/>
        <v>2.7038750086425549E-26</v>
      </c>
      <c r="G353" s="396">
        <v>43237</v>
      </c>
      <c r="H353" s="32">
        <v>1.8581399999999999</v>
      </c>
    </row>
    <row r="354" spans="2:8" x14ac:dyDescent="0.3">
      <c r="B354" s="379">
        <f t="shared" si="16"/>
        <v>905</v>
      </c>
      <c r="C354" s="380">
        <v>43201</v>
      </c>
      <c r="D354" s="4">
        <v>2.79</v>
      </c>
      <c r="E354" s="381">
        <f t="shared" si="15"/>
        <v>2.8764627751516538E-26</v>
      </c>
      <c r="G354" s="396">
        <v>43238</v>
      </c>
      <c r="H354" s="32">
        <v>1.9272100000000001</v>
      </c>
    </row>
    <row r="355" spans="2:8" x14ac:dyDescent="0.3">
      <c r="B355" s="379">
        <f t="shared" si="16"/>
        <v>904</v>
      </c>
      <c r="C355" s="380">
        <v>43202</v>
      </c>
      <c r="D355" s="4">
        <v>2.83</v>
      </c>
      <c r="E355" s="381">
        <f t="shared" si="15"/>
        <v>3.0600667820762281E-26</v>
      </c>
      <c r="G355" s="396">
        <v>43241</v>
      </c>
      <c r="H355" s="32">
        <v>1.93798</v>
      </c>
    </row>
    <row r="356" spans="2:8" x14ac:dyDescent="0.3">
      <c r="B356" s="379">
        <f t="shared" si="16"/>
        <v>903</v>
      </c>
      <c r="C356" s="380">
        <v>43203</v>
      </c>
      <c r="D356" s="4">
        <v>2.82</v>
      </c>
      <c r="E356" s="381">
        <f t="shared" si="15"/>
        <v>3.2553901936981148E-26</v>
      </c>
      <c r="G356" s="396">
        <v>43242</v>
      </c>
      <c r="H356" s="32">
        <v>1.8873</v>
      </c>
    </row>
    <row r="357" spans="2:8" x14ac:dyDescent="0.3">
      <c r="B357" s="379">
        <f t="shared" si="16"/>
        <v>902</v>
      </c>
      <c r="C357" s="380">
        <v>43206</v>
      </c>
      <c r="D357" s="4">
        <v>2.83</v>
      </c>
      <c r="E357" s="381">
        <f t="shared" si="15"/>
        <v>3.4631810571256553E-26</v>
      </c>
      <c r="G357" s="396">
        <v>43243</v>
      </c>
      <c r="H357" s="32">
        <v>1.89202</v>
      </c>
    </row>
    <row r="358" spans="2:8" x14ac:dyDescent="0.3">
      <c r="B358" s="379">
        <f t="shared" si="16"/>
        <v>901</v>
      </c>
      <c r="C358" s="380">
        <v>43207</v>
      </c>
      <c r="D358" s="4">
        <v>2.82</v>
      </c>
      <c r="E358" s="381">
        <f t="shared" si="15"/>
        <v>3.6842351671549516E-26</v>
      </c>
      <c r="G358" s="396">
        <v>43244</v>
      </c>
      <c r="H358" s="32">
        <v>1.8913899999999999</v>
      </c>
    </row>
    <row r="359" spans="2:8" x14ac:dyDescent="0.3">
      <c r="B359" s="379">
        <f t="shared" si="16"/>
        <v>900</v>
      </c>
      <c r="C359" s="380">
        <v>43208</v>
      </c>
      <c r="D359" s="4">
        <v>2.87</v>
      </c>
      <c r="E359" s="381">
        <f t="shared" si="15"/>
        <v>3.9193991139946296E-26</v>
      </c>
      <c r="G359" s="396">
        <v>43245</v>
      </c>
      <c r="H359" s="32">
        <v>1.91879</v>
      </c>
    </row>
    <row r="360" spans="2:8" x14ac:dyDescent="0.3">
      <c r="B360" s="379">
        <f t="shared" si="16"/>
        <v>899</v>
      </c>
      <c r="C360" s="380">
        <v>43209</v>
      </c>
      <c r="D360" s="4">
        <v>2.92</v>
      </c>
      <c r="E360" s="381">
        <f t="shared" si="15"/>
        <v>4.1695735255262015E-26</v>
      </c>
      <c r="G360" s="396">
        <v>43249</v>
      </c>
      <c r="H360" s="32">
        <v>2.0495299999999999</v>
      </c>
    </row>
    <row r="361" spans="2:8" x14ac:dyDescent="0.3">
      <c r="B361" s="379">
        <f t="shared" si="16"/>
        <v>898</v>
      </c>
      <c r="C361" s="380">
        <v>43210</v>
      </c>
      <c r="D361" s="4">
        <v>2.96</v>
      </c>
      <c r="E361" s="381">
        <f t="shared" si="15"/>
        <v>4.4357165165172362E-26</v>
      </c>
      <c r="G361" s="396">
        <v>43250</v>
      </c>
      <c r="H361" s="32">
        <v>2.00745</v>
      </c>
    </row>
    <row r="362" spans="2:8" x14ac:dyDescent="0.3">
      <c r="B362" s="379">
        <f t="shared" si="16"/>
        <v>897</v>
      </c>
      <c r="C362" s="380">
        <v>43213</v>
      </c>
      <c r="D362" s="4">
        <v>2.98</v>
      </c>
      <c r="E362" s="381">
        <f t="shared" si="15"/>
        <v>4.71884735799706E-26</v>
      </c>
      <c r="G362" s="396">
        <v>43251</v>
      </c>
      <c r="H362" s="32">
        <v>2.0500099999999999</v>
      </c>
    </row>
    <row r="363" spans="2:8" x14ac:dyDescent="0.3">
      <c r="B363" s="379">
        <f t="shared" si="16"/>
        <v>896</v>
      </c>
      <c r="C363" s="380">
        <v>43214</v>
      </c>
      <c r="D363" s="4">
        <v>3</v>
      </c>
      <c r="E363" s="381">
        <f t="shared" si="15"/>
        <v>5.0200503808479363E-26</v>
      </c>
      <c r="G363" s="396">
        <v>43252</v>
      </c>
      <c r="H363" s="32">
        <v>1.9926600000000001</v>
      </c>
    </row>
    <row r="364" spans="2:8" x14ac:dyDescent="0.3">
      <c r="B364" s="379">
        <f t="shared" si="16"/>
        <v>895</v>
      </c>
      <c r="C364" s="380">
        <v>43215</v>
      </c>
      <c r="D364" s="4">
        <v>3.03</v>
      </c>
      <c r="E364" s="381">
        <f t="shared" si="15"/>
        <v>5.3404791285616334E-26</v>
      </c>
      <c r="G364" s="396">
        <v>43255</v>
      </c>
      <c r="H364" s="32">
        <v>1.9239200000000001</v>
      </c>
    </row>
    <row r="365" spans="2:8" x14ac:dyDescent="0.3">
      <c r="B365" s="379">
        <f t="shared" si="16"/>
        <v>894</v>
      </c>
      <c r="C365" s="380">
        <v>43216</v>
      </c>
      <c r="D365" s="4">
        <v>3</v>
      </c>
      <c r="E365" s="381">
        <f t="shared" si="15"/>
        <v>5.6813607750655683E-26</v>
      </c>
      <c r="G365" s="396">
        <v>43256</v>
      </c>
      <c r="H365" s="32">
        <v>1.9426699999999999</v>
      </c>
    </row>
    <row r="366" spans="2:8" x14ac:dyDescent="0.3">
      <c r="B366" s="379">
        <f t="shared" si="16"/>
        <v>893</v>
      </c>
      <c r="C366" s="380">
        <v>43217</v>
      </c>
      <c r="D366" s="4">
        <v>2.96</v>
      </c>
      <c r="E366" s="381">
        <f t="shared" si="15"/>
        <v>6.0440008245378376E-26</v>
      </c>
      <c r="G366" s="396">
        <v>43257</v>
      </c>
      <c r="H366" s="32">
        <v>1.9265000000000001</v>
      </c>
    </row>
    <row r="367" spans="2:8" x14ac:dyDescent="0.3">
      <c r="B367" s="379">
        <f t="shared" si="16"/>
        <v>892</v>
      </c>
      <c r="C367" s="380">
        <v>43220</v>
      </c>
      <c r="D367" s="4">
        <v>2.95</v>
      </c>
      <c r="E367" s="381">
        <f t="shared" si="15"/>
        <v>6.4297881112104675E-26</v>
      </c>
      <c r="G367" s="396">
        <v>43258</v>
      </c>
      <c r="H367" s="32">
        <v>2.02434</v>
      </c>
    </row>
    <row r="368" spans="2:8" x14ac:dyDescent="0.3">
      <c r="B368" s="379">
        <f t="shared" si="16"/>
        <v>891</v>
      </c>
      <c r="C368" s="380">
        <v>43221</v>
      </c>
      <c r="D368" s="4">
        <v>2.97</v>
      </c>
      <c r="E368" s="381">
        <f t="shared" si="15"/>
        <v>6.8402001183090072E-26</v>
      </c>
      <c r="G368" s="396">
        <v>43259</v>
      </c>
      <c r="H368" s="32">
        <v>2.0359600000000002</v>
      </c>
    </row>
    <row r="369" spans="2:8" x14ac:dyDescent="0.3">
      <c r="B369" s="379">
        <f t="shared" si="16"/>
        <v>890</v>
      </c>
      <c r="C369" s="380">
        <v>43222</v>
      </c>
      <c r="D369" s="4">
        <v>2.97</v>
      </c>
      <c r="E369" s="381">
        <f t="shared" si="15"/>
        <v>7.2768086364989437E-26</v>
      </c>
      <c r="G369" s="396">
        <v>43262</v>
      </c>
      <c r="H369" s="32">
        <v>2.0529999999999999</v>
      </c>
    </row>
    <row r="370" spans="2:8" x14ac:dyDescent="0.3">
      <c r="B370" s="379">
        <f t="shared" si="16"/>
        <v>889</v>
      </c>
      <c r="C370" s="380">
        <v>43223</v>
      </c>
      <c r="D370" s="4">
        <v>2.94</v>
      </c>
      <c r="E370" s="381">
        <f t="shared" si="15"/>
        <v>7.7412857835095147E-26</v>
      </c>
      <c r="G370" s="396">
        <v>43263</v>
      </c>
      <c r="H370" s="32">
        <v>2.0432100000000002</v>
      </c>
    </row>
    <row r="371" spans="2:8" x14ac:dyDescent="0.3">
      <c r="B371" s="379">
        <f t="shared" si="16"/>
        <v>888</v>
      </c>
      <c r="C371" s="380">
        <v>43224</v>
      </c>
      <c r="D371" s="4">
        <v>2.95</v>
      </c>
      <c r="E371" s="381">
        <f t="shared" si="15"/>
        <v>8.2354104079888464E-26</v>
      </c>
      <c r="G371" s="396">
        <v>43264</v>
      </c>
      <c r="H371" s="32">
        <v>2.00685</v>
      </c>
    </row>
    <row r="372" spans="2:8" x14ac:dyDescent="0.3">
      <c r="B372" s="379">
        <f t="shared" si="16"/>
        <v>887</v>
      </c>
      <c r="C372" s="380">
        <v>43227</v>
      </c>
      <c r="D372" s="4">
        <v>2.95</v>
      </c>
      <c r="E372" s="381">
        <f t="shared" si="15"/>
        <v>8.7610749021157933E-26</v>
      </c>
      <c r="G372" s="396">
        <v>43265</v>
      </c>
      <c r="H372" s="32">
        <v>2.0172699999999999</v>
      </c>
    </row>
    <row r="373" spans="2:8" x14ac:dyDescent="0.3">
      <c r="B373" s="379">
        <f t="shared" si="16"/>
        <v>886</v>
      </c>
      <c r="C373" s="380">
        <v>43228</v>
      </c>
      <c r="D373" s="4">
        <v>2.97</v>
      </c>
      <c r="E373" s="381">
        <f t="shared" si="15"/>
        <v>9.3202924490593549E-26</v>
      </c>
      <c r="G373" s="396">
        <v>43266</v>
      </c>
      <c r="H373" s="32">
        <v>1.99166</v>
      </c>
    </row>
    <row r="374" spans="2:8" x14ac:dyDescent="0.3">
      <c r="B374" s="379">
        <f t="shared" si="16"/>
        <v>885</v>
      </c>
      <c r="C374" s="380">
        <v>43229</v>
      </c>
      <c r="D374" s="4">
        <v>3</v>
      </c>
      <c r="E374" s="381">
        <f t="shared" si="15"/>
        <v>9.9152047330418665E-26</v>
      </c>
      <c r="G374" s="396">
        <v>43269</v>
      </c>
      <c r="H374" s="32">
        <v>2.0247899999999999</v>
      </c>
    </row>
    <row r="375" spans="2:8" x14ac:dyDescent="0.3">
      <c r="B375" s="379">
        <f t="shared" si="16"/>
        <v>884</v>
      </c>
      <c r="C375" s="380">
        <v>43230</v>
      </c>
      <c r="D375" s="4">
        <v>2.97</v>
      </c>
      <c r="E375" s="381">
        <f t="shared" si="15"/>
        <v>1.0548090141533901E-25</v>
      </c>
      <c r="G375" s="396">
        <v>43270</v>
      </c>
      <c r="H375" s="32">
        <v>2.0625900000000001</v>
      </c>
    </row>
    <row r="376" spans="2:8" x14ac:dyDescent="0.3">
      <c r="B376" s="379">
        <f t="shared" si="16"/>
        <v>883</v>
      </c>
      <c r="C376" s="380">
        <v>43231</v>
      </c>
      <c r="D376" s="4">
        <v>2.97</v>
      </c>
      <c r="E376" s="381">
        <f t="shared" si="15"/>
        <v>1.1221372490993513E-25</v>
      </c>
      <c r="G376" s="396">
        <v>43271</v>
      </c>
      <c r="H376" s="32">
        <v>2.0103200000000001</v>
      </c>
    </row>
    <row r="377" spans="2:8" x14ac:dyDescent="0.3">
      <c r="B377" s="379">
        <f t="shared" si="16"/>
        <v>882</v>
      </c>
      <c r="C377" s="380">
        <v>43234</v>
      </c>
      <c r="D377" s="4">
        <v>3</v>
      </c>
      <c r="E377" s="381">
        <f t="shared" si="15"/>
        <v>1.1937630309567566E-25</v>
      </c>
      <c r="G377" s="396">
        <v>43272</v>
      </c>
      <c r="H377" s="32">
        <v>1.9886699999999999</v>
      </c>
    </row>
    <row r="378" spans="2:8" x14ac:dyDescent="0.3">
      <c r="B378" s="379">
        <f t="shared" si="16"/>
        <v>881</v>
      </c>
      <c r="C378" s="380">
        <v>43235</v>
      </c>
      <c r="D378" s="4">
        <v>3.08</v>
      </c>
      <c r="E378" s="381">
        <f t="shared" si="15"/>
        <v>1.2699606712305922E-25</v>
      </c>
      <c r="G378" s="396">
        <v>43273</v>
      </c>
      <c r="H378" s="32">
        <v>1.9478800000000001</v>
      </c>
    </row>
    <row r="379" spans="2:8" x14ac:dyDescent="0.3">
      <c r="B379" s="379">
        <f t="shared" si="16"/>
        <v>880</v>
      </c>
      <c r="C379" s="380">
        <v>43236</v>
      </c>
      <c r="D379" s="4">
        <v>3.09</v>
      </c>
      <c r="E379" s="381">
        <f t="shared" si="15"/>
        <v>1.3510219906708428E-25</v>
      </c>
      <c r="G379" s="396">
        <v>43276</v>
      </c>
      <c r="H379" s="32">
        <v>1.9845200000000001</v>
      </c>
    </row>
    <row r="380" spans="2:8" x14ac:dyDescent="0.3">
      <c r="B380" s="379">
        <f t="shared" si="16"/>
        <v>879</v>
      </c>
      <c r="C380" s="380">
        <v>43237</v>
      </c>
      <c r="D380" s="4">
        <v>3.11</v>
      </c>
      <c r="E380" s="381">
        <f t="shared" si="15"/>
        <v>1.4372574368838753E-25</v>
      </c>
      <c r="G380" s="396">
        <v>43277</v>
      </c>
      <c r="H380" s="32">
        <v>1.98211</v>
      </c>
    </row>
    <row r="381" spans="2:8" x14ac:dyDescent="0.3">
      <c r="B381" s="379">
        <f t="shared" si="16"/>
        <v>878</v>
      </c>
      <c r="C381" s="380">
        <v>43238</v>
      </c>
      <c r="D381" s="4">
        <v>3.06</v>
      </c>
      <c r="E381" s="381">
        <f t="shared" si="15"/>
        <v>1.5289972732807181E-25</v>
      </c>
      <c r="G381" s="396">
        <v>43278</v>
      </c>
      <c r="H381" s="32">
        <v>2.0332300000000001</v>
      </c>
    </row>
    <row r="382" spans="2:8" x14ac:dyDescent="0.3">
      <c r="B382" s="379">
        <f t="shared" si="16"/>
        <v>877</v>
      </c>
      <c r="C382" s="380">
        <v>43241</v>
      </c>
      <c r="D382" s="4">
        <v>3.06</v>
      </c>
      <c r="E382" s="381">
        <f t="shared" si="15"/>
        <v>1.6265928439156577E-25</v>
      </c>
      <c r="G382" s="396">
        <v>43279</v>
      </c>
      <c r="H382" s="32">
        <v>1.99613</v>
      </c>
    </row>
    <row r="383" spans="2:8" x14ac:dyDescent="0.3">
      <c r="B383" s="379">
        <f t="shared" si="16"/>
        <v>876</v>
      </c>
      <c r="C383" s="380">
        <v>43242</v>
      </c>
      <c r="D383" s="4">
        <v>3.06</v>
      </c>
      <c r="E383" s="381">
        <f t="shared" si="15"/>
        <v>1.7304179190592105E-25</v>
      </c>
      <c r="G383" s="396">
        <v>43280</v>
      </c>
      <c r="H383" s="32">
        <v>1.9687300000000001</v>
      </c>
    </row>
    <row r="384" spans="2:8" x14ac:dyDescent="0.3">
      <c r="B384" s="379">
        <f t="shared" si="16"/>
        <v>875</v>
      </c>
      <c r="C384" s="380">
        <v>43243</v>
      </c>
      <c r="D384" s="4">
        <v>3.01</v>
      </c>
      <c r="E384" s="381">
        <f t="shared" si="15"/>
        <v>1.8408701266587347E-25</v>
      </c>
      <c r="G384" s="396">
        <v>43283</v>
      </c>
      <c r="H384" s="32">
        <v>1.9573400000000001</v>
      </c>
    </row>
    <row r="385" spans="2:8" x14ac:dyDescent="0.3">
      <c r="B385" s="379">
        <f t="shared" si="16"/>
        <v>874</v>
      </c>
      <c r="C385" s="380">
        <v>43244</v>
      </c>
      <c r="D385" s="4">
        <v>2.98</v>
      </c>
      <c r="E385" s="381">
        <f t="shared" si="15"/>
        <v>1.9583724751688669E-25</v>
      </c>
      <c r="G385" s="396">
        <v>43284</v>
      </c>
      <c r="H385" s="32">
        <v>1.9218299999999999</v>
      </c>
    </row>
    <row r="386" spans="2:8" x14ac:dyDescent="0.3">
      <c r="B386" s="379">
        <f t="shared" si="16"/>
        <v>873</v>
      </c>
      <c r="C386" s="380">
        <v>43245</v>
      </c>
      <c r="D386" s="4">
        <v>2.93</v>
      </c>
      <c r="E386" s="381">
        <f t="shared" si="15"/>
        <v>2.0833749735839011E-25</v>
      </c>
      <c r="G386" s="396">
        <v>43286</v>
      </c>
      <c r="H386" s="32">
        <v>1.8671899999999999</v>
      </c>
    </row>
    <row r="387" spans="2:8" x14ac:dyDescent="0.3">
      <c r="B387" s="379">
        <f t="shared" si="16"/>
        <v>872</v>
      </c>
      <c r="C387" s="380">
        <v>43249</v>
      </c>
      <c r="D387" s="4">
        <v>2.77</v>
      </c>
      <c r="E387" s="381">
        <f t="shared" si="15"/>
        <v>2.2163563548764905E-25</v>
      </c>
      <c r="G387" s="396">
        <v>43287</v>
      </c>
      <c r="H387" s="32">
        <v>1.8156600000000001</v>
      </c>
    </row>
    <row r="388" spans="2:8" x14ac:dyDescent="0.3">
      <c r="B388" s="379">
        <f t="shared" si="16"/>
        <v>871</v>
      </c>
      <c r="C388" s="380">
        <v>43250</v>
      </c>
      <c r="D388" s="4">
        <v>2.84</v>
      </c>
      <c r="E388" s="381">
        <f t="shared" si="15"/>
        <v>2.3578259094430746E-25</v>
      </c>
      <c r="G388" s="396">
        <v>43290</v>
      </c>
      <c r="H388" s="32">
        <v>1.7554399999999999</v>
      </c>
    </row>
    <row r="389" spans="2:8" x14ac:dyDescent="0.3">
      <c r="B389" s="379">
        <f t="shared" si="16"/>
        <v>870</v>
      </c>
      <c r="C389" s="380">
        <v>43251</v>
      </c>
      <c r="D389" s="4">
        <v>2.83</v>
      </c>
      <c r="E389" s="381">
        <f t="shared" si="15"/>
        <v>2.5083254355777392E-25</v>
      </c>
      <c r="G389" s="396">
        <v>43291</v>
      </c>
      <c r="H389" s="32">
        <v>1.73674</v>
      </c>
    </row>
    <row r="390" spans="2:8" x14ac:dyDescent="0.3">
      <c r="B390" s="379">
        <f t="shared" si="16"/>
        <v>869</v>
      </c>
      <c r="C390" s="380">
        <v>43252</v>
      </c>
      <c r="D390" s="4">
        <v>2.89</v>
      </c>
      <c r="E390" s="381">
        <f t="shared" si="15"/>
        <v>2.6684313144444036E-25</v>
      </c>
      <c r="G390" s="396">
        <v>43292</v>
      </c>
      <c r="H390" s="32">
        <v>1.81748</v>
      </c>
    </row>
    <row r="391" spans="2:8" x14ac:dyDescent="0.3">
      <c r="B391" s="379">
        <f t="shared" si="16"/>
        <v>868</v>
      </c>
      <c r="C391" s="380">
        <v>43255</v>
      </c>
      <c r="D391" s="4">
        <v>2.94</v>
      </c>
      <c r="E391" s="381">
        <f t="shared" si="15"/>
        <v>2.8387567174940465E-25</v>
      </c>
      <c r="G391" s="396">
        <v>43293</v>
      </c>
      <c r="H391" s="32">
        <v>1.82637</v>
      </c>
    </row>
    <row r="392" spans="2:8" x14ac:dyDescent="0.3">
      <c r="B392" s="379">
        <f t="shared" si="16"/>
        <v>867</v>
      </c>
      <c r="C392" s="380">
        <v>43256</v>
      </c>
      <c r="D392" s="4">
        <v>2.92</v>
      </c>
      <c r="E392" s="381">
        <f t="shared" si="15"/>
        <v>3.0199539547809001E-25</v>
      </c>
      <c r="G392" s="396">
        <v>43294</v>
      </c>
      <c r="H392" s="32">
        <v>1.78661</v>
      </c>
    </row>
    <row r="393" spans="2:8" x14ac:dyDescent="0.3">
      <c r="B393" s="379">
        <f t="shared" si="16"/>
        <v>866</v>
      </c>
      <c r="C393" s="380">
        <v>43257</v>
      </c>
      <c r="D393" s="4">
        <v>2.97</v>
      </c>
      <c r="E393" s="381">
        <f t="shared" ref="E393:E456" si="17">+(1-$C$4)*$C$4^B393</f>
        <v>3.2127169731711705E-25</v>
      </c>
      <c r="G393" s="396">
        <v>43297</v>
      </c>
      <c r="H393" s="32">
        <v>1.80328</v>
      </c>
    </row>
    <row r="394" spans="2:8" x14ac:dyDescent="0.3">
      <c r="B394" s="379">
        <f t="shared" si="16"/>
        <v>865</v>
      </c>
      <c r="C394" s="380">
        <v>43258</v>
      </c>
      <c r="D394" s="4">
        <v>2.93</v>
      </c>
      <c r="E394" s="381">
        <f t="shared" si="17"/>
        <v>3.4177840140118837E-25</v>
      </c>
      <c r="G394" s="396">
        <v>43298</v>
      </c>
      <c r="H394" s="32">
        <v>1.7914699999999999</v>
      </c>
    </row>
    <row r="395" spans="2:8" x14ac:dyDescent="0.3">
      <c r="B395" s="379">
        <f t="shared" ref="B395:B458" si="18">+B394-1</f>
        <v>864</v>
      </c>
      <c r="C395" s="380">
        <v>43259</v>
      </c>
      <c r="D395" s="4">
        <v>2.93</v>
      </c>
      <c r="E395" s="381">
        <f t="shared" si="17"/>
        <v>3.6359404404381742E-25</v>
      </c>
      <c r="G395" s="396">
        <v>43299</v>
      </c>
      <c r="H395" s="32">
        <v>1.78179</v>
      </c>
    </row>
    <row r="396" spans="2:8" x14ac:dyDescent="0.3">
      <c r="B396" s="379">
        <f t="shared" si="18"/>
        <v>863</v>
      </c>
      <c r="C396" s="380">
        <v>43262</v>
      </c>
      <c r="D396" s="4">
        <v>2.96</v>
      </c>
      <c r="E396" s="381">
        <f t="shared" si="17"/>
        <v>3.8680217451469944E-25</v>
      </c>
      <c r="G396" s="396">
        <v>43300</v>
      </c>
      <c r="H396" s="32">
        <v>1.8151900000000001</v>
      </c>
    </row>
    <row r="397" spans="2:8" x14ac:dyDescent="0.3">
      <c r="B397" s="379">
        <f t="shared" si="18"/>
        <v>862</v>
      </c>
      <c r="C397" s="380">
        <v>43263</v>
      </c>
      <c r="D397" s="4">
        <v>2.96</v>
      </c>
      <c r="E397" s="381">
        <f t="shared" si="17"/>
        <v>4.1149167501563766E-25</v>
      </c>
      <c r="G397" s="396">
        <v>43301</v>
      </c>
      <c r="H397" s="32">
        <v>1.7971699999999999</v>
      </c>
    </row>
    <row r="398" spans="2:8" x14ac:dyDescent="0.3">
      <c r="B398" s="379">
        <f t="shared" si="18"/>
        <v>861</v>
      </c>
      <c r="C398" s="380">
        <v>43264</v>
      </c>
      <c r="D398" s="4">
        <v>2.98</v>
      </c>
      <c r="E398" s="381">
        <f t="shared" si="17"/>
        <v>4.377571010804656E-25</v>
      </c>
      <c r="G398" s="396">
        <v>43304</v>
      </c>
      <c r="H398" s="32">
        <v>1.7908500000000001</v>
      </c>
    </row>
    <row r="399" spans="2:8" x14ac:dyDescent="0.3">
      <c r="B399" s="379">
        <f t="shared" si="18"/>
        <v>860</v>
      </c>
      <c r="C399" s="380">
        <v>43265</v>
      </c>
      <c r="D399" s="4">
        <v>2.94</v>
      </c>
      <c r="E399" s="381">
        <f t="shared" si="17"/>
        <v>4.6569904370262302E-25</v>
      </c>
      <c r="G399" s="396">
        <v>43305</v>
      </c>
      <c r="H399" s="32">
        <v>1.81328</v>
      </c>
    </row>
    <row r="400" spans="2:8" x14ac:dyDescent="0.3">
      <c r="B400" s="379">
        <f t="shared" si="18"/>
        <v>859</v>
      </c>
      <c r="C400" s="380">
        <v>43266</v>
      </c>
      <c r="D400" s="4">
        <v>2.93</v>
      </c>
      <c r="E400" s="381">
        <f t="shared" si="17"/>
        <v>4.954245145772584E-25</v>
      </c>
      <c r="G400" s="396">
        <v>43306</v>
      </c>
      <c r="H400" s="32">
        <v>1.7949299999999999</v>
      </c>
    </row>
    <row r="401" spans="2:8" x14ac:dyDescent="0.3">
      <c r="B401" s="379">
        <f t="shared" si="18"/>
        <v>858</v>
      </c>
      <c r="C401" s="380">
        <v>43269</v>
      </c>
      <c r="D401" s="4">
        <v>2.92</v>
      </c>
      <c r="E401" s="381">
        <f t="shared" si="17"/>
        <v>5.2704735593325375E-25</v>
      </c>
      <c r="G401" s="396">
        <v>43307</v>
      </c>
      <c r="H401" s="32">
        <v>1.73353</v>
      </c>
    </row>
    <row r="402" spans="2:8" x14ac:dyDescent="0.3">
      <c r="B402" s="379">
        <f t="shared" si="18"/>
        <v>857</v>
      </c>
      <c r="C402" s="380">
        <v>43270</v>
      </c>
      <c r="D402" s="4">
        <v>2.89</v>
      </c>
      <c r="E402" s="381">
        <f t="shared" si="17"/>
        <v>5.6068867652473812E-25</v>
      </c>
      <c r="G402" s="396">
        <v>43308</v>
      </c>
      <c r="H402" s="32">
        <v>1.72879</v>
      </c>
    </row>
    <row r="403" spans="2:8" x14ac:dyDescent="0.3">
      <c r="B403" s="379">
        <f t="shared" si="18"/>
        <v>856</v>
      </c>
      <c r="C403" s="380">
        <v>43271</v>
      </c>
      <c r="D403" s="4">
        <v>2.93</v>
      </c>
      <c r="E403" s="381">
        <f t="shared" si="17"/>
        <v>5.964773154518489E-25</v>
      </c>
      <c r="G403" s="396">
        <v>43311</v>
      </c>
      <c r="H403" s="32">
        <v>1.7328600000000001</v>
      </c>
    </row>
    <row r="404" spans="2:8" x14ac:dyDescent="0.3">
      <c r="B404" s="379">
        <f t="shared" si="18"/>
        <v>855</v>
      </c>
      <c r="C404" s="380">
        <v>43272</v>
      </c>
      <c r="D404" s="4">
        <v>2.9</v>
      </c>
      <c r="E404" s="381">
        <f t="shared" si="17"/>
        <v>6.3455033558707334E-25</v>
      </c>
      <c r="G404" s="396">
        <v>43312</v>
      </c>
      <c r="H404" s="32">
        <v>1.77254</v>
      </c>
    </row>
    <row r="405" spans="2:8" x14ac:dyDescent="0.3">
      <c r="B405" s="379">
        <f t="shared" si="18"/>
        <v>854</v>
      </c>
      <c r="C405" s="380">
        <v>43273</v>
      </c>
      <c r="D405" s="4">
        <v>2.9</v>
      </c>
      <c r="E405" s="381">
        <f t="shared" si="17"/>
        <v>6.750535484968866E-25</v>
      </c>
      <c r="G405" s="396">
        <v>43313</v>
      </c>
      <c r="H405" s="32">
        <v>1.8001400000000001</v>
      </c>
    </row>
    <row r="406" spans="2:8" x14ac:dyDescent="0.3">
      <c r="B406" s="379">
        <f t="shared" si="18"/>
        <v>853</v>
      </c>
      <c r="C406" s="380">
        <v>43276</v>
      </c>
      <c r="D406" s="4">
        <v>2.87</v>
      </c>
      <c r="E406" s="381">
        <f t="shared" si="17"/>
        <v>7.1814207286902816E-25</v>
      </c>
      <c r="G406" s="396">
        <v>43314</v>
      </c>
      <c r="H406" s="32">
        <v>1.7959099999999999</v>
      </c>
    </row>
    <row r="407" spans="2:8" x14ac:dyDescent="0.3">
      <c r="B407" s="379">
        <f t="shared" si="18"/>
        <v>852</v>
      </c>
      <c r="C407" s="380">
        <v>43277</v>
      </c>
      <c r="D407" s="4">
        <v>2.88</v>
      </c>
      <c r="E407" s="381">
        <f t="shared" si="17"/>
        <v>7.6398092858407263E-25</v>
      </c>
      <c r="G407" s="396">
        <v>43315</v>
      </c>
      <c r="H407" s="32">
        <v>1.7829600000000001</v>
      </c>
    </row>
    <row r="408" spans="2:8" x14ac:dyDescent="0.3">
      <c r="B408" s="379">
        <f t="shared" si="18"/>
        <v>851</v>
      </c>
      <c r="C408" s="380">
        <v>43278</v>
      </c>
      <c r="D408" s="4">
        <v>2.83</v>
      </c>
      <c r="E408" s="381">
        <f t="shared" si="17"/>
        <v>8.127456687064603E-25</v>
      </c>
      <c r="G408" s="396">
        <v>43318</v>
      </c>
      <c r="H408" s="32">
        <v>1.7802800000000001</v>
      </c>
    </row>
    <row r="409" spans="2:8" x14ac:dyDescent="0.3">
      <c r="B409" s="379">
        <f t="shared" si="18"/>
        <v>850</v>
      </c>
      <c r="C409" s="380">
        <v>43279</v>
      </c>
      <c r="D409" s="4">
        <v>2.84</v>
      </c>
      <c r="E409" s="381">
        <f t="shared" si="17"/>
        <v>8.6462305181538338E-25</v>
      </c>
      <c r="G409" s="396">
        <v>43319</v>
      </c>
      <c r="H409" s="32">
        <v>1.7786599999999999</v>
      </c>
    </row>
    <row r="410" spans="2:8" x14ac:dyDescent="0.3">
      <c r="B410" s="379">
        <f t="shared" si="18"/>
        <v>849</v>
      </c>
      <c r="C410" s="380">
        <v>43280</v>
      </c>
      <c r="D410" s="4">
        <v>2.85</v>
      </c>
      <c r="E410" s="381">
        <f t="shared" si="17"/>
        <v>9.1981175725040796E-25</v>
      </c>
      <c r="G410" s="396">
        <v>43320</v>
      </c>
      <c r="H410" s="32">
        <v>1.8023199999999999</v>
      </c>
    </row>
    <row r="411" spans="2:8" x14ac:dyDescent="0.3">
      <c r="B411" s="379">
        <f t="shared" si="18"/>
        <v>848</v>
      </c>
      <c r="C411" s="380">
        <v>43283</v>
      </c>
      <c r="D411" s="4">
        <v>2.87</v>
      </c>
      <c r="E411" s="381">
        <f t="shared" si="17"/>
        <v>9.7852314601107213E-25</v>
      </c>
      <c r="G411" s="396">
        <v>43321</v>
      </c>
      <c r="H411" s="32">
        <v>1.84765</v>
      </c>
    </row>
    <row r="412" spans="2:8" x14ac:dyDescent="0.3">
      <c r="B412" s="379">
        <f t="shared" si="18"/>
        <v>847</v>
      </c>
      <c r="C412" s="380">
        <v>43284</v>
      </c>
      <c r="D412" s="4">
        <v>2.83</v>
      </c>
      <c r="E412" s="381">
        <f t="shared" si="17"/>
        <v>1.0409820702245446E-24</v>
      </c>
      <c r="G412" s="396">
        <v>43322</v>
      </c>
      <c r="H412" s="32">
        <v>1.93431</v>
      </c>
    </row>
    <row r="413" spans="2:8" x14ac:dyDescent="0.3">
      <c r="B413" s="379">
        <f t="shared" si="18"/>
        <v>846</v>
      </c>
      <c r="C413" s="380">
        <v>43286</v>
      </c>
      <c r="D413" s="4">
        <v>2.84</v>
      </c>
      <c r="E413" s="381">
        <f t="shared" si="17"/>
        <v>1.1074277342814308E-24</v>
      </c>
      <c r="G413" s="396">
        <v>43325</v>
      </c>
      <c r="H413" s="32">
        <v>1.9369700000000001</v>
      </c>
    </row>
    <row r="414" spans="2:8" x14ac:dyDescent="0.3">
      <c r="B414" s="379">
        <f t="shared" si="18"/>
        <v>845</v>
      </c>
      <c r="C414" s="380">
        <v>43287</v>
      </c>
      <c r="D414" s="4">
        <v>2.82</v>
      </c>
      <c r="E414" s="381">
        <f t="shared" si="17"/>
        <v>1.1781146109376922E-24</v>
      </c>
      <c r="G414" s="396">
        <v>43326</v>
      </c>
      <c r="H414" s="32">
        <v>1.88283</v>
      </c>
    </row>
    <row r="415" spans="2:8" x14ac:dyDescent="0.3">
      <c r="B415" s="379">
        <f t="shared" si="18"/>
        <v>844</v>
      </c>
      <c r="C415" s="380">
        <v>43290</v>
      </c>
      <c r="D415" s="4">
        <v>2.86</v>
      </c>
      <c r="E415" s="381">
        <f t="shared" si="17"/>
        <v>1.2533134158911622E-24</v>
      </c>
      <c r="G415" s="396">
        <v>43327</v>
      </c>
      <c r="H415" s="32">
        <v>1.9044399999999999</v>
      </c>
    </row>
    <row r="416" spans="2:8" x14ac:dyDescent="0.3">
      <c r="B416" s="379">
        <f t="shared" si="18"/>
        <v>843</v>
      </c>
      <c r="C416" s="380">
        <v>43291</v>
      </c>
      <c r="D416" s="4">
        <v>2.87</v>
      </c>
      <c r="E416" s="381">
        <f t="shared" si="17"/>
        <v>1.333312144565066E-24</v>
      </c>
      <c r="G416" s="396">
        <v>43328</v>
      </c>
      <c r="H416" s="32">
        <v>1.86748</v>
      </c>
    </row>
    <row r="417" spans="2:8" x14ac:dyDescent="0.3">
      <c r="B417" s="379">
        <f t="shared" si="18"/>
        <v>842</v>
      </c>
      <c r="C417" s="380">
        <v>43292</v>
      </c>
      <c r="D417" s="4">
        <v>2.85</v>
      </c>
      <c r="E417" s="381">
        <f t="shared" si="17"/>
        <v>1.4184171750692192E-24</v>
      </c>
      <c r="G417" s="396">
        <v>43329</v>
      </c>
      <c r="H417" s="32">
        <v>1.8262499999999999</v>
      </c>
    </row>
    <row r="418" spans="2:8" x14ac:dyDescent="0.3">
      <c r="B418" s="379">
        <f t="shared" si="18"/>
        <v>841</v>
      </c>
      <c r="C418" s="380">
        <v>43293</v>
      </c>
      <c r="D418" s="4">
        <v>2.85</v>
      </c>
      <c r="E418" s="381">
        <f t="shared" si="17"/>
        <v>1.5089544415629987E-24</v>
      </c>
      <c r="G418" s="396">
        <v>43332</v>
      </c>
      <c r="H418" s="32">
        <v>1.8333200000000001</v>
      </c>
    </row>
    <row r="419" spans="2:8" x14ac:dyDescent="0.3">
      <c r="B419" s="379">
        <f t="shared" si="18"/>
        <v>840</v>
      </c>
      <c r="C419" s="380">
        <v>43294</v>
      </c>
      <c r="D419" s="4">
        <v>2.83</v>
      </c>
      <c r="E419" s="381">
        <f t="shared" si="17"/>
        <v>1.6052706825138291E-24</v>
      </c>
      <c r="G419" s="396">
        <v>43333</v>
      </c>
      <c r="H419" s="32">
        <v>1.8216300000000001</v>
      </c>
    </row>
    <row r="420" spans="2:8" x14ac:dyDescent="0.3">
      <c r="B420" s="379">
        <f t="shared" si="18"/>
        <v>839</v>
      </c>
      <c r="C420" s="380">
        <v>43297</v>
      </c>
      <c r="D420" s="4">
        <v>2.85</v>
      </c>
      <c r="E420" s="381">
        <f t="shared" si="17"/>
        <v>1.7077347686317328E-24</v>
      </c>
      <c r="G420" s="396">
        <v>43334</v>
      </c>
      <c r="H420" s="32">
        <v>1.8169200000000001</v>
      </c>
    </row>
    <row r="421" spans="2:8" x14ac:dyDescent="0.3">
      <c r="B421" s="379">
        <f t="shared" si="18"/>
        <v>838</v>
      </c>
      <c r="C421" s="380">
        <v>43298</v>
      </c>
      <c r="D421" s="4">
        <v>2.86</v>
      </c>
      <c r="E421" s="381">
        <f t="shared" si="17"/>
        <v>1.8167391155656735E-24</v>
      </c>
      <c r="G421" s="396">
        <v>43335</v>
      </c>
      <c r="H421" s="32">
        <v>1.81481</v>
      </c>
    </row>
    <row r="422" spans="2:8" x14ac:dyDescent="0.3">
      <c r="B422" s="379">
        <f t="shared" si="18"/>
        <v>837</v>
      </c>
      <c r="C422" s="380">
        <v>43299</v>
      </c>
      <c r="D422" s="4">
        <v>2.88</v>
      </c>
      <c r="E422" s="381">
        <f t="shared" si="17"/>
        <v>1.9327011867719929E-24</v>
      </c>
      <c r="G422" s="396">
        <v>43336</v>
      </c>
      <c r="H422" s="32">
        <v>1.8140099999999999</v>
      </c>
    </row>
    <row r="423" spans="2:8" x14ac:dyDescent="0.3">
      <c r="B423" s="379">
        <f t="shared" si="18"/>
        <v>836</v>
      </c>
      <c r="C423" s="380">
        <v>43300</v>
      </c>
      <c r="D423" s="4">
        <v>2.84</v>
      </c>
      <c r="E423" s="381">
        <f t="shared" si="17"/>
        <v>2.0560650923106307E-24</v>
      </c>
      <c r="G423" s="396">
        <v>43339</v>
      </c>
      <c r="H423" s="32">
        <v>1.7854699999999999</v>
      </c>
    </row>
    <row r="424" spans="2:8" x14ac:dyDescent="0.3">
      <c r="B424" s="379">
        <f t="shared" si="18"/>
        <v>835</v>
      </c>
      <c r="C424" s="380">
        <v>43301</v>
      </c>
      <c r="D424" s="4">
        <v>2.89</v>
      </c>
      <c r="E424" s="381">
        <f t="shared" si="17"/>
        <v>2.1873032896921601E-24</v>
      </c>
      <c r="G424" s="396">
        <v>43340</v>
      </c>
      <c r="H424" s="32">
        <v>1.7396100000000001</v>
      </c>
    </row>
    <row r="425" spans="2:8" x14ac:dyDescent="0.3">
      <c r="B425" s="379">
        <f t="shared" si="18"/>
        <v>834</v>
      </c>
      <c r="C425" s="380">
        <v>43304</v>
      </c>
      <c r="D425" s="4">
        <v>2.96</v>
      </c>
      <c r="E425" s="381">
        <f t="shared" si="17"/>
        <v>2.326918393289532E-24</v>
      </c>
      <c r="G425" s="396">
        <v>43341</v>
      </c>
      <c r="H425" s="32">
        <v>1.7513700000000001</v>
      </c>
    </row>
    <row r="426" spans="2:8" x14ac:dyDescent="0.3">
      <c r="B426" s="379">
        <f t="shared" si="18"/>
        <v>833</v>
      </c>
      <c r="C426" s="380">
        <v>43305</v>
      </c>
      <c r="D426" s="4">
        <v>2.95</v>
      </c>
      <c r="E426" s="381">
        <f t="shared" si="17"/>
        <v>2.4754450992441833E-24</v>
      </c>
      <c r="G426" s="396">
        <v>43342</v>
      </c>
      <c r="H426" s="32">
        <v>1.8006599999999999</v>
      </c>
    </row>
    <row r="427" spans="2:8" x14ac:dyDescent="0.3">
      <c r="B427" s="379">
        <f t="shared" si="18"/>
        <v>832</v>
      </c>
      <c r="C427" s="380">
        <v>43306</v>
      </c>
      <c r="D427" s="4">
        <v>2.94</v>
      </c>
      <c r="E427" s="381">
        <f t="shared" si="17"/>
        <v>2.6334522332384932E-24</v>
      </c>
      <c r="G427" s="396">
        <v>43343</v>
      </c>
      <c r="H427" s="32">
        <v>1.83863</v>
      </c>
    </row>
    <row r="428" spans="2:8" x14ac:dyDescent="0.3">
      <c r="B428" s="379">
        <f t="shared" si="18"/>
        <v>831</v>
      </c>
      <c r="C428" s="380">
        <v>43307</v>
      </c>
      <c r="D428" s="4">
        <v>2.98</v>
      </c>
      <c r="E428" s="381">
        <f t="shared" si="17"/>
        <v>2.8015449289771201E-24</v>
      </c>
      <c r="G428" s="396">
        <v>43347</v>
      </c>
      <c r="H428" s="32">
        <v>1.83632</v>
      </c>
    </row>
    <row r="429" spans="2:8" x14ac:dyDescent="0.3">
      <c r="B429" s="379">
        <f t="shared" si="18"/>
        <v>830</v>
      </c>
      <c r="C429" s="380">
        <v>43308</v>
      </c>
      <c r="D429" s="4">
        <v>2.96</v>
      </c>
      <c r="E429" s="381">
        <f t="shared" si="17"/>
        <v>2.9803669457203413E-24</v>
      </c>
      <c r="G429" s="396">
        <v>43348</v>
      </c>
      <c r="H429" s="32">
        <v>1.81247</v>
      </c>
    </row>
    <row r="430" spans="2:8" x14ac:dyDescent="0.3">
      <c r="B430" s="379">
        <f t="shared" si="18"/>
        <v>829</v>
      </c>
      <c r="C430" s="380">
        <v>43311</v>
      </c>
      <c r="D430" s="4">
        <v>2.98</v>
      </c>
      <c r="E430" s="381">
        <f t="shared" si="17"/>
        <v>3.1706031337450428E-24</v>
      </c>
      <c r="G430" s="396">
        <v>43349</v>
      </c>
      <c r="H430" s="32">
        <v>1.82908</v>
      </c>
    </row>
    <row r="431" spans="2:8" x14ac:dyDescent="0.3">
      <c r="B431" s="379">
        <f t="shared" si="18"/>
        <v>828</v>
      </c>
      <c r="C431" s="380">
        <v>43312</v>
      </c>
      <c r="D431" s="4">
        <v>2.96</v>
      </c>
      <c r="E431" s="381">
        <f t="shared" si="17"/>
        <v>3.3729820571755791E-24</v>
      </c>
      <c r="G431" s="396">
        <v>43350</v>
      </c>
      <c r="H431" s="32">
        <v>1.8170299999999999</v>
      </c>
    </row>
    <row r="432" spans="2:8" x14ac:dyDescent="0.3">
      <c r="B432" s="379">
        <f t="shared" si="18"/>
        <v>827</v>
      </c>
      <c r="C432" s="380">
        <v>43313</v>
      </c>
      <c r="D432" s="4">
        <v>3</v>
      </c>
      <c r="E432" s="381">
        <f t="shared" si="17"/>
        <v>3.5882787842293385E-24</v>
      </c>
      <c r="G432" s="396">
        <v>43353</v>
      </c>
      <c r="H432" s="32">
        <v>1.8538600000000001</v>
      </c>
    </row>
    <row r="433" spans="2:8" x14ac:dyDescent="0.3">
      <c r="B433" s="379">
        <f t="shared" si="18"/>
        <v>826</v>
      </c>
      <c r="C433" s="380">
        <v>43314</v>
      </c>
      <c r="D433" s="4">
        <v>2.98</v>
      </c>
      <c r="E433" s="381">
        <f t="shared" si="17"/>
        <v>3.8173178555631264E-24</v>
      </c>
      <c r="G433" s="396">
        <v>43354</v>
      </c>
      <c r="H433" s="32">
        <v>1.84674</v>
      </c>
    </row>
    <row r="434" spans="2:8" x14ac:dyDescent="0.3">
      <c r="B434" s="379">
        <f t="shared" si="18"/>
        <v>825</v>
      </c>
      <c r="C434" s="380">
        <v>43315</v>
      </c>
      <c r="D434" s="4">
        <v>2.95</v>
      </c>
      <c r="E434" s="381">
        <f t="shared" si="17"/>
        <v>4.0609764420884327E-24</v>
      </c>
      <c r="G434" s="396">
        <v>43355</v>
      </c>
      <c r="H434" s="32">
        <v>1.83209</v>
      </c>
    </row>
    <row r="435" spans="2:8" x14ac:dyDescent="0.3">
      <c r="B435" s="379">
        <f t="shared" si="18"/>
        <v>824</v>
      </c>
      <c r="C435" s="380">
        <v>43318</v>
      </c>
      <c r="D435" s="4">
        <v>2.94</v>
      </c>
      <c r="E435" s="381">
        <f t="shared" si="17"/>
        <v>4.320187704349396E-24</v>
      </c>
      <c r="G435" s="396">
        <v>43356</v>
      </c>
      <c r="H435" s="32">
        <v>1.7722899999999999</v>
      </c>
    </row>
    <row r="436" spans="2:8" x14ac:dyDescent="0.3">
      <c r="B436" s="379">
        <f t="shared" si="18"/>
        <v>823</v>
      </c>
      <c r="C436" s="380">
        <v>43319</v>
      </c>
      <c r="D436" s="4">
        <v>2.98</v>
      </c>
      <c r="E436" s="381">
        <f t="shared" si="17"/>
        <v>4.5959443663291446E-24</v>
      </c>
      <c r="G436" s="396">
        <v>43357</v>
      </c>
      <c r="H436" s="32">
        <v>1.7409600000000001</v>
      </c>
    </row>
    <row r="437" spans="2:8" x14ac:dyDescent="0.3">
      <c r="B437" s="379">
        <f t="shared" si="18"/>
        <v>822</v>
      </c>
      <c r="C437" s="380">
        <v>43320</v>
      </c>
      <c r="D437" s="4">
        <v>2.96</v>
      </c>
      <c r="E437" s="381">
        <f t="shared" si="17"/>
        <v>4.8893025173714306E-24</v>
      </c>
      <c r="G437" s="396">
        <v>43360</v>
      </c>
      <c r="H437" s="32">
        <v>1.75996</v>
      </c>
    </row>
    <row r="438" spans="2:8" x14ac:dyDescent="0.3">
      <c r="B438" s="379">
        <f t="shared" si="18"/>
        <v>821</v>
      </c>
      <c r="C438" s="380">
        <v>43321</v>
      </c>
      <c r="D438" s="4">
        <v>2.93</v>
      </c>
      <c r="E438" s="381">
        <f t="shared" si="17"/>
        <v>5.2013856567781171E-24</v>
      </c>
      <c r="G438" s="396">
        <v>43361</v>
      </c>
      <c r="H438" s="32">
        <v>1.74864</v>
      </c>
    </row>
    <row r="439" spans="2:8" x14ac:dyDescent="0.3">
      <c r="B439" s="379">
        <f t="shared" si="18"/>
        <v>820</v>
      </c>
      <c r="C439" s="380">
        <v>43322</v>
      </c>
      <c r="D439" s="4">
        <v>2.87</v>
      </c>
      <c r="E439" s="381">
        <f t="shared" si="17"/>
        <v>5.5333889965724663E-24</v>
      </c>
      <c r="G439" s="396">
        <v>43362</v>
      </c>
      <c r="H439" s="32">
        <v>1.7235499999999999</v>
      </c>
    </row>
    <row r="440" spans="2:8" x14ac:dyDescent="0.3">
      <c r="B440" s="379">
        <f t="shared" si="18"/>
        <v>819</v>
      </c>
      <c r="C440" s="380">
        <v>43325</v>
      </c>
      <c r="D440" s="4">
        <v>2.88</v>
      </c>
      <c r="E440" s="381">
        <f t="shared" si="17"/>
        <v>5.8865840389068783E-24</v>
      </c>
      <c r="G440" s="396">
        <v>43363</v>
      </c>
      <c r="H440" s="32">
        <v>1.7335799999999999</v>
      </c>
    </row>
    <row r="441" spans="2:8" x14ac:dyDescent="0.3">
      <c r="B441" s="379">
        <f t="shared" si="18"/>
        <v>818</v>
      </c>
      <c r="C441" s="380">
        <v>43326</v>
      </c>
      <c r="D441" s="4">
        <v>2.89</v>
      </c>
      <c r="E441" s="381">
        <f t="shared" si="17"/>
        <v>6.2623234456456156E-24</v>
      </c>
      <c r="G441" s="396">
        <v>43364</v>
      </c>
      <c r="H441" s="32">
        <v>1.72543</v>
      </c>
    </row>
    <row r="442" spans="2:8" x14ac:dyDescent="0.3">
      <c r="B442" s="379">
        <f t="shared" si="18"/>
        <v>817</v>
      </c>
      <c r="C442" s="380">
        <v>43327</v>
      </c>
      <c r="D442" s="4">
        <v>2.86</v>
      </c>
      <c r="E442" s="381">
        <f t="shared" si="17"/>
        <v>6.6620462187719313E-24</v>
      </c>
      <c r="G442" s="396">
        <v>43367</v>
      </c>
      <c r="H442" s="32">
        <v>1.7173099999999999</v>
      </c>
    </row>
    <row r="443" spans="2:8" x14ac:dyDescent="0.3">
      <c r="B443" s="379">
        <f t="shared" si="18"/>
        <v>816</v>
      </c>
      <c r="C443" s="380">
        <v>43328</v>
      </c>
      <c r="D443" s="4">
        <v>2.87</v>
      </c>
      <c r="E443" s="381">
        <f t="shared" si="17"/>
        <v>7.0872832114595024E-24</v>
      </c>
      <c r="G443" s="396">
        <v>43368</v>
      </c>
      <c r="H443" s="32">
        <v>1.7153</v>
      </c>
    </row>
    <row r="444" spans="2:8" x14ac:dyDescent="0.3">
      <c r="B444" s="379">
        <f t="shared" si="18"/>
        <v>815</v>
      </c>
      <c r="C444" s="380">
        <v>43329</v>
      </c>
      <c r="D444" s="4">
        <v>2.87</v>
      </c>
      <c r="E444" s="381">
        <f t="shared" si="17"/>
        <v>7.5396629909143642E-24</v>
      </c>
      <c r="G444" s="396">
        <v>43369</v>
      </c>
      <c r="H444" s="32">
        <v>1.7305699999999999</v>
      </c>
    </row>
    <row r="445" spans="2:8" x14ac:dyDescent="0.3">
      <c r="B445" s="379">
        <f t="shared" si="18"/>
        <v>814</v>
      </c>
      <c r="C445" s="380">
        <v>43332</v>
      </c>
      <c r="D445" s="4">
        <v>2.82</v>
      </c>
      <c r="E445" s="381">
        <f t="shared" si="17"/>
        <v>8.0209180754408136E-24</v>
      </c>
      <c r="G445" s="396">
        <v>43370</v>
      </c>
      <c r="H445" s="32">
        <v>1.6935</v>
      </c>
    </row>
    <row r="446" spans="2:8" x14ac:dyDescent="0.3">
      <c r="B446" s="379">
        <f t="shared" si="18"/>
        <v>813</v>
      </c>
      <c r="C446" s="380">
        <v>43333</v>
      </c>
      <c r="D446" s="4">
        <v>2.85</v>
      </c>
      <c r="E446" s="381">
        <f t="shared" si="17"/>
        <v>8.5328915696178845E-24</v>
      </c>
      <c r="G446" s="396">
        <v>43371</v>
      </c>
      <c r="H446" s="32">
        <v>1.6783300000000001</v>
      </c>
    </row>
    <row r="447" spans="2:8" x14ac:dyDescent="0.3">
      <c r="B447" s="379">
        <f t="shared" si="18"/>
        <v>812</v>
      </c>
      <c r="C447" s="380">
        <v>43334</v>
      </c>
      <c r="D447" s="4">
        <v>2.82</v>
      </c>
      <c r="E447" s="381">
        <f t="shared" si="17"/>
        <v>9.0775442229977526E-24</v>
      </c>
      <c r="G447" s="396">
        <v>43374</v>
      </c>
      <c r="H447" s="32">
        <v>1.68519</v>
      </c>
    </row>
    <row r="448" spans="2:8" x14ac:dyDescent="0.3">
      <c r="B448" s="379">
        <f t="shared" si="18"/>
        <v>811</v>
      </c>
      <c r="C448" s="380">
        <v>43335</v>
      </c>
      <c r="D448" s="4">
        <v>2.82</v>
      </c>
      <c r="E448" s="381">
        <f t="shared" si="17"/>
        <v>9.6569619393593108E-24</v>
      </c>
      <c r="G448" s="396">
        <v>43375</v>
      </c>
      <c r="H448" s="32">
        <v>1.6932799999999999</v>
      </c>
    </row>
    <row r="449" spans="2:8" x14ac:dyDescent="0.3">
      <c r="B449" s="379">
        <f t="shared" si="18"/>
        <v>810</v>
      </c>
      <c r="C449" s="380">
        <v>43336</v>
      </c>
      <c r="D449" s="4">
        <v>2.82</v>
      </c>
      <c r="E449" s="381">
        <f t="shared" si="17"/>
        <v>1.0273363765275863E-23</v>
      </c>
      <c r="G449" s="396">
        <v>43376</v>
      </c>
      <c r="H449" s="32">
        <v>1.65828</v>
      </c>
    </row>
    <row r="450" spans="2:8" x14ac:dyDescent="0.3">
      <c r="B450" s="379">
        <f t="shared" si="18"/>
        <v>809</v>
      </c>
      <c r="C450" s="380">
        <v>43339</v>
      </c>
      <c r="D450" s="4">
        <v>2.85</v>
      </c>
      <c r="E450" s="381">
        <f t="shared" si="17"/>
        <v>1.0929110388591342E-23</v>
      </c>
      <c r="G450" s="396">
        <v>43377</v>
      </c>
      <c r="H450" s="32">
        <v>1.68215</v>
      </c>
    </row>
    <row r="451" spans="2:8" x14ac:dyDescent="0.3">
      <c r="B451" s="379">
        <f t="shared" si="18"/>
        <v>808</v>
      </c>
      <c r="C451" s="380">
        <v>43340</v>
      </c>
      <c r="D451" s="4">
        <v>2.88</v>
      </c>
      <c r="E451" s="381">
        <f t="shared" si="17"/>
        <v>1.1626713179352493E-23</v>
      </c>
      <c r="G451" s="396">
        <v>43378</v>
      </c>
      <c r="H451" s="32">
        <v>1.6871499999999999</v>
      </c>
    </row>
    <row r="452" spans="2:8" x14ac:dyDescent="0.3">
      <c r="B452" s="379">
        <f t="shared" si="18"/>
        <v>807</v>
      </c>
      <c r="C452" s="380">
        <v>43341</v>
      </c>
      <c r="D452" s="4">
        <v>2.89</v>
      </c>
      <c r="E452" s="381">
        <f t="shared" si="17"/>
        <v>1.23688438078218E-23</v>
      </c>
      <c r="G452" s="396">
        <v>43382</v>
      </c>
      <c r="H452" s="32">
        <v>1.7097199999999999</v>
      </c>
    </row>
    <row r="453" spans="2:8" x14ac:dyDescent="0.3">
      <c r="B453" s="379">
        <f t="shared" si="18"/>
        <v>806</v>
      </c>
      <c r="C453" s="380">
        <v>43342</v>
      </c>
      <c r="D453" s="4">
        <v>2.86</v>
      </c>
      <c r="E453" s="381">
        <f t="shared" si="17"/>
        <v>1.3158344476406174E-23</v>
      </c>
      <c r="G453" s="396">
        <v>43383</v>
      </c>
      <c r="H453" s="32">
        <v>1.7233799999999999</v>
      </c>
    </row>
    <row r="454" spans="2:8" x14ac:dyDescent="0.3">
      <c r="B454" s="379">
        <f t="shared" si="18"/>
        <v>805</v>
      </c>
      <c r="C454" s="380">
        <v>43343</v>
      </c>
      <c r="D454" s="4">
        <v>2.86</v>
      </c>
      <c r="E454" s="381">
        <f t="shared" si="17"/>
        <v>1.3998238804687415E-23</v>
      </c>
      <c r="G454" s="396">
        <v>43384</v>
      </c>
      <c r="H454" s="32">
        <v>1.81762</v>
      </c>
    </row>
    <row r="455" spans="2:8" x14ac:dyDescent="0.3">
      <c r="B455" s="379">
        <f t="shared" si="18"/>
        <v>804</v>
      </c>
      <c r="C455" s="380">
        <v>43347</v>
      </c>
      <c r="D455" s="4">
        <v>2.9</v>
      </c>
      <c r="E455" s="381">
        <f t="shared" si="17"/>
        <v>1.4891743409241934E-23</v>
      </c>
      <c r="G455" s="396">
        <v>43385</v>
      </c>
      <c r="H455" s="32">
        <v>1.79738</v>
      </c>
    </row>
    <row r="456" spans="2:8" x14ac:dyDescent="0.3">
      <c r="B456" s="379">
        <f t="shared" si="18"/>
        <v>803</v>
      </c>
      <c r="C456" s="380">
        <v>43348</v>
      </c>
      <c r="D456" s="4">
        <v>2.9</v>
      </c>
      <c r="E456" s="381">
        <f t="shared" si="17"/>
        <v>1.5842280222597799E-23</v>
      </c>
      <c r="G456" s="396">
        <v>43388</v>
      </c>
      <c r="H456" s="32">
        <v>1.7954399999999999</v>
      </c>
    </row>
    <row r="457" spans="2:8" x14ac:dyDescent="0.3">
      <c r="B457" s="379">
        <f t="shared" si="18"/>
        <v>802</v>
      </c>
      <c r="C457" s="380">
        <v>43349</v>
      </c>
      <c r="D457" s="4">
        <v>2.88</v>
      </c>
      <c r="E457" s="381">
        <f t="shared" ref="E457:E520" si="19">+(1-$C$4)*$C$4^B457</f>
        <v>1.6853489598508302E-23</v>
      </c>
      <c r="G457" s="396">
        <v>43389</v>
      </c>
      <c r="H457" s="32">
        <v>1.7812699999999999</v>
      </c>
    </row>
    <row r="458" spans="2:8" x14ac:dyDescent="0.3">
      <c r="B458" s="379">
        <f t="shared" si="18"/>
        <v>801</v>
      </c>
      <c r="C458" s="380">
        <v>43350</v>
      </c>
      <c r="D458" s="4">
        <v>2.94</v>
      </c>
      <c r="E458" s="381">
        <f t="shared" si="19"/>
        <v>1.7929244253732235E-23</v>
      </c>
      <c r="G458" s="396">
        <v>43390</v>
      </c>
      <c r="H458" s="32">
        <v>1.77014</v>
      </c>
    </row>
    <row r="459" spans="2:8" x14ac:dyDescent="0.3">
      <c r="B459" s="379">
        <f t="shared" ref="B459:B522" si="20">+B458-1</f>
        <v>800</v>
      </c>
      <c r="C459" s="380">
        <v>43353</v>
      </c>
      <c r="D459" s="4">
        <v>2.94</v>
      </c>
      <c r="E459" s="381">
        <f t="shared" si="19"/>
        <v>1.9073664099715147E-23</v>
      </c>
      <c r="G459" s="396">
        <v>43391</v>
      </c>
      <c r="H459" s="32">
        <v>1.8338399999999999</v>
      </c>
    </row>
    <row r="460" spans="2:8" x14ac:dyDescent="0.3">
      <c r="B460" s="379">
        <f t="shared" si="20"/>
        <v>799</v>
      </c>
      <c r="C460" s="380">
        <v>43354</v>
      </c>
      <c r="D460" s="4">
        <v>2.98</v>
      </c>
      <c r="E460" s="381">
        <f t="shared" si="19"/>
        <v>2.0291132020973558E-23</v>
      </c>
      <c r="G460" s="396">
        <v>43392</v>
      </c>
      <c r="H460" s="32">
        <v>1.84304</v>
      </c>
    </row>
    <row r="461" spans="2:8" x14ac:dyDescent="0.3">
      <c r="B461" s="379">
        <f t="shared" si="20"/>
        <v>798</v>
      </c>
      <c r="C461" s="380">
        <v>43355</v>
      </c>
      <c r="D461" s="4">
        <v>2.97</v>
      </c>
      <c r="E461" s="381">
        <f t="shared" si="19"/>
        <v>2.1586310660610172E-23</v>
      </c>
      <c r="G461" s="396">
        <v>43395</v>
      </c>
      <c r="H461" s="32">
        <v>1.86073</v>
      </c>
    </row>
    <row r="462" spans="2:8" x14ac:dyDescent="0.3">
      <c r="B462" s="379">
        <f t="shared" si="20"/>
        <v>797</v>
      </c>
      <c r="C462" s="380">
        <v>43356</v>
      </c>
      <c r="D462" s="4">
        <v>2.97</v>
      </c>
      <c r="E462" s="381">
        <f t="shared" si="19"/>
        <v>2.2964160277244856E-23</v>
      </c>
      <c r="G462" s="396">
        <v>43396</v>
      </c>
      <c r="H462" s="32">
        <v>1.83839</v>
      </c>
    </row>
    <row r="463" spans="2:8" x14ac:dyDescent="0.3">
      <c r="B463" s="379">
        <f t="shared" si="20"/>
        <v>796</v>
      </c>
      <c r="C463" s="380">
        <v>43357</v>
      </c>
      <c r="D463" s="4">
        <v>2.99</v>
      </c>
      <c r="E463" s="381">
        <f t="shared" si="19"/>
        <v>2.4429957741749854E-23</v>
      </c>
      <c r="G463" s="396">
        <v>43397</v>
      </c>
      <c r="H463" s="32">
        <v>1.86846</v>
      </c>
    </row>
    <row r="464" spans="2:8" x14ac:dyDescent="0.3">
      <c r="B464" s="379">
        <f t="shared" si="20"/>
        <v>795</v>
      </c>
      <c r="C464" s="380">
        <v>43360</v>
      </c>
      <c r="D464" s="4">
        <v>2.99</v>
      </c>
      <c r="E464" s="381">
        <f t="shared" si="19"/>
        <v>2.5989316746542398E-23</v>
      </c>
      <c r="G464" s="396">
        <v>43398</v>
      </c>
      <c r="H464" s="32">
        <v>1.8411299999999999</v>
      </c>
    </row>
    <row r="465" spans="2:8" x14ac:dyDescent="0.3">
      <c r="B465" s="379">
        <f t="shared" si="20"/>
        <v>794</v>
      </c>
      <c r="C465" s="380">
        <v>43361</v>
      </c>
      <c r="D465" s="4">
        <v>3.05</v>
      </c>
      <c r="E465" s="381">
        <f t="shared" si="19"/>
        <v>2.7648209304832336E-23</v>
      </c>
      <c r="G465" s="396">
        <v>43399</v>
      </c>
      <c r="H465" s="32">
        <v>1.90612</v>
      </c>
    </row>
    <row r="466" spans="2:8" x14ac:dyDescent="0.3">
      <c r="B466" s="379">
        <f t="shared" si="20"/>
        <v>793</v>
      </c>
      <c r="C466" s="380">
        <v>43362</v>
      </c>
      <c r="D466" s="4">
        <v>3.08</v>
      </c>
      <c r="E466" s="381">
        <f t="shared" si="19"/>
        <v>2.9412988622162059E-23</v>
      </c>
      <c r="G466" s="396">
        <v>43402</v>
      </c>
      <c r="H466" s="32">
        <v>1.9421299999999999</v>
      </c>
    </row>
    <row r="467" spans="2:8" x14ac:dyDescent="0.3">
      <c r="B467" s="379">
        <f t="shared" si="20"/>
        <v>792</v>
      </c>
      <c r="C467" s="380">
        <v>43363</v>
      </c>
      <c r="D467" s="4">
        <v>3.07</v>
      </c>
      <c r="E467" s="381">
        <f t="shared" si="19"/>
        <v>3.1290413427831981E-23</v>
      </c>
      <c r="G467" s="396">
        <v>43403</v>
      </c>
      <c r="H467" s="32">
        <v>1.90293</v>
      </c>
    </row>
    <row r="468" spans="2:8" x14ac:dyDescent="0.3">
      <c r="B468" s="379">
        <f t="shared" si="20"/>
        <v>791</v>
      </c>
      <c r="C468" s="380">
        <v>43364</v>
      </c>
      <c r="D468" s="4">
        <v>3.07</v>
      </c>
      <c r="E468" s="381">
        <f t="shared" si="19"/>
        <v>3.328767385939572E-23</v>
      </c>
      <c r="G468" s="396">
        <v>43404</v>
      </c>
      <c r="H468" s="32">
        <v>1.8567800000000001</v>
      </c>
    </row>
    <row r="469" spans="2:8" x14ac:dyDescent="0.3">
      <c r="B469" s="379">
        <f t="shared" si="20"/>
        <v>790</v>
      </c>
      <c r="C469" s="380">
        <v>43367</v>
      </c>
      <c r="D469" s="4">
        <v>3.08</v>
      </c>
      <c r="E469" s="381">
        <f t="shared" si="19"/>
        <v>3.5412418999357155E-23</v>
      </c>
      <c r="G469" s="396">
        <v>43405</v>
      </c>
      <c r="H469" s="32">
        <v>1.8573500000000001</v>
      </c>
    </row>
    <row r="470" spans="2:8" x14ac:dyDescent="0.3">
      <c r="B470" s="379">
        <f t="shared" si="20"/>
        <v>789</v>
      </c>
      <c r="C470" s="380">
        <v>43368</v>
      </c>
      <c r="D470" s="4">
        <v>3.1</v>
      </c>
      <c r="E470" s="381">
        <f t="shared" si="19"/>
        <v>3.7672786169528885E-23</v>
      </c>
      <c r="G470" s="396">
        <v>43406</v>
      </c>
      <c r="H470" s="32">
        <v>1.81674</v>
      </c>
    </row>
    <row r="471" spans="2:8" x14ac:dyDescent="0.3">
      <c r="B471" s="379">
        <f t="shared" si="20"/>
        <v>788</v>
      </c>
      <c r="C471" s="380">
        <v>43369</v>
      </c>
      <c r="D471" s="4">
        <v>3.06</v>
      </c>
      <c r="E471" s="381">
        <f t="shared" si="19"/>
        <v>4.0077432095243493E-23</v>
      </c>
      <c r="G471" s="396">
        <v>43409</v>
      </c>
      <c r="H471" s="32">
        <v>1.8329299999999999</v>
      </c>
    </row>
    <row r="472" spans="2:8" x14ac:dyDescent="0.3">
      <c r="B472" s="379">
        <f t="shared" si="20"/>
        <v>787</v>
      </c>
      <c r="C472" s="380">
        <v>43370</v>
      </c>
      <c r="D472" s="4">
        <v>3.06</v>
      </c>
      <c r="E472" s="381">
        <f t="shared" si="19"/>
        <v>4.2635566058769673E-23</v>
      </c>
      <c r="G472" s="396">
        <v>43410</v>
      </c>
      <c r="H472" s="32">
        <v>1.84717</v>
      </c>
    </row>
    <row r="473" spans="2:8" x14ac:dyDescent="0.3">
      <c r="B473" s="379">
        <f t="shared" si="20"/>
        <v>786</v>
      </c>
      <c r="C473" s="380">
        <v>43371</v>
      </c>
      <c r="D473" s="4">
        <v>3.05</v>
      </c>
      <c r="E473" s="381">
        <f t="shared" si="19"/>
        <v>4.5356985168903921E-23</v>
      </c>
      <c r="G473" s="396">
        <v>43411</v>
      </c>
      <c r="H473" s="32">
        <v>1.8208899999999999</v>
      </c>
    </row>
    <row r="474" spans="2:8" x14ac:dyDescent="0.3">
      <c r="B474" s="379">
        <f t="shared" si="20"/>
        <v>785</v>
      </c>
      <c r="C474" s="380">
        <v>43374</v>
      </c>
      <c r="D474" s="4">
        <v>3.09</v>
      </c>
      <c r="E474" s="381">
        <f t="shared" si="19"/>
        <v>4.8252111881812677E-23</v>
      </c>
      <c r="G474" s="396">
        <v>43412</v>
      </c>
      <c r="H474" s="32">
        <v>1.87155</v>
      </c>
    </row>
    <row r="475" spans="2:8" x14ac:dyDescent="0.3">
      <c r="B475" s="379">
        <f t="shared" si="20"/>
        <v>784</v>
      </c>
      <c r="C475" s="380">
        <v>43375</v>
      </c>
      <c r="D475" s="4">
        <v>3.05</v>
      </c>
      <c r="E475" s="381">
        <f t="shared" si="19"/>
        <v>5.1332033916821995E-23</v>
      </c>
      <c r="G475" s="396">
        <v>43413</v>
      </c>
      <c r="H475" s="32">
        <v>1.9040600000000001</v>
      </c>
    </row>
    <row r="476" spans="2:8" x14ac:dyDescent="0.3">
      <c r="B476" s="379">
        <f t="shared" si="20"/>
        <v>783</v>
      </c>
      <c r="C476" s="380">
        <v>43376</v>
      </c>
      <c r="D476" s="4">
        <v>3.15</v>
      </c>
      <c r="E476" s="381">
        <f t="shared" si="19"/>
        <v>5.4608546720023396E-23</v>
      </c>
      <c r="G476" s="396">
        <v>43417</v>
      </c>
      <c r="H476" s="32">
        <v>1.99109</v>
      </c>
    </row>
    <row r="477" spans="2:8" x14ac:dyDescent="0.3">
      <c r="B477" s="379">
        <f t="shared" si="20"/>
        <v>782</v>
      </c>
      <c r="C477" s="380">
        <v>43377</v>
      </c>
      <c r="D477" s="4">
        <v>3.19</v>
      </c>
      <c r="E477" s="381">
        <f t="shared" si="19"/>
        <v>5.8094198638322769E-23</v>
      </c>
      <c r="G477" s="396">
        <v>43418</v>
      </c>
      <c r="H477" s="32">
        <v>2.0219399999999998</v>
      </c>
    </row>
    <row r="478" spans="2:8" x14ac:dyDescent="0.3">
      <c r="B478" s="379">
        <f t="shared" si="20"/>
        <v>781</v>
      </c>
      <c r="C478" s="380">
        <v>43378</v>
      </c>
      <c r="D478" s="4">
        <v>3.23</v>
      </c>
      <c r="E478" s="381">
        <f t="shared" si="19"/>
        <v>6.1802338976939113E-23</v>
      </c>
      <c r="G478" s="396">
        <v>43419</v>
      </c>
      <c r="H478" s="32">
        <v>2.05396</v>
      </c>
    </row>
    <row r="479" spans="2:8" x14ac:dyDescent="0.3">
      <c r="B479" s="379">
        <f t="shared" si="20"/>
        <v>780</v>
      </c>
      <c r="C479" s="380">
        <v>43382</v>
      </c>
      <c r="D479" s="4">
        <v>3.21</v>
      </c>
      <c r="E479" s="381">
        <f t="shared" si="19"/>
        <v>6.5747169124403311E-23</v>
      </c>
      <c r="G479" s="396">
        <v>43420</v>
      </c>
      <c r="H479" s="32">
        <v>2.0608</v>
      </c>
    </row>
    <row r="480" spans="2:8" x14ac:dyDescent="0.3">
      <c r="B480" s="379">
        <f t="shared" si="20"/>
        <v>779</v>
      </c>
      <c r="C480" s="380">
        <v>43383</v>
      </c>
      <c r="D480" s="4">
        <v>3.22</v>
      </c>
      <c r="E480" s="381">
        <f t="shared" si="19"/>
        <v>6.9943796940854582E-23</v>
      </c>
      <c r="G480" s="396">
        <v>43423</v>
      </c>
      <c r="H480" s="32">
        <v>2.1209600000000002</v>
      </c>
    </row>
    <row r="481" spans="2:8" x14ac:dyDescent="0.3">
      <c r="B481" s="379">
        <f t="shared" si="20"/>
        <v>778</v>
      </c>
      <c r="C481" s="380">
        <v>43384</v>
      </c>
      <c r="D481" s="4">
        <v>3.14</v>
      </c>
      <c r="E481" s="381">
        <f t="shared" si="19"/>
        <v>7.4408294617930426E-23</v>
      </c>
      <c r="G481" s="396">
        <v>43424</v>
      </c>
      <c r="H481" s="32">
        <v>2.1749399999999999</v>
      </c>
    </row>
    <row r="482" spans="2:8" x14ac:dyDescent="0.3">
      <c r="B482" s="379">
        <f t="shared" si="20"/>
        <v>777</v>
      </c>
      <c r="C482" s="380">
        <v>43385</v>
      </c>
      <c r="D482" s="4">
        <v>3.15</v>
      </c>
      <c r="E482" s="381">
        <f t="shared" si="19"/>
        <v>7.9157760231840865E-23</v>
      </c>
      <c r="G482" s="396">
        <v>43425</v>
      </c>
      <c r="H482" s="32">
        <v>2.1362299999999999</v>
      </c>
    </row>
    <row r="483" spans="2:8" x14ac:dyDescent="0.3">
      <c r="B483" s="379">
        <f t="shared" si="20"/>
        <v>776</v>
      </c>
      <c r="C483" s="380">
        <v>43388</v>
      </c>
      <c r="D483" s="4">
        <v>3.16</v>
      </c>
      <c r="E483" s="381">
        <f t="shared" si="19"/>
        <v>8.421038322536263E-23</v>
      </c>
      <c r="G483" s="396">
        <v>43427</v>
      </c>
      <c r="H483" s="32">
        <v>2.14086</v>
      </c>
    </row>
    <row r="484" spans="2:8" x14ac:dyDescent="0.3">
      <c r="B484" s="379">
        <f t="shared" si="20"/>
        <v>775</v>
      </c>
      <c r="C484" s="380">
        <v>43389</v>
      </c>
      <c r="D484" s="4">
        <v>3.16</v>
      </c>
      <c r="E484" s="381">
        <f t="shared" si="19"/>
        <v>8.9585514069534706E-23</v>
      </c>
      <c r="G484" s="396">
        <v>43430</v>
      </c>
      <c r="H484" s="32">
        <v>2.1683300000000001</v>
      </c>
    </row>
    <row r="485" spans="2:8" x14ac:dyDescent="0.3">
      <c r="B485" s="379">
        <f t="shared" si="20"/>
        <v>774</v>
      </c>
      <c r="C485" s="380">
        <v>43390</v>
      </c>
      <c r="D485" s="4">
        <v>3.19</v>
      </c>
      <c r="E485" s="381">
        <f t="shared" si="19"/>
        <v>9.530373837184545E-23</v>
      </c>
      <c r="G485" s="396">
        <v>43431</v>
      </c>
      <c r="H485" s="32">
        <v>2.1986699999999999</v>
      </c>
    </row>
    <row r="486" spans="2:8" x14ac:dyDescent="0.3">
      <c r="B486" s="379">
        <f t="shared" si="20"/>
        <v>773</v>
      </c>
      <c r="C486" s="380">
        <v>43391</v>
      </c>
      <c r="D486" s="4">
        <v>3.17</v>
      </c>
      <c r="E486" s="381">
        <f t="shared" si="19"/>
        <v>1.0138695571472918E-22</v>
      </c>
      <c r="G486" s="396">
        <v>43432</v>
      </c>
      <c r="H486" s="32">
        <v>2.1305000000000001</v>
      </c>
    </row>
    <row r="487" spans="2:8" x14ac:dyDescent="0.3">
      <c r="B487" s="379">
        <f t="shared" si="20"/>
        <v>772</v>
      </c>
      <c r="C487" s="380">
        <v>43392</v>
      </c>
      <c r="D487" s="4">
        <v>3.2</v>
      </c>
      <c r="E487" s="381">
        <f t="shared" si="19"/>
        <v>1.0785846352630766E-22</v>
      </c>
      <c r="G487" s="396">
        <v>43433</v>
      </c>
      <c r="H487" s="32">
        <v>2.10704</v>
      </c>
    </row>
    <row r="488" spans="2:8" x14ac:dyDescent="0.3">
      <c r="B488" s="379">
        <f t="shared" si="20"/>
        <v>771</v>
      </c>
      <c r="C488" s="380">
        <v>43395</v>
      </c>
      <c r="D488" s="4">
        <v>3.2</v>
      </c>
      <c r="E488" s="381">
        <f t="shared" si="19"/>
        <v>1.147430463045826E-22</v>
      </c>
      <c r="G488" s="396">
        <v>43434</v>
      </c>
      <c r="H488" s="32">
        <v>2.0962999999999998</v>
      </c>
    </row>
    <row r="489" spans="2:8" x14ac:dyDescent="0.3">
      <c r="B489" s="379">
        <f t="shared" si="20"/>
        <v>770</v>
      </c>
      <c r="C489" s="380">
        <v>43396</v>
      </c>
      <c r="D489" s="4">
        <v>3.17</v>
      </c>
      <c r="E489" s="381">
        <f t="shared" si="19"/>
        <v>1.2206707053679001E-22</v>
      </c>
      <c r="G489" s="396">
        <v>43437</v>
      </c>
      <c r="H489" s="32">
        <v>2.0689299999999999</v>
      </c>
    </row>
    <row r="490" spans="2:8" x14ac:dyDescent="0.3">
      <c r="B490" s="379">
        <f t="shared" si="20"/>
        <v>769</v>
      </c>
      <c r="C490" s="380">
        <v>43397</v>
      </c>
      <c r="D490" s="4">
        <v>3.1</v>
      </c>
      <c r="E490" s="381">
        <f t="shared" si="19"/>
        <v>1.2985858567743618E-22</v>
      </c>
      <c r="G490" s="396">
        <v>43438</v>
      </c>
      <c r="H490" s="32">
        <v>2.1345700000000001</v>
      </c>
    </row>
    <row r="491" spans="2:8" x14ac:dyDescent="0.3">
      <c r="B491" s="379">
        <f t="shared" si="20"/>
        <v>768</v>
      </c>
      <c r="C491" s="380">
        <v>43398</v>
      </c>
      <c r="D491" s="4">
        <v>3.14</v>
      </c>
      <c r="E491" s="381">
        <f t="shared" si="19"/>
        <v>1.3814743157174064E-22</v>
      </c>
      <c r="G491" s="396">
        <v>43440</v>
      </c>
      <c r="H491" s="32">
        <v>2.1398899999999998</v>
      </c>
    </row>
    <row r="492" spans="2:8" x14ac:dyDescent="0.3">
      <c r="B492" s="379">
        <f t="shared" si="20"/>
        <v>767</v>
      </c>
      <c r="C492" s="380">
        <v>43399</v>
      </c>
      <c r="D492" s="4">
        <v>3.08</v>
      </c>
      <c r="E492" s="381">
        <f t="shared" si="19"/>
        <v>1.4696535273589427E-22</v>
      </c>
      <c r="G492" s="396">
        <v>43441</v>
      </c>
      <c r="H492" s="32">
        <v>2.08575</v>
      </c>
    </row>
    <row r="493" spans="2:8" x14ac:dyDescent="0.3">
      <c r="B493" s="379">
        <f t="shared" si="20"/>
        <v>766</v>
      </c>
      <c r="C493" s="380">
        <v>43402</v>
      </c>
      <c r="D493" s="4">
        <v>3.08</v>
      </c>
      <c r="E493" s="381">
        <f t="shared" si="19"/>
        <v>1.5634611993180244E-22</v>
      </c>
      <c r="G493" s="396">
        <v>43444</v>
      </c>
      <c r="H493" s="32">
        <v>2.0785999999999998</v>
      </c>
    </row>
    <row r="494" spans="2:8" x14ac:dyDescent="0.3">
      <c r="B494" s="379">
        <f t="shared" si="20"/>
        <v>765</v>
      </c>
      <c r="C494" s="380">
        <v>43403</v>
      </c>
      <c r="D494" s="4">
        <v>3.12</v>
      </c>
      <c r="E494" s="381">
        <f t="shared" si="19"/>
        <v>1.6632565950191746E-22</v>
      </c>
      <c r="G494" s="396">
        <v>43445</v>
      </c>
      <c r="H494" s="32">
        <v>2.02277</v>
      </c>
    </row>
    <row r="495" spans="2:8" x14ac:dyDescent="0.3">
      <c r="B495" s="379">
        <f t="shared" si="20"/>
        <v>764</v>
      </c>
      <c r="C495" s="380">
        <v>43404</v>
      </c>
      <c r="D495" s="4">
        <v>3.15</v>
      </c>
      <c r="E495" s="381">
        <f t="shared" si="19"/>
        <v>1.7694219095948671E-22</v>
      </c>
      <c r="G495" s="396">
        <v>43446</v>
      </c>
      <c r="H495" s="32">
        <v>1.9612700000000001</v>
      </c>
    </row>
    <row r="496" spans="2:8" x14ac:dyDescent="0.3">
      <c r="B496" s="379">
        <f t="shared" si="20"/>
        <v>763</v>
      </c>
      <c r="C496" s="380">
        <v>43405</v>
      </c>
      <c r="D496" s="4">
        <v>3.14</v>
      </c>
      <c r="E496" s="381">
        <f t="shared" si="19"/>
        <v>1.8823637336115608E-22</v>
      </c>
      <c r="G496" s="396">
        <v>43447</v>
      </c>
      <c r="H496" s="32">
        <v>1.9661299999999999</v>
      </c>
    </row>
    <row r="497" spans="2:8" x14ac:dyDescent="0.3">
      <c r="B497" s="379">
        <f t="shared" si="20"/>
        <v>762</v>
      </c>
      <c r="C497" s="380">
        <v>43406</v>
      </c>
      <c r="D497" s="4">
        <v>3.22</v>
      </c>
      <c r="E497" s="381">
        <f t="shared" si="19"/>
        <v>2.0025146102250644E-22</v>
      </c>
      <c r="G497" s="396">
        <v>43448</v>
      </c>
      <c r="H497" s="32">
        <v>1.9815100000000001</v>
      </c>
    </row>
    <row r="498" spans="2:8" x14ac:dyDescent="0.3">
      <c r="B498" s="379">
        <f t="shared" si="20"/>
        <v>761</v>
      </c>
      <c r="C498" s="380">
        <v>43409</v>
      </c>
      <c r="D498" s="4">
        <v>3.2</v>
      </c>
      <c r="E498" s="381">
        <f t="shared" si="19"/>
        <v>2.130334691728792E-22</v>
      </c>
      <c r="G498" s="396">
        <v>43451</v>
      </c>
      <c r="H498" s="32">
        <v>2.0072100000000002</v>
      </c>
    </row>
    <row r="499" spans="2:8" x14ac:dyDescent="0.3">
      <c r="B499" s="379">
        <f t="shared" si="20"/>
        <v>760</v>
      </c>
      <c r="C499" s="380">
        <v>43410</v>
      </c>
      <c r="D499" s="4">
        <v>3.22</v>
      </c>
      <c r="E499" s="381">
        <f t="shared" si="19"/>
        <v>2.2663135018391405E-22</v>
      </c>
      <c r="G499" s="396">
        <v>43452</v>
      </c>
      <c r="H499" s="32">
        <v>2.05572</v>
      </c>
    </row>
    <row r="500" spans="2:8" x14ac:dyDescent="0.3">
      <c r="B500" s="379">
        <f t="shared" si="20"/>
        <v>759</v>
      </c>
      <c r="C500" s="380">
        <v>43411</v>
      </c>
      <c r="D500" s="4">
        <v>3.22</v>
      </c>
      <c r="E500" s="381">
        <f t="shared" si="19"/>
        <v>2.4109718104671708E-22</v>
      </c>
      <c r="G500" s="396">
        <v>43453</v>
      </c>
      <c r="H500" s="32">
        <v>2.1402299999999999</v>
      </c>
    </row>
    <row r="501" spans="2:8" x14ac:dyDescent="0.3">
      <c r="B501" s="379">
        <f t="shared" si="20"/>
        <v>758</v>
      </c>
      <c r="C501" s="380">
        <v>43412</v>
      </c>
      <c r="D501" s="4">
        <v>3.24</v>
      </c>
      <c r="E501" s="381">
        <f t="shared" si="19"/>
        <v>2.5648636281565646E-22</v>
      </c>
      <c r="G501" s="396">
        <v>43454</v>
      </c>
      <c r="H501" s="32">
        <v>2.1416900000000001</v>
      </c>
    </row>
    <row r="502" spans="2:8" x14ac:dyDescent="0.3">
      <c r="B502" s="379">
        <f t="shared" si="20"/>
        <v>757</v>
      </c>
      <c r="C502" s="380">
        <v>43413</v>
      </c>
      <c r="D502" s="4">
        <v>3.19</v>
      </c>
      <c r="E502" s="381">
        <f t="shared" si="19"/>
        <v>2.7285783278261327E-22</v>
      </c>
      <c r="G502" s="396">
        <v>43455</v>
      </c>
      <c r="H502" s="32">
        <v>2.1854399999999998</v>
      </c>
    </row>
    <row r="503" spans="2:8" x14ac:dyDescent="0.3">
      <c r="B503" s="379">
        <f t="shared" si="20"/>
        <v>756</v>
      </c>
      <c r="C503" s="380">
        <v>43417</v>
      </c>
      <c r="D503" s="4">
        <v>3.14</v>
      </c>
      <c r="E503" s="381">
        <f t="shared" si="19"/>
        <v>2.9027429019426943E-22</v>
      </c>
      <c r="G503" s="396">
        <v>43458</v>
      </c>
      <c r="H503" s="32">
        <v>2.22993</v>
      </c>
    </row>
    <row r="504" spans="2:8" x14ac:dyDescent="0.3">
      <c r="B504" s="379">
        <f t="shared" si="20"/>
        <v>755</v>
      </c>
      <c r="C504" s="380">
        <v>43418</v>
      </c>
      <c r="D504" s="4">
        <v>3.12</v>
      </c>
      <c r="E504" s="381">
        <f t="shared" si="19"/>
        <v>3.0880243637688234E-22</v>
      </c>
      <c r="G504" s="396">
        <v>43460</v>
      </c>
      <c r="H504" s="32">
        <v>2.1941899999999999</v>
      </c>
    </row>
    <row r="505" spans="2:8" x14ac:dyDescent="0.3">
      <c r="B505" s="379">
        <f t="shared" si="20"/>
        <v>754</v>
      </c>
      <c r="C505" s="380">
        <v>43419</v>
      </c>
      <c r="D505" s="4">
        <v>3.11</v>
      </c>
      <c r="E505" s="381">
        <f t="shared" si="19"/>
        <v>3.2851323018817273E-22</v>
      </c>
      <c r="G505" s="396">
        <v>43461</v>
      </c>
      <c r="H505" s="32">
        <v>2.2093699999999998</v>
      </c>
    </row>
    <row r="506" spans="2:8" x14ac:dyDescent="0.3">
      <c r="B506" s="379">
        <f t="shared" si="20"/>
        <v>753</v>
      </c>
      <c r="C506" s="380">
        <v>43420</v>
      </c>
      <c r="D506" s="4">
        <v>3.08</v>
      </c>
      <c r="E506" s="381">
        <f t="shared" si="19"/>
        <v>3.4948215977465192E-22</v>
      </c>
      <c r="G506" s="396">
        <v>43462</v>
      </c>
      <c r="H506" s="32">
        <v>2.2319900000000001</v>
      </c>
    </row>
    <row r="507" spans="2:8" x14ac:dyDescent="0.3">
      <c r="B507" s="379">
        <f t="shared" si="20"/>
        <v>752</v>
      </c>
      <c r="C507" s="380">
        <v>43423</v>
      </c>
      <c r="D507" s="4">
        <v>3.06</v>
      </c>
      <c r="E507" s="381">
        <f t="shared" si="19"/>
        <v>3.7178953167516156E-22</v>
      </c>
      <c r="G507" s="396">
        <v>43465</v>
      </c>
      <c r="H507" s="32">
        <v>2.2768700000000002</v>
      </c>
    </row>
    <row r="508" spans="2:8" x14ac:dyDescent="0.3">
      <c r="B508" s="379">
        <f t="shared" si="20"/>
        <v>751</v>
      </c>
      <c r="C508" s="380">
        <v>43424</v>
      </c>
      <c r="D508" s="4">
        <v>3.06</v>
      </c>
      <c r="E508" s="381">
        <f t="shared" si="19"/>
        <v>3.9552077837783142E-22</v>
      </c>
      <c r="G508" s="396">
        <v>43467</v>
      </c>
      <c r="H508" s="32">
        <v>2.2804099999999998</v>
      </c>
    </row>
    <row r="509" spans="2:8" x14ac:dyDescent="0.3">
      <c r="B509" s="379">
        <f t="shared" si="20"/>
        <v>750</v>
      </c>
      <c r="C509" s="380">
        <v>43425</v>
      </c>
      <c r="D509" s="4">
        <v>3.06</v>
      </c>
      <c r="E509" s="381">
        <f t="shared" si="19"/>
        <v>4.2076678550833136E-22</v>
      </c>
      <c r="G509" s="396">
        <v>43468</v>
      </c>
      <c r="H509" s="32">
        <v>2.3211300000000001</v>
      </c>
    </row>
    <row r="510" spans="2:8" x14ac:dyDescent="0.3">
      <c r="B510" s="379">
        <f t="shared" si="20"/>
        <v>749</v>
      </c>
      <c r="C510" s="380">
        <v>43427</v>
      </c>
      <c r="D510" s="4">
        <v>3.05</v>
      </c>
      <c r="E510" s="381">
        <f t="shared" si="19"/>
        <v>4.4762423990248011E-22</v>
      </c>
      <c r="G510" s="396">
        <v>43469</v>
      </c>
      <c r="H510" s="32">
        <v>2.1322700000000001</v>
      </c>
    </row>
    <row r="511" spans="2:8" x14ac:dyDescent="0.3">
      <c r="B511" s="379">
        <f t="shared" si="20"/>
        <v>748</v>
      </c>
      <c r="C511" s="380">
        <v>43430</v>
      </c>
      <c r="D511" s="4">
        <v>3.07</v>
      </c>
      <c r="E511" s="381">
        <f t="shared" si="19"/>
        <v>4.7619599989625553E-22</v>
      </c>
      <c r="G511" s="396">
        <v>43472</v>
      </c>
      <c r="H511" s="32">
        <v>2.03288</v>
      </c>
    </row>
    <row r="512" spans="2:8" x14ac:dyDescent="0.3">
      <c r="B512" s="379">
        <f t="shared" si="20"/>
        <v>747</v>
      </c>
      <c r="C512" s="380">
        <v>43431</v>
      </c>
      <c r="D512" s="4">
        <v>3.06</v>
      </c>
      <c r="E512" s="381">
        <f t="shared" si="19"/>
        <v>5.0659148925133564E-22</v>
      </c>
      <c r="G512" s="396">
        <v>43473</v>
      </c>
      <c r="H512" s="32">
        <v>2.0064099999999998</v>
      </c>
    </row>
    <row r="513" spans="2:8" x14ac:dyDescent="0.3">
      <c r="B513" s="379">
        <f t="shared" si="20"/>
        <v>746</v>
      </c>
      <c r="C513" s="380">
        <v>43432</v>
      </c>
      <c r="D513" s="4">
        <v>3.06</v>
      </c>
      <c r="E513" s="381">
        <f t="shared" si="19"/>
        <v>5.3892711622482524E-22</v>
      </c>
      <c r="G513" s="396">
        <v>43481</v>
      </c>
      <c r="H513" s="32">
        <v>1.96956</v>
      </c>
    </row>
    <row r="514" spans="2:8" x14ac:dyDescent="0.3">
      <c r="B514" s="379">
        <f t="shared" si="20"/>
        <v>745</v>
      </c>
      <c r="C514" s="380">
        <v>43433</v>
      </c>
      <c r="D514" s="4">
        <v>3.03</v>
      </c>
      <c r="E514" s="381">
        <f t="shared" si="19"/>
        <v>5.7332671938811192E-22</v>
      </c>
      <c r="G514" s="396">
        <v>43490</v>
      </c>
      <c r="H514" s="32">
        <v>1.9402999999999999</v>
      </c>
    </row>
    <row r="515" spans="2:8" x14ac:dyDescent="0.3">
      <c r="B515" s="379">
        <f t="shared" si="20"/>
        <v>744</v>
      </c>
      <c r="C515" s="380">
        <v>43434</v>
      </c>
      <c r="D515" s="4">
        <v>3.01</v>
      </c>
      <c r="E515" s="381">
        <f t="shared" si="19"/>
        <v>6.0992204190224671E-22</v>
      </c>
      <c r="G515" s="396">
        <v>43494</v>
      </c>
      <c r="H515" s="32">
        <v>1.9899500000000001</v>
      </c>
    </row>
    <row r="516" spans="2:8" x14ac:dyDescent="0.3">
      <c r="B516" s="379">
        <f t="shared" si="20"/>
        <v>743</v>
      </c>
      <c r="C516" s="380">
        <v>43437</v>
      </c>
      <c r="D516" s="4">
        <v>2.98</v>
      </c>
      <c r="E516" s="381">
        <f t="shared" si="19"/>
        <v>6.488532360662199E-22</v>
      </c>
      <c r="G516" s="396">
        <v>43495</v>
      </c>
      <c r="H516" s="32">
        <v>1.94845</v>
      </c>
    </row>
    <row r="517" spans="2:8" x14ac:dyDescent="0.3">
      <c r="B517" s="379">
        <f t="shared" si="20"/>
        <v>742</v>
      </c>
      <c r="C517" s="380">
        <v>43438</v>
      </c>
      <c r="D517" s="4">
        <v>2.91</v>
      </c>
      <c r="E517" s="381">
        <f t="shared" si="19"/>
        <v>6.9026940007044679E-22</v>
      </c>
      <c r="G517" s="396">
        <v>43496</v>
      </c>
      <c r="H517" s="32">
        <v>1.90865</v>
      </c>
    </row>
    <row r="518" spans="2:8" x14ac:dyDescent="0.3">
      <c r="B518" s="379">
        <f t="shared" si="20"/>
        <v>741</v>
      </c>
      <c r="C518" s="380">
        <v>43440</v>
      </c>
      <c r="D518" s="4">
        <v>2.87</v>
      </c>
      <c r="E518" s="381">
        <f t="shared" si="19"/>
        <v>7.3432914901111342E-22</v>
      </c>
      <c r="G518" s="396">
        <v>43497</v>
      </c>
      <c r="H518" s="32">
        <v>1.8552</v>
      </c>
    </row>
    <row r="519" spans="2:8" x14ac:dyDescent="0.3">
      <c r="B519" s="379">
        <f t="shared" si="20"/>
        <v>740</v>
      </c>
      <c r="C519" s="380">
        <v>43441</v>
      </c>
      <c r="D519" s="4">
        <v>2.85</v>
      </c>
      <c r="E519" s="381">
        <f t="shared" si="19"/>
        <v>7.8120122235224845E-22</v>
      </c>
      <c r="G519" s="396">
        <v>43500</v>
      </c>
      <c r="H519" s="32">
        <v>1.82297</v>
      </c>
    </row>
    <row r="520" spans="2:8" x14ac:dyDescent="0.3">
      <c r="B520" s="379">
        <f t="shared" si="20"/>
        <v>739</v>
      </c>
      <c r="C520" s="380">
        <v>43444</v>
      </c>
      <c r="D520" s="4">
        <v>2.85</v>
      </c>
      <c r="E520" s="381">
        <f t="shared" si="19"/>
        <v>8.3106513016196643E-22</v>
      </c>
      <c r="G520" s="396">
        <v>43501</v>
      </c>
      <c r="H520" s="32">
        <v>1.8227599999999999</v>
      </c>
    </row>
    <row r="521" spans="2:8" x14ac:dyDescent="0.3">
      <c r="B521" s="379">
        <f t="shared" si="20"/>
        <v>738</v>
      </c>
      <c r="C521" s="380">
        <v>43445</v>
      </c>
      <c r="D521" s="4">
        <v>2.89</v>
      </c>
      <c r="E521" s="381">
        <f t="shared" ref="E521:E584" si="21">+(1-$C$4)*$C$4^B521</f>
        <v>8.841118405978367E-22</v>
      </c>
      <c r="G521" s="396">
        <v>43502</v>
      </c>
      <c r="H521" s="32">
        <v>1.8573200000000001</v>
      </c>
    </row>
    <row r="522" spans="2:8" x14ac:dyDescent="0.3">
      <c r="B522" s="379">
        <f t="shared" si="20"/>
        <v>737</v>
      </c>
      <c r="C522" s="380">
        <v>43446</v>
      </c>
      <c r="D522" s="4">
        <v>2.91</v>
      </c>
      <c r="E522" s="381">
        <f t="shared" si="21"/>
        <v>9.4054451127429455E-22</v>
      </c>
      <c r="G522" s="396">
        <v>43503</v>
      </c>
      <c r="H522" s="32">
        <v>1.9333100000000001</v>
      </c>
    </row>
    <row r="523" spans="2:8" x14ac:dyDescent="0.3">
      <c r="B523" s="379">
        <f t="shared" ref="B523:B586" si="22">+B522-1</f>
        <v>736</v>
      </c>
      <c r="C523" s="380">
        <v>43447</v>
      </c>
      <c r="D523" s="4">
        <v>2.91</v>
      </c>
      <c r="E523" s="381">
        <f t="shared" si="21"/>
        <v>1.0005792673130793E-21</v>
      </c>
      <c r="G523" s="396">
        <v>43504</v>
      </c>
      <c r="H523" s="32">
        <v>1.9401600000000001</v>
      </c>
    </row>
    <row r="524" spans="2:8" x14ac:dyDescent="0.3">
      <c r="B524" s="379">
        <f t="shared" si="22"/>
        <v>735</v>
      </c>
      <c r="C524" s="380">
        <v>43448</v>
      </c>
      <c r="D524" s="4">
        <v>2.89</v>
      </c>
      <c r="E524" s="381">
        <f t="shared" si="21"/>
        <v>1.0644460290564674E-21</v>
      </c>
      <c r="G524" s="396">
        <v>43507</v>
      </c>
      <c r="H524" s="32">
        <v>1.97695</v>
      </c>
    </row>
    <row r="525" spans="2:8" x14ac:dyDescent="0.3">
      <c r="B525" s="379">
        <f t="shared" si="22"/>
        <v>734</v>
      </c>
      <c r="C525" s="380">
        <v>43451</v>
      </c>
      <c r="D525" s="4">
        <v>2.86</v>
      </c>
      <c r="E525" s="381">
        <f t="shared" si="21"/>
        <v>1.1323893926132632E-21</v>
      </c>
      <c r="G525" s="396">
        <v>43508</v>
      </c>
      <c r="H525" s="32">
        <v>1.9428099999999999</v>
      </c>
    </row>
    <row r="526" spans="2:8" x14ac:dyDescent="0.3">
      <c r="B526" s="379">
        <f t="shared" si="22"/>
        <v>733</v>
      </c>
      <c r="C526" s="380">
        <v>43452</v>
      </c>
      <c r="D526" s="4">
        <v>2.82</v>
      </c>
      <c r="E526" s="381">
        <f t="shared" si="21"/>
        <v>1.2046695666098542E-21</v>
      </c>
      <c r="G526" s="396">
        <v>43509</v>
      </c>
      <c r="H526" s="32">
        <v>1.91187</v>
      </c>
    </row>
    <row r="527" spans="2:8" x14ac:dyDescent="0.3">
      <c r="B527" s="379">
        <f t="shared" si="22"/>
        <v>732</v>
      </c>
      <c r="C527" s="380">
        <v>43453</v>
      </c>
      <c r="D527" s="4">
        <v>2.77</v>
      </c>
      <c r="E527" s="381">
        <f t="shared" si="21"/>
        <v>1.2815633687338878E-21</v>
      </c>
      <c r="G527" s="396">
        <v>43510</v>
      </c>
      <c r="H527" s="32">
        <v>1.9555199999999999</v>
      </c>
    </row>
    <row r="528" spans="2:8" x14ac:dyDescent="0.3">
      <c r="B528" s="379">
        <f t="shared" si="22"/>
        <v>731</v>
      </c>
      <c r="C528" s="380">
        <v>43454</v>
      </c>
      <c r="D528" s="4">
        <v>2.79</v>
      </c>
      <c r="E528" s="381">
        <f t="shared" si="21"/>
        <v>1.3633652858871143E-21</v>
      </c>
      <c r="G528" s="396">
        <v>43511</v>
      </c>
      <c r="H528" s="32">
        <v>1.9587000000000001</v>
      </c>
    </row>
    <row r="529" spans="2:8" x14ac:dyDescent="0.3">
      <c r="B529" s="379">
        <f t="shared" si="22"/>
        <v>730</v>
      </c>
      <c r="C529" s="380">
        <v>43455</v>
      </c>
      <c r="D529" s="4">
        <v>2.79</v>
      </c>
      <c r="E529" s="381">
        <f t="shared" si="21"/>
        <v>1.4503886020075685E-21</v>
      </c>
      <c r="G529" s="396">
        <v>43515</v>
      </c>
      <c r="H529" s="32">
        <v>1.9495499999999999</v>
      </c>
    </row>
    <row r="530" spans="2:8" x14ac:dyDescent="0.3">
      <c r="B530" s="379">
        <f t="shared" si="22"/>
        <v>729</v>
      </c>
      <c r="C530" s="380">
        <v>43458</v>
      </c>
      <c r="D530" s="4">
        <v>2.74</v>
      </c>
      <c r="E530" s="381">
        <f t="shared" si="21"/>
        <v>1.5429665978803922E-21</v>
      </c>
      <c r="G530" s="396">
        <v>43516</v>
      </c>
      <c r="H530" s="32">
        <v>1.9291400000000001</v>
      </c>
    </row>
    <row r="531" spans="2:8" x14ac:dyDescent="0.3">
      <c r="B531" s="379">
        <f t="shared" si="22"/>
        <v>728</v>
      </c>
      <c r="C531" s="380">
        <v>43460</v>
      </c>
      <c r="D531" s="4">
        <v>2.81</v>
      </c>
      <c r="E531" s="381">
        <f t="shared" si="21"/>
        <v>1.6414538275323321E-21</v>
      </c>
      <c r="G531" s="396">
        <v>43517</v>
      </c>
      <c r="H531" s="32">
        <v>1.9173899999999999</v>
      </c>
    </row>
    <row r="532" spans="2:8" x14ac:dyDescent="0.3">
      <c r="B532" s="379">
        <f t="shared" si="22"/>
        <v>727</v>
      </c>
      <c r="C532" s="380">
        <v>43461</v>
      </c>
      <c r="D532" s="4">
        <v>2.77</v>
      </c>
      <c r="E532" s="381">
        <f t="shared" si="21"/>
        <v>1.7462274760982256E-21</v>
      </c>
      <c r="G532" s="396">
        <v>43518</v>
      </c>
      <c r="H532" s="32">
        <v>1.9171199999999999</v>
      </c>
    </row>
    <row r="533" spans="2:8" x14ac:dyDescent="0.3">
      <c r="B533" s="379">
        <f t="shared" si="22"/>
        <v>726</v>
      </c>
      <c r="C533" s="380">
        <v>43462</v>
      </c>
      <c r="D533" s="4">
        <v>2.72</v>
      </c>
      <c r="E533" s="381">
        <f t="shared" si="21"/>
        <v>1.8576888043598146E-21</v>
      </c>
      <c r="G533" s="396">
        <v>43521</v>
      </c>
      <c r="H533" s="32">
        <v>1.90696</v>
      </c>
    </row>
    <row r="534" spans="2:8" x14ac:dyDescent="0.3">
      <c r="B534" s="379">
        <f t="shared" si="22"/>
        <v>725</v>
      </c>
      <c r="C534" s="380">
        <v>43465</v>
      </c>
      <c r="D534" s="4">
        <v>2.69</v>
      </c>
      <c r="E534" s="381">
        <f t="shared" si="21"/>
        <v>1.9762646854891639E-21</v>
      </c>
      <c r="G534" s="396">
        <v>43522</v>
      </c>
      <c r="H534" s="32">
        <v>1.9119999999999999</v>
      </c>
    </row>
    <row r="535" spans="2:8" x14ac:dyDescent="0.3">
      <c r="B535" s="379">
        <f t="shared" si="22"/>
        <v>724</v>
      </c>
      <c r="C535" s="380">
        <v>43467</v>
      </c>
      <c r="D535" s="4">
        <v>2.66</v>
      </c>
      <c r="E535" s="381">
        <f t="shared" si="21"/>
        <v>2.1024092398820901E-21</v>
      </c>
      <c r="G535" s="396">
        <v>43523</v>
      </c>
      <c r="H535" s="32">
        <v>1.86276</v>
      </c>
    </row>
    <row r="536" spans="2:8" x14ac:dyDescent="0.3">
      <c r="B536" s="379">
        <f t="shared" si="22"/>
        <v>723</v>
      </c>
      <c r="C536" s="380">
        <v>43468</v>
      </c>
      <c r="D536" s="4">
        <v>2.56</v>
      </c>
      <c r="E536" s="381">
        <f t="shared" si="21"/>
        <v>2.2366055743426486E-21</v>
      </c>
      <c r="G536" s="396">
        <v>43524</v>
      </c>
      <c r="H536" s="32">
        <v>1.85612</v>
      </c>
    </row>
    <row r="537" spans="2:8" x14ac:dyDescent="0.3">
      <c r="B537" s="379">
        <f t="shared" si="22"/>
        <v>722</v>
      </c>
      <c r="C537" s="380">
        <v>43469</v>
      </c>
      <c r="D537" s="4">
        <v>2.67</v>
      </c>
      <c r="E537" s="381">
        <f t="shared" si="21"/>
        <v>2.3793676322794139E-21</v>
      </c>
      <c r="G537" s="396">
        <v>43525</v>
      </c>
      <c r="H537" s="32">
        <v>1.85361</v>
      </c>
    </row>
    <row r="538" spans="2:8" x14ac:dyDescent="0.3">
      <c r="B538" s="379">
        <f t="shared" si="22"/>
        <v>721</v>
      </c>
      <c r="C538" s="380">
        <v>43472</v>
      </c>
      <c r="D538" s="4">
        <v>2.7</v>
      </c>
      <c r="E538" s="381">
        <f t="shared" si="21"/>
        <v>2.5312421619993764E-21</v>
      </c>
      <c r="G538" s="396">
        <v>43528</v>
      </c>
      <c r="H538" s="32">
        <v>1.89286</v>
      </c>
    </row>
    <row r="539" spans="2:8" x14ac:dyDescent="0.3">
      <c r="B539" s="379">
        <f t="shared" si="22"/>
        <v>720</v>
      </c>
      <c r="C539" s="380">
        <v>43473</v>
      </c>
      <c r="D539" s="4">
        <v>2.73</v>
      </c>
      <c r="E539" s="381">
        <f t="shared" si="21"/>
        <v>2.6928108106376345E-21</v>
      </c>
      <c r="G539" s="396">
        <v>43529</v>
      </c>
      <c r="H539" s="32">
        <v>1.8942600000000001</v>
      </c>
    </row>
    <row r="540" spans="2:8" x14ac:dyDescent="0.3">
      <c r="B540" s="379">
        <f t="shared" si="22"/>
        <v>719</v>
      </c>
      <c r="C540" s="380">
        <v>43474</v>
      </c>
      <c r="D540" s="4">
        <v>2.74</v>
      </c>
      <c r="E540" s="381">
        <f t="shared" si="21"/>
        <v>2.8646923517421641E-21</v>
      </c>
      <c r="G540" s="396">
        <v>43530</v>
      </c>
      <c r="H540" s="32">
        <v>1.8898999999999999</v>
      </c>
    </row>
    <row r="541" spans="2:8" x14ac:dyDescent="0.3">
      <c r="B541" s="379">
        <f t="shared" si="22"/>
        <v>718</v>
      </c>
      <c r="C541" s="380">
        <v>43475</v>
      </c>
      <c r="D541" s="4">
        <v>2.74</v>
      </c>
      <c r="E541" s="381">
        <f t="shared" si="21"/>
        <v>3.047545055044856E-21</v>
      </c>
      <c r="G541" s="396">
        <v>43531</v>
      </c>
      <c r="H541" s="32">
        <v>1.92533</v>
      </c>
    </row>
    <row r="542" spans="2:8" x14ac:dyDescent="0.3">
      <c r="B542" s="379">
        <f t="shared" si="22"/>
        <v>717</v>
      </c>
      <c r="C542" s="380">
        <v>43476</v>
      </c>
      <c r="D542" s="4">
        <v>2.71</v>
      </c>
      <c r="E542" s="381">
        <f t="shared" si="21"/>
        <v>3.2420692074945269E-21</v>
      </c>
      <c r="G542" s="396">
        <v>43532</v>
      </c>
      <c r="H542" s="32">
        <v>1.94533</v>
      </c>
    </row>
    <row r="543" spans="2:8" x14ac:dyDescent="0.3">
      <c r="B543" s="379">
        <f t="shared" si="22"/>
        <v>716</v>
      </c>
      <c r="C543" s="380">
        <v>43479</v>
      </c>
      <c r="D543" s="4">
        <v>2.71</v>
      </c>
      <c r="E543" s="381">
        <f t="shared" si="21"/>
        <v>3.4490097952069445E-21</v>
      </c>
      <c r="G543" s="396">
        <v>43535</v>
      </c>
      <c r="H543" s="32">
        <v>1.8999200000000001</v>
      </c>
    </row>
    <row r="544" spans="2:8" x14ac:dyDescent="0.3">
      <c r="B544" s="379">
        <f t="shared" si="22"/>
        <v>715</v>
      </c>
      <c r="C544" s="380">
        <v>43480</v>
      </c>
      <c r="D544" s="4">
        <v>2.72</v>
      </c>
      <c r="E544" s="381">
        <f t="shared" si="21"/>
        <v>3.6691593566031316E-21</v>
      </c>
      <c r="G544" s="396">
        <v>43536</v>
      </c>
      <c r="H544" s="32">
        <v>1.92441</v>
      </c>
    </row>
    <row r="545" spans="2:8" x14ac:dyDescent="0.3">
      <c r="B545" s="379">
        <f t="shared" si="22"/>
        <v>714</v>
      </c>
      <c r="C545" s="380">
        <v>43481</v>
      </c>
      <c r="D545" s="4">
        <v>2.73</v>
      </c>
      <c r="E545" s="381">
        <f t="shared" si="21"/>
        <v>3.9033610176629066E-21</v>
      </c>
      <c r="G545" s="396">
        <v>43537</v>
      </c>
      <c r="H545" s="32">
        <v>1.91282</v>
      </c>
    </row>
    <row r="546" spans="2:8" x14ac:dyDescent="0.3">
      <c r="B546" s="379">
        <f t="shared" si="22"/>
        <v>713</v>
      </c>
      <c r="C546" s="380">
        <v>43482</v>
      </c>
      <c r="D546" s="4">
        <v>2.75</v>
      </c>
      <c r="E546" s="381">
        <f t="shared" si="21"/>
        <v>4.1525117209179849E-21</v>
      </c>
      <c r="G546" s="396">
        <v>43538</v>
      </c>
      <c r="H546" s="32">
        <v>1.8675999999999999</v>
      </c>
    </row>
    <row r="547" spans="2:8" x14ac:dyDescent="0.3">
      <c r="B547" s="379">
        <f t="shared" si="22"/>
        <v>712</v>
      </c>
      <c r="C547" s="380">
        <v>43483</v>
      </c>
      <c r="D547" s="4">
        <v>2.79</v>
      </c>
      <c r="E547" s="381">
        <f t="shared" si="21"/>
        <v>4.4175656605510491E-21</v>
      </c>
      <c r="G547" s="396">
        <v>43539</v>
      </c>
      <c r="H547" s="32">
        <v>1.8807799999999999</v>
      </c>
    </row>
    <row r="548" spans="2:8" x14ac:dyDescent="0.3">
      <c r="B548" s="379">
        <f t="shared" si="22"/>
        <v>711</v>
      </c>
      <c r="C548" s="380">
        <v>43487</v>
      </c>
      <c r="D548" s="4">
        <v>2.74</v>
      </c>
      <c r="E548" s="381">
        <f t="shared" si="21"/>
        <v>4.6995379367564344E-21</v>
      </c>
      <c r="G548" s="396">
        <v>43542</v>
      </c>
      <c r="H548" s="32">
        <v>1.8631</v>
      </c>
    </row>
    <row r="549" spans="2:8" x14ac:dyDescent="0.3">
      <c r="B549" s="379">
        <f t="shared" si="22"/>
        <v>710</v>
      </c>
      <c r="C549" s="380">
        <v>43488</v>
      </c>
      <c r="D549" s="4">
        <v>2.76</v>
      </c>
      <c r="E549" s="381">
        <f t="shared" si="21"/>
        <v>4.9995084433579098E-21</v>
      </c>
      <c r="G549" s="396">
        <v>43543</v>
      </c>
      <c r="H549" s="32">
        <v>1.84043</v>
      </c>
    </row>
    <row r="550" spans="2:8" x14ac:dyDescent="0.3">
      <c r="B550" s="379">
        <f t="shared" si="22"/>
        <v>709</v>
      </c>
      <c r="C550" s="380">
        <v>43489</v>
      </c>
      <c r="D550" s="4">
        <v>2.72</v>
      </c>
      <c r="E550" s="381">
        <f t="shared" si="21"/>
        <v>5.3186260035722435E-21</v>
      </c>
      <c r="G550" s="396">
        <v>43544</v>
      </c>
      <c r="H550" s="32">
        <v>1.86917</v>
      </c>
    </row>
    <row r="551" spans="2:8" x14ac:dyDescent="0.3">
      <c r="B551" s="379">
        <f t="shared" si="22"/>
        <v>708</v>
      </c>
      <c r="C551" s="380">
        <v>43490</v>
      </c>
      <c r="D551" s="4">
        <v>2.76</v>
      </c>
      <c r="E551" s="381">
        <f t="shared" si="21"/>
        <v>5.6581127697577077E-21</v>
      </c>
      <c r="G551" s="396">
        <v>43545</v>
      </c>
      <c r="H551" s="32">
        <v>1.82877</v>
      </c>
    </row>
    <row r="552" spans="2:8" x14ac:dyDescent="0.3">
      <c r="B552" s="379">
        <f t="shared" si="22"/>
        <v>707</v>
      </c>
      <c r="C552" s="380">
        <v>43493</v>
      </c>
      <c r="D552" s="4">
        <v>2.75</v>
      </c>
      <c r="E552" s="381">
        <f t="shared" si="21"/>
        <v>6.0192689039975593E-21</v>
      </c>
      <c r="G552" s="396">
        <v>43546</v>
      </c>
      <c r="H552" s="32">
        <v>1.87622</v>
      </c>
    </row>
    <row r="553" spans="2:8" x14ac:dyDescent="0.3">
      <c r="B553" s="379">
        <f t="shared" si="22"/>
        <v>706</v>
      </c>
      <c r="C553" s="380">
        <v>43494</v>
      </c>
      <c r="D553" s="4">
        <v>2.72</v>
      </c>
      <c r="E553" s="381">
        <f t="shared" si="21"/>
        <v>6.4034775574442124E-21</v>
      </c>
      <c r="G553" s="396">
        <v>43549</v>
      </c>
      <c r="H553" s="32">
        <v>1.9081900000000001</v>
      </c>
    </row>
    <row r="554" spans="2:8" x14ac:dyDescent="0.3">
      <c r="B554" s="379">
        <f t="shared" si="22"/>
        <v>705</v>
      </c>
      <c r="C554" s="380">
        <v>43495</v>
      </c>
      <c r="D554" s="4">
        <v>2.7</v>
      </c>
      <c r="E554" s="381">
        <f t="shared" si="21"/>
        <v>6.8122101674938438E-21</v>
      </c>
      <c r="G554" s="396">
        <v>43550</v>
      </c>
      <c r="H554" s="32">
        <v>1.8565400000000001</v>
      </c>
    </row>
    <row r="555" spans="2:8" x14ac:dyDescent="0.3">
      <c r="B555" s="379">
        <f t="shared" si="22"/>
        <v>704</v>
      </c>
      <c r="C555" s="380">
        <v>43496</v>
      </c>
      <c r="D555" s="4">
        <v>2.63</v>
      </c>
      <c r="E555" s="381">
        <f t="shared" si="21"/>
        <v>7.2470320930785568E-21</v>
      </c>
      <c r="G555" s="396">
        <v>43551</v>
      </c>
      <c r="H555" s="32">
        <v>1.8697900000000001</v>
      </c>
    </row>
    <row r="556" spans="2:8" x14ac:dyDescent="0.3">
      <c r="B556" s="379">
        <f t="shared" si="22"/>
        <v>703</v>
      </c>
      <c r="C556" s="380">
        <v>43497</v>
      </c>
      <c r="D556" s="4">
        <v>2.7</v>
      </c>
      <c r="E556" s="381">
        <f t="shared" si="21"/>
        <v>7.7096086096580398E-21</v>
      </c>
      <c r="G556" s="396">
        <v>43552</v>
      </c>
      <c r="H556" s="32">
        <v>1.86978</v>
      </c>
    </row>
    <row r="557" spans="2:8" x14ac:dyDescent="0.3">
      <c r="B557" s="379">
        <f t="shared" si="22"/>
        <v>702</v>
      </c>
      <c r="C557" s="380">
        <v>43500</v>
      </c>
      <c r="D557" s="4">
        <v>2.73</v>
      </c>
      <c r="E557" s="381">
        <f t="shared" si="21"/>
        <v>8.2017112868702548E-21</v>
      </c>
      <c r="G557" s="396">
        <v>43553</v>
      </c>
      <c r="H557" s="32">
        <v>1.83894</v>
      </c>
    </row>
    <row r="558" spans="2:8" x14ac:dyDescent="0.3">
      <c r="B558" s="379">
        <f t="shared" si="22"/>
        <v>701</v>
      </c>
      <c r="C558" s="380">
        <v>43501</v>
      </c>
      <c r="D558" s="4">
        <v>2.71</v>
      </c>
      <c r="E558" s="381">
        <f t="shared" si="21"/>
        <v>8.7252247732662286E-21</v>
      </c>
      <c r="G558" s="396">
        <v>43556</v>
      </c>
      <c r="H558" s="32">
        <v>1.7884599999999999</v>
      </c>
    </row>
    <row r="559" spans="2:8" x14ac:dyDescent="0.3">
      <c r="B559" s="379">
        <f t="shared" si="22"/>
        <v>700</v>
      </c>
      <c r="C559" s="380">
        <v>43502</v>
      </c>
      <c r="D559" s="4">
        <v>2.7</v>
      </c>
      <c r="E559" s="381">
        <f t="shared" si="21"/>
        <v>9.28215401411301E-21</v>
      </c>
      <c r="G559" s="396">
        <v>43557</v>
      </c>
      <c r="H559" s="32">
        <v>1.84809</v>
      </c>
    </row>
    <row r="560" spans="2:8" x14ac:dyDescent="0.3">
      <c r="B560" s="379">
        <f t="shared" si="22"/>
        <v>699</v>
      </c>
      <c r="C560" s="380">
        <v>43503</v>
      </c>
      <c r="D560" s="4">
        <v>2.65</v>
      </c>
      <c r="E560" s="381">
        <f t="shared" si="21"/>
        <v>9.8746319299074578E-21</v>
      </c>
      <c r="G560" s="396">
        <v>43559</v>
      </c>
      <c r="H560" s="32">
        <v>1.79382</v>
      </c>
    </row>
    <row r="561" spans="2:8" x14ac:dyDescent="0.3">
      <c r="B561" s="379">
        <f t="shared" si="22"/>
        <v>698</v>
      </c>
      <c r="C561" s="380">
        <v>43504</v>
      </c>
      <c r="D561" s="4">
        <v>2.63</v>
      </c>
      <c r="E561" s="381">
        <f t="shared" si="21"/>
        <v>1.0504927585007935E-20</v>
      </c>
      <c r="G561" s="396">
        <v>43560</v>
      </c>
      <c r="H561" s="32">
        <v>1.79562</v>
      </c>
    </row>
    <row r="562" spans="2:8" x14ac:dyDescent="0.3">
      <c r="B562" s="379">
        <f t="shared" si="22"/>
        <v>697</v>
      </c>
      <c r="C562" s="380">
        <v>43507</v>
      </c>
      <c r="D562" s="4">
        <v>2.65</v>
      </c>
      <c r="E562" s="381">
        <f t="shared" si="21"/>
        <v>1.1175454877668015E-20</v>
      </c>
      <c r="G562" s="396">
        <v>43563</v>
      </c>
      <c r="H562" s="32">
        <v>1.7901100000000001</v>
      </c>
    </row>
    <row r="563" spans="2:8" x14ac:dyDescent="0.3">
      <c r="B563" s="379">
        <f t="shared" si="22"/>
        <v>696</v>
      </c>
      <c r="C563" s="380">
        <v>43508</v>
      </c>
      <c r="D563" s="4">
        <v>2.68</v>
      </c>
      <c r="E563" s="381">
        <f t="shared" si="21"/>
        <v>1.188878178475321E-20</v>
      </c>
      <c r="G563" s="396">
        <v>43564</v>
      </c>
      <c r="H563" s="32">
        <v>1.7841899999999999</v>
      </c>
    </row>
    <row r="564" spans="2:8" x14ac:dyDescent="0.3">
      <c r="B564" s="379">
        <f t="shared" si="22"/>
        <v>695</v>
      </c>
      <c r="C564" s="380">
        <v>43509</v>
      </c>
      <c r="D564" s="4">
        <v>2.71</v>
      </c>
      <c r="E564" s="381">
        <f t="shared" si="21"/>
        <v>1.2647640196545966E-20</v>
      </c>
      <c r="G564" s="396">
        <v>43565</v>
      </c>
      <c r="H564" s="32">
        <v>1.8047899999999999</v>
      </c>
    </row>
    <row r="565" spans="2:8" x14ac:dyDescent="0.3">
      <c r="B565" s="379">
        <f t="shared" si="22"/>
        <v>694</v>
      </c>
      <c r="C565" s="380">
        <v>43510</v>
      </c>
      <c r="D565" s="4">
        <v>2.66</v>
      </c>
      <c r="E565" s="381">
        <f t="shared" si="21"/>
        <v>1.3454936379304219E-20</v>
      </c>
      <c r="G565" s="396">
        <v>43566</v>
      </c>
      <c r="H565" s="32">
        <v>1.7792300000000001</v>
      </c>
    </row>
    <row r="566" spans="2:8" x14ac:dyDescent="0.3">
      <c r="B566" s="379">
        <f t="shared" si="22"/>
        <v>693</v>
      </c>
      <c r="C566" s="380">
        <v>43511</v>
      </c>
      <c r="D566" s="4">
        <v>2.66</v>
      </c>
      <c r="E566" s="381">
        <f t="shared" si="21"/>
        <v>1.4313762105642785E-20</v>
      </c>
      <c r="G566" s="396">
        <v>43577</v>
      </c>
      <c r="H566" s="32">
        <v>1.7461599999999999</v>
      </c>
    </row>
    <row r="567" spans="2:8" x14ac:dyDescent="0.3">
      <c r="B567" s="379">
        <f t="shared" si="22"/>
        <v>692</v>
      </c>
      <c r="C567" s="380">
        <v>43515</v>
      </c>
      <c r="D567" s="4">
        <v>2.65</v>
      </c>
      <c r="E567" s="381">
        <f t="shared" si="21"/>
        <v>1.5227406495364665E-20</v>
      </c>
      <c r="G567" s="396">
        <v>43578</v>
      </c>
      <c r="H567" s="32">
        <v>1.72221</v>
      </c>
    </row>
    <row r="568" spans="2:8" x14ac:dyDescent="0.3">
      <c r="B568" s="379">
        <f t="shared" si="22"/>
        <v>691</v>
      </c>
      <c r="C568" s="380">
        <v>43516</v>
      </c>
      <c r="D568" s="4">
        <v>2.65</v>
      </c>
      <c r="E568" s="381">
        <f t="shared" si="21"/>
        <v>1.6199368612090068E-20</v>
      </c>
      <c r="G568" s="396">
        <v>43579</v>
      </c>
      <c r="H568" s="32">
        <v>1.7393400000000001</v>
      </c>
    </row>
    <row r="569" spans="2:8" x14ac:dyDescent="0.3">
      <c r="B569" s="379">
        <f t="shared" si="22"/>
        <v>690</v>
      </c>
      <c r="C569" s="380">
        <v>43517</v>
      </c>
      <c r="D569" s="4">
        <v>2.69</v>
      </c>
      <c r="E569" s="381">
        <f t="shared" si="21"/>
        <v>1.7233370863925611E-20</v>
      </c>
      <c r="G569" s="396">
        <v>43580</v>
      </c>
      <c r="H569" s="32">
        <v>1.7503599999999999</v>
      </c>
    </row>
    <row r="570" spans="2:8" x14ac:dyDescent="0.3">
      <c r="B570" s="379">
        <f t="shared" si="22"/>
        <v>689</v>
      </c>
      <c r="C570" s="380">
        <v>43518</v>
      </c>
      <c r="D570" s="4">
        <v>2.65</v>
      </c>
      <c r="E570" s="381">
        <f t="shared" si="21"/>
        <v>1.833337325949533E-20</v>
      </c>
      <c r="G570" s="396">
        <v>43581</v>
      </c>
      <c r="H570" s="32">
        <v>1.7307699999999999</v>
      </c>
    </row>
    <row r="571" spans="2:8" x14ac:dyDescent="0.3">
      <c r="B571" s="379">
        <f t="shared" si="22"/>
        <v>688</v>
      </c>
      <c r="C571" s="380">
        <v>43521</v>
      </c>
      <c r="D571" s="4">
        <v>2.67</v>
      </c>
      <c r="E571" s="381">
        <f t="shared" si="21"/>
        <v>1.9503588573931198E-20</v>
      </c>
      <c r="G571" s="396">
        <v>43584</v>
      </c>
      <c r="H571" s="32">
        <v>1.7189099999999999</v>
      </c>
    </row>
    <row r="572" spans="2:8" x14ac:dyDescent="0.3">
      <c r="B572" s="379">
        <f t="shared" si="22"/>
        <v>687</v>
      </c>
      <c r="C572" s="380">
        <v>43522</v>
      </c>
      <c r="D572" s="4">
        <v>2.64</v>
      </c>
      <c r="E572" s="381">
        <f t="shared" si="21"/>
        <v>2.0748498482905532E-20</v>
      </c>
      <c r="G572" s="396">
        <v>43585</v>
      </c>
      <c r="H572" s="32">
        <v>1.75606</v>
      </c>
    </row>
    <row r="573" spans="2:8" x14ac:dyDescent="0.3">
      <c r="B573" s="379">
        <f t="shared" si="22"/>
        <v>686</v>
      </c>
      <c r="C573" s="380">
        <v>43523</v>
      </c>
      <c r="D573" s="4">
        <v>2.69</v>
      </c>
      <c r="E573" s="381">
        <f t="shared" si="21"/>
        <v>2.2072870726495249E-20</v>
      </c>
      <c r="G573" s="396">
        <v>43586</v>
      </c>
      <c r="H573" s="32">
        <v>1.7355700000000001</v>
      </c>
    </row>
    <row r="574" spans="2:8" x14ac:dyDescent="0.3">
      <c r="B574" s="379">
        <f t="shared" si="22"/>
        <v>685</v>
      </c>
      <c r="C574" s="380">
        <v>43524</v>
      </c>
      <c r="D574" s="4">
        <v>2.73</v>
      </c>
      <c r="E574" s="381">
        <f t="shared" si="21"/>
        <v>2.3481777368611964E-20</v>
      </c>
      <c r="G574" s="396">
        <v>43587</v>
      </c>
      <c r="H574" s="32">
        <v>1.7512399999999999</v>
      </c>
    </row>
    <row r="575" spans="2:8" x14ac:dyDescent="0.3">
      <c r="B575" s="379">
        <f t="shared" si="22"/>
        <v>684</v>
      </c>
      <c r="C575" s="380">
        <v>43525</v>
      </c>
      <c r="D575" s="4">
        <v>2.76</v>
      </c>
      <c r="E575" s="381">
        <f t="shared" si="21"/>
        <v>2.4980614221927626E-20</v>
      </c>
      <c r="G575" s="396">
        <v>43588</v>
      </c>
      <c r="H575" s="32">
        <v>1.7474400000000001</v>
      </c>
    </row>
    <row r="576" spans="2:8" x14ac:dyDescent="0.3">
      <c r="B576" s="379">
        <f t="shared" si="22"/>
        <v>683</v>
      </c>
      <c r="C576" s="380">
        <v>43528</v>
      </c>
      <c r="D576" s="4">
        <v>2.72</v>
      </c>
      <c r="E576" s="381">
        <f t="shared" si="21"/>
        <v>2.6575121512688966E-20</v>
      </c>
      <c r="G576" s="396">
        <v>43591</v>
      </c>
      <c r="H576" s="32">
        <v>1.7705500000000001</v>
      </c>
    </row>
    <row r="577" spans="2:8" x14ac:dyDescent="0.3">
      <c r="B577" s="379">
        <f t="shared" si="22"/>
        <v>682</v>
      </c>
      <c r="C577" s="380">
        <v>43529</v>
      </c>
      <c r="D577" s="4">
        <v>2.72</v>
      </c>
      <c r="E577" s="381">
        <f t="shared" si="21"/>
        <v>2.8271405864562728E-20</v>
      </c>
      <c r="G577" s="396">
        <v>43592</v>
      </c>
      <c r="H577" s="32">
        <v>1.8533299999999999</v>
      </c>
    </row>
    <row r="578" spans="2:8" x14ac:dyDescent="0.3">
      <c r="B578" s="379">
        <f t="shared" si="22"/>
        <v>681</v>
      </c>
      <c r="C578" s="380">
        <v>43530</v>
      </c>
      <c r="D578" s="4">
        <v>2.69</v>
      </c>
      <c r="E578" s="381">
        <f t="shared" si="21"/>
        <v>3.007596368570503E-20</v>
      </c>
      <c r="G578" s="396">
        <v>43593</v>
      </c>
      <c r="H578" s="32">
        <v>1.82535</v>
      </c>
    </row>
    <row r="579" spans="2:8" x14ac:dyDescent="0.3">
      <c r="B579" s="379">
        <f t="shared" si="22"/>
        <v>680</v>
      </c>
      <c r="C579" s="380">
        <v>43531</v>
      </c>
      <c r="D579" s="4">
        <v>2.64</v>
      </c>
      <c r="E579" s="381">
        <f t="shared" si="21"/>
        <v>3.1995706048622371E-20</v>
      </c>
      <c r="G579" s="396">
        <v>43594</v>
      </c>
      <c r="H579" s="32">
        <v>1.88415</v>
      </c>
    </row>
    <row r="580" spans="2:8" x14ac:dyDescent="0.3">
      <c r="B580" s="379">
        <f t="shared" si="22"/>
        <v>679</v>
      </c>
      <c r="C580" s="380">
        <v>43532</v>
      </c>
      <c r="D580" s="4">
        <v>2.62</v>
      </c>
      <c r="E580" s="381">
        <f t="shared" si="21"/>
        <v>3.4037985158108908E-20</v>
      </c>
      <c r="G580" s="396">
        <v>43595</v>
      </c>
      <c r="H580" s="32">
        <v>1.87355</v>
      </c>
    </row>
    <row r="581" spans="2:8" x14ac:dyDescent="0.3">
      <c r="B581" s="379">
        <f t="shared" si="22"/>
        <v>678</v>
      </c>
      <c r="C581" s="380">
        <v>43535</v>
      </c>
      <c r="D581" s="4">
        <v>2.64</v>
      </c>
      <c r="E581" s="381">
        <f t="shared" si="21"/>
        <v>3.6210622508626508E-20</v>
      </c>
      <c r="G581" s="396">
        <v>43598</v>
      </c>
      <c r="H581" s="32">
        <v>1.95353</v>
      </c>
    </row>
    <row r="582" spans="2:8" x14ac:dyDescent="0.3">
      <c r="B582" s="379">
        <f t="shared" si="22"/>
        <v>677</v>
      </c>
      <c r="C582" s="380">
        <v>43536</v>
      </c>
      <c r="D582" s="4">
        <v>2.61</v>
      </c>
      <c r="E582" s="381">
        <f t="shared" si="21"/>
        <v>3.8521938838964359E-20</v>
      </c>
      <c r="G582" s="396">
        <v>43599</v>
      </c>
      <c r="H582" s="32">
        <v>1.88612</v>
      </c>
    </row>
    <row r="583" spans="2:8" x14ac:dyDescent="0.3">
      <c r="B583" s="379">
        <f t="shared" si="22"/>
        <v>676</v>
      </c>
      <c r="C583" s="380">
        <v>43537</v>
      </c>
      <c r="D583" s="4">
        <v>2.61</v>
      </c>
      <c r="E583" s="381">
        <f t="shared" si="21"/>
        <v>4.0980785998898263E-20</v>
      </c>
      <c r="G583" s="396">
        <v>43600</v>
      </c>
      <c r="H583" s="32">
        <v>1.89849</v>
      </c>
    </row>
    <row r="584" spans="2:8" x14ac:dyDescent="0.3">
      <c r="B584" s="379">
        <f t="shared" si="22"/>
        <v>675</v>
      </c>
      <c r="C584" s="380">
        <v>43538</v>
      </c>
      <c r="D584" s="4">
        <v>2.63</v>
      </c>
      <c r="E584" s="381">
        <f t="shared" si="21"/>
        <v>4.3596580849891763E-20</v>
      </c>
      <c r="G584" s="396">
        <v>43601</v>
      </c>
      <c r="H584" s="32">
        <v>1.88568</v>
      </c>
    </row>
    <row r="585" spans="2:8" x14ac:dyDescent="0.3">
      <c r="B585" s="379">
        <f t="shared" si="22"/>
        <v>674</v>
      </c>
      <c r="C585" s="380">
        <v>43539</v>
      </c>
      <c r="D585" s="4">
        <v>2.59</v>
      </c>
      <c r="E585" s="381">
        <f t="shared" ref="E585:E648" si="23">+(1-$C$4)*$C$4^B585</f>
        <v>4.6379341329672093E-20</v>
      </c>
      <c r="G585" s="396">
        <v>43602</v>
      </c>
      <c r="H585" s="32">
        <v>1.9047799999999999</v>
      </c>
    </row>
    <row r="586" spans="2:8" x14ac:dyDescent="0.3">
      <c r="B586" s="379">
        <f t="shared" si="22"/>
        <v>673</v>
      </c>
      <c r="C586" s="380">
        <v>43542</v>
      </c>
      <c r="D586" s="4">
        <v>2.6</v>
      </c>
      <c r="E586" s="381">
        <f t="shared" si="23"/>
        <v>4.93397248188001E-20</v>
      </c>
      <c r="G586" s="396">
        <v>43605</v>
      </c>
      <c r="H586" s="32">
        <v>1.90588</v>
      </c>
    </row>
    <row r="587" spans="2:8" x14ac:dyDescent="0.3">
      <c r="B587" s="379">
        <f t="shared" ref="B587:B650" si="24">+B586-1</f>
        <v>672</v>
      </c>
      <c r="C587" s="380">
        <v>43543</v>
      </c>
      <c r="D587" s="4">
        <v>2.61</v>
      </c>
      <c r="E587" s="381">
        <f t="shared" si="23"/>
        <v>5.2489068956170319E-20</v>
      </c>
      <c r="G587" s="396">
        <v>43606</v>
      </c>
      <c r="H587" s="32">
        <v>1.8869400000000001</v>
      </c>
    </row>
    <row r="588" spans="2:8" x14ac:dyDescent="0.3">
      <c r="B588" s="379">
        <f t="shared" si="24"/>
        <v>671</v>
      </c>
      <c r="C588" s="380">
        <v>43544</v>
      </c>
      <c r="D588" s="4">
        <v>2.54</v>
      </c>
      <c r="E588" s="381">
        <f t="shared" si="23"/>
        <v>5.5839435059755657E-20</v>
      </c>
      <c r="G588" s="396">
        <v>43607</v>
      </c>
      <c r="H588" s="32">
        <v>1.91658</v>
      </c>
    </row>
    <row r="589" spans="2:8" x14ac:dyDescent="0.3">
      <c r="B589" s="379">
        <f t="shared" si="24"/>
        <v>670</v>
      </c>
      <c r="C589" s="380">
        <v>43545</v>
      </c>
      <c r="D589" s="4">
        <v>2.54</v>
      </c>
      <c r="E589" s="381">
        <f t="shared" si="23"/>
        <v>5.940365431888901E-20</v>
      </c>
      <c r="G589" s="396">
        <v>43608</v>
      </c>
      <c r="H589" s="32">
        <v>2.0118200000000002</v>
      </c>
    </row>
    <row r="590" spans="2:8" x14ac:dyDescent="0.3">
      <c r="B590" s="379">
        <f t="shared" si="24"/>
        <v>669</v>
      </c>
      <c r="C590" s="380">
        <v>43546</v>
      </c>
      <c r="D590" s="4">
        <v>2.44</v>
      </c>
      <c r="E590" s="381">
        <f t="shared" si="23"/>
        <v>6.319537693498829E-20</v>
      </c>
      <c r="G590" s="396">
        <v>43609</v>
      </c>
      <c r="H590" s="32">
        <v>1.96959</v>
      </c>
    </row>
    <row r="591" spans="2:8" x14ac:dyDescent="0.3">
      <c r="B591" s="379">
        <f t="shared" si="24"/>
        <v>668</v>
      </c>
      <c r="C591" s="380">
        <v>43549</v>
      </c>
      <c r="D591" s="4">
        <v>2.4300000000000002</v>
      </c>
      <c r="E591" s="381">
        <f t="shared" si="23"/>
        <v>6.722912439892373E-20</v>
      </c>
      <c r="G591" s="396">
        <v>43613</v>
      </c>
      <c r="H591" s="32">
        <v>2.0068100000000002</v>
      </c>
    </row>
    <row r="592" spans="2:8" x14ac:dyDescent="0.3">
      <c r="B592" s="379">
        <f t="shared" si="24"/>
        <v>667</v>
      </c>
      <c r="C592" s="380">
        <v>43550</v>
      </c>
      <c r="D592" s="4">
        <v>2.41</v>
      </c>
      <c r="E592" s="381">
        <f t="shared" si="23"/>
        <v>7.1520345105237999E-20</v>
      </c>
      <c r="G592" s="396">
        <v>43614</v>
      </c>
      <c r="H592" s="32">
        <v>2.0208499999999998</v>
      </c>
    </row>
    <row r="593" spans="2:8" x14ac:dyDescent="0.3">
      <c r="B593" s="379">
        <f t="shared" si="24"/>
        <v>666</v>
      </c>
      <c r="C593" s="380">
        <v>43551</v>
      </c>
      <c r="D593" s="4">
        <v>2.39</v>
      </c>
      <c r="E593" s="381">
        <f t="shared" si="23"/>
        <v>7.6085473516210648E-20</v>
      </c>
      <c r="G593" s="396">
        <v>43615</v>
      </c>
      <c r="H593" s="32">
        <v>2.0475300000000001</v>
      </c>
    </row>
    <row r="594" spans="2:8" x14ac:dyDescent="0.3">
      <c r="B594" s="379">
        <f t="shared" si="24"/>
        <v>665</v>
      </c>
      <c r="C594" s="380">
        <v>43552</v>
      </c>
      <c r="D594" s="4">
        <v>2.39</v>
      </c>
      <c r="E594" s="381">
        <f t="shared" si="23"/>
        <v>8.0941993102351752E-20</v>
      </c>
      <c r="G594" s="396">
        <v>43616</v>
      </c>
      <c r="H594" s="32">
        <v>2.1177800000000002</v>
      </c>
    </row>
    <row r="595" spans="2:8" x14ac:dyDescent="0.3">
      <c r="B595" s="379">
        <f t="shared" si="24"/>
        <v>664</v>
      </c>
      <c r="C595" s="380">
        <v>43553</v>
      </c>
      <c r="D595" s="4">
        <v>2.41</v>
      </c>
      <c r="E595" s="381">
        <f t="shared" si="23"/>
        <v>8.6108503300374191E-20</v>
      </c>
      <c r="G595" s="396">
        <v>43619</v>
      </c>
      <c r="H595" s="32">
        <v>2.1373099999999998</v>
      </c>
    </row>
    <row r="596" spans="2:8" x14ac:dyDescent="0.3">
      <c r="B596" s="379">
        <f t="shared" si="24"/>
        <v>663</v>
      </c>
      <c r="C596" s="380">
        <v>43556</v>
      </c>
      <c r="D596" s="4">
        <v>2.4900000000000002</v>
      </c>
      <c r="E596" s="381">
        <f t="shared" si="23"/>
        <v>9.1604790745078939E-20</v>
      </c>
      <c r="G596" s="396">
        <v>43620</v>
      </c>
      <c r="H596" s="32">
        <v>2.0295999999999998</v>
      </c>
    </row>
    <row r="597" spans="2:8" x14ac:dyDescent="0.3">
      <c r="B597" s="379">
        <f t="shared" si="24"/>
        <v>662</v>
      </c>
      <c r="C597" s="380">
        <v>43557</v>
      </c>
      <c r="D597" s="4">
        <v>2.48</v>
      </c>
      <c r="E597" s="381">
        <f t="shared" si="23"/>
        <v>9.7451905047956325E-20</v>
      </c>
      <c r="G597" s="396">
        <v>43621</v>
      </c>
      <c r="H597" s="32">
        <v>1.98346</v>
      </c>
    </row>
    <row r="598" spans="2:8" x14ac:dyDescent="0.3">
      <c r="B598" s="379">
        <f t="shared" si="24"/>
        <v>661</v>
      </c>
      <c r="C598" s="380">
        <v>43558</v>
      </c>
      <c r="D598" s="4">
        <v>2.52</v>
      </c>
      <c r="E598" s="381">
        <f t="shared" si="23"/>
        <v>1.0367223941271949E-19</v>
      </c>
      <c r="G598" s="396">
        <v>43622</v>
      </c>
      <c r="H598" s="32">
        <v>1.9657199999999999</v>
      </c>
    </row>
    <row r="599" spans="2:8" x14ac:dyDescent="0.3">
      <c r="B599" s="379">
        <f t="shared" si="24"/>
        <v>660</v>
      </c>
      <c r="C599" s="380">
        <v>43559</v>
      </c>
      <c r="D599" s="4">
        <v>2.5099999999999998</v>
      </c>
      <c r="E599" s="381">
        <f t="shared" si="23"/>
        <v>1.102896163965101E-19</v>
      </c>
      <c r="G599" s="396">
        <v>43623</v>
      </c>
      <c r="H599" s="32">
        <v>1.9663999999999999</v>
      </c>
    </row>
    <row r="600" spans="2:8" x14ac:dyDescent="0.3">
      <c r="B600" s="379">
        <f t="shared" si="24"/>
        <v>659</v>
      </c>
      <c r="C600" s="380">
        <v>43560</v>
      </c>
      <c r="D600" s="4">
        <v>2.5</v>
      </c>
      <c r="E600" s="381">
        <f t="shared" si="23"/>
        <v>1.1732937914522349E-19</v>
      </c>
      <c r="G600" s="396">
        <v>43626</v>
      </c>
      <c r="H600" s="32">
        <v>1.9098200000000001</v>
      </c>
    </row>
    <row r="601" spans="2:8" x14ac:dyDescent="0.3">
      <c r="B601" s="379">
        <f t="shared" si="24"/>
        <v>658</v>
      </c>
      <c r="C601" s="380">
        <v>43563</v>
      </c>
      <c r="D601" s="4">
        <v>2.52</v>
      </c>
      <c r="E601" s="381">
        <f t="shared" si="23"/>
        <v>1.2481848845236544E-19</v>
      </c>
      <c r="G601" s="396">
        <v>43627</v>
      </c>
      <c r="H601" s="32">
        <v>1.86582</v>
      </c>
    </row>
    <row r="602" spans="2:8" x14ac:dyDescent="0.3">
      <c r="B602" s="379">
        <f t="shared" si="24"/>
        <v>657</v>
      </c>
      <c r="C602" s="380">
        <v>43564</v>
      </c>
      <c r="D602" s="4">
        <v>2.5099999999999998</v>
      </c>
      <c r="E602" s="381">
        <f t="shared" si="23"/>
        <v>1.3278562601315472E-19</v>
      </c>
      <c r="G602" s="396">
        <v>43628</v>
      </c>
      <c r="H602" s="32">
        <v>1.8771199999999999</v>
      </c>
    </row>
    <row r="603" spans="2:8" x14ac:dyDescent="0.3">
      <c r="B603" s="379">
        <f t="shared" si="24"/>
        <v>656</v>
      </c>
      <c r="C603" s="380">
        <v>43565</v>
      </c>
      <c r="D603" s="4">
        <v>2.48</v>
      </c>
      <c r="E603" s="381">
        <f t="shared" si="23"/>
        <v>1.4126130426931356E-19</v>
      </c>
      <c r="G603" s="396">
        <v>43629</v>
      </c>
      <c r="H603" s="32">
        <v>1.92865</v>
      </c>
    </row>
    <row r="604" spans="2:8" x14ac:dyDescent="0.3">
      <c r="B604" s="379">
        <f t="shared" si="24"/>
        <v>655</v>
      </c>
      <c r="C604" s="380">
        <v>43566</v>
      </c>
      <c r="D604" s="4">
        <v>2.5099999999999998</v>
      </c>
      <c r="E604" s="381">
        <f t="shared" si="23"/>
        <v>1.5027798326522716E-19</v>
      </c>
      <c r="G604" s="396">
        <v>43630</v>
      </c>
      <c r="H604" s="32">
        <v>1.91448</v>
      </c>
    </row>
    <row r="605" spans="2:8" x14ac:dyDescent="0.3">
      <c r="B605" s="379">
        <f t="shared" si="24"/>
        <v>654</v>
      </c>
      <c r="C605" s="380">
        <v>43567</v>
      </c>
      <c r="D605" s="4">
        <v>2.56</v>
      </c>
      <c r="E605" s="381">
        <f t="shared" si="23"/>
        <v>1.5987019496300762E-19</v>
      </c>
      <c r="G605" s="396">
        <v>43633</v>
      </c>
      <c r="H605" s="32">
        <v>1.92611</v>
      </c>
    </row>
    <row r="606" spans="2:8" x14ac:dyDescent="0.3">
      <c r="B606" s="379">
        <f t="shared" si="24"/>
        <v>653</v>
      </c>
      <c r="C606" s="380">
        <v>43570</v>
      </c>
      <c r="D606" s="4">
        <v>2.5499999999999998</v>
      </c>
      <c r="E606" s="381">
        <f t="shared" si="23"/>
        <v>1.700746754925613E-19</v>
      </c>
      <c r="G606" s="396">
        <v>43634</v>
      </c>
      <c r="H606" s="32">
        <v>1.8762700000000001</v>
      </c>
    </row>
    <row r="607" spans="2:8" x14ac:dyDescent="0.3">
      <c r="B607" s="379">
        <f t="shared" si="24"/>
        <v>652</v>
      </c>
      <c r="C607" s="380">
        <v>43571</v>
      </c>
      <c r="D607" s="4">
        <v>2.6</v>
      </c>
      <c r="E607" s="381">
        <f t="shared" si="23"/>
        <v>1.8093050584315033E-19</v>
      </c>
      <c r="G607" s="396">
        <v>43635</v>
      </c>
      <c r="H607" s="32">
        <v>1.8695600000000001</v>
      </c>
    </row>
    <row r="608" spans="2:8" x14ac:dyDescent="0.3">
      <c r="B608" s="379">
        <f t="shared" si="24"/>
        <v>651</v>
      </c>
      <c r="C608" s="380">
        <v>43572</v>
      </c>
      <c r="D608" s="4">
        <v>2.59</v>
      </c>
      <c r="E608" s="381">
        <f t="shared" si="23"/>
        <v>1.9247926153526631E-19</v>
      </c>
      <c r="G608" s="396">
        <v>43636</v>
      </c>
      <c r="H608" s="32">
        <v>1.7900100000000001</v>
      </c>
    </row>
    <row r="609" spans="2:8" x14ac:dyDescent="0.3">
      <c r="B609" s="379">
        <f t="shared" si="24"/>
        <v>650</v>
      </c>
      <c r="C609" s="380">
        <v>43573</v>
      </c>
      <c r="D609" s="4">
        <v>2.57</v>
      </c>
      <c r="E609" s="381">
        <f t="shared" si="23"/>
        <v>2.0476517184602799E-19</v>
      </c>
      <c r="G609" s="396">
        <v>43637</v>
      </c>
      <c r="H609" s="32">
        <v>1.74203</v>
      </c>
    </row>
    <row r="610" spans="2:8" x14ac:dyDescent="0.3">
      <c r="B610" s="379">
        <f t="shared" si="24"/>
        <v>649</v>
      </c>
      <c r="C610" s="380">
        <v>43577</v>
      </c>
      <c r="D610" s="4">
        <v>2.59</v>
      </c>
      <c r="E610" s="381">
        <f t="shared" si="23"/>
        <v>2.178352891979021E-19</v>
      </c>
      <c r="G610" s="396">
        <v>43640</v>
      </c>
      <c r="H610" s="32">
        <v>1.7919799999999999</v>
      </c>
    </row>
    <row r="611" spans="2:8" x14ac:dyDescent="0.3">
      <c r="B611" s="379">
        <f t="shared" si="24"/>
        <v>648</v>
      </c>
      <c r="C611" s="380">
        <v>43578</v>
      </c>
      <c r="D611" s="4">
        <v>2.57</v>
      </c>
      <c r="E611" s="381">
        <f t="shared" si="23"/>
        <v>2.3173966935947039E-19</v>
      </c>
      <c r="G611" s="396">
        <v>43641</v>
      </c>
      <c r="H611" s="32">
        <v>1.8454200000000001</v>
      </c>
    </row>
    <row r="612" spans="2:8" x14ac:dyDescent="0.3">
      <c r="B612" s="379">
        <f t="shared" si="24"/>
        <v>647</v>
      </c>
      <c r="C612" s="380">
        <v>43579</v>
      </c>
      <c r="D612" s="4">
        <v>2.5299999999999998</v>
      </c>
      <c r="E612" s="381">
        <f t="shared" si="23"/>
        <v>2.4653156314837269E-19</v>
      </c>
      <c r="G612" s="396">
        <v>43642</v>
      </c>
      <c r="H612" s="32">
        <v>1.8442000000000001</v>
      </c>
    </row>
    <row r="613" spans="2:8" x14ac:dyDescent="0.3">
      <c r="B613" s="379">
        <f t="shared" si="24"/>
        <v>646</v>
      </c>
      <c r="C613" s="380">
        <v>43580</v>
      </c>
      <c r="D613" s="4">
        <v>2.54</v>
      </c>
      <c r="E613" s="381">
        <f t="shared" si="23"/>
        <v>2.6226762037060931E-19</v>
      </c>
      <c r="G613" s="396">
        <v>43643</v>
      </c>
      <c r="H613" s="32">
        <v>1.8332599999999999</v>
      </c>
    </row>
    <row r="614" spans="2:8" x14ac:dyDescent="0.3">
      <c r="B614" s="379">
        <f t="shared" si="24"/>
        <v>645</v>
      </c>
      <c r="C614" s="380">
        <v>43581</v>
      </c>
      <c r="D614" s="4">
        <v>2.5099999999999998</v>
      </c>
      <c r="E614" s="381">
        <f t="shared" si="23"/>
        <v>2.790081067772439E-19</v>
      </c>
      <c r="G614" s="396">
        <v>43644</v>
      </c>
      <c r="H614" s="32">
        <v>1.8149599999999999</v>
      </c>
    </row>
    <row r="615" spans="2:8" x14ac:dyDescent="0.3">
      <c r="B615" s="379">
        <f t="shared" si="24"/>
        <v>644</v>
      </c>
      <c r="C615" s="380">
        <v>43584</v>
      </c>
      <c r="D615" s="4">
        <v>2.54</v>
      </c>
      <c r="E615" s="381">
        <f t="shared" si="23"/>
        <v>2.968171348694084E-19</v>
      </c>
      <c r="G615" s="396">
        <v>43647</v>
      </c>
      <c r="H615" s="32">
        <v>1.7426999999999999</v>
      </c>
    </row>
    <row r="616" spans="2:8" x14ac:dyDescent="0.3">
      <c r="B616" s="379">
        <f t="shared" si="24"/>
        <v>643</v>
      </c>
      <c r="C616" s="380">
        <v>43585</v>
      </c>
      <c r="D616" s="4">
        <v>2.5099999999999998</v>
      </c>
      <c r="E616" s="381">
        <f t="shared" si="23"/>
        <v>3.1576290943554089E-19</v>
      </c>
      <c r="G616" s="396">
        <v>43648</v>
      </c>
      <c r="H616" s="32">
        <v>1.7726299999999999</v>
      </c>
    </row>
    <row r="617" spans="2:8" x14ac:dyDescent="0.3">
      <c r="B617" s="379">
        <f t="shared" si="24"/>
        <v>642</v>
      </c>
      <c r="C617" s="380">
        <v>43586</v>
      </c>
      <c r="D617" s="4">
        <v>2.52</v>
      </c>
      <c r="E617" s="381">
        <f t="shared" si="23"/>
        <v>3.3591798876121376E-19</v>
      </c>
      <c r="G617" s="396">
        <v>43649</v>
      </c>
      <c r="H617" s="32">
        <v>1.7817000000000001</v>
      </c>
    </row>
    <row r="618" spans="2:8" x14ac:dyDescent="0.3">
      <c r="B618" s="379">
        <f t="shared" si="24"/>
        <v>641</v>
      </c>
      <c r="C618" s="380">
        <v>43587</v>
      </c>
      <c r="D618" s="4">
        <v>2.5499999999999998</v>
      </c>
      <c r="E618" s="381">
        <f t="shared" si="23"/>
        <v>3.5735956251192952E-19</v>
      </c>
      <c r="G618" s="396">
        <v>43651</v>
      </c>
      <c r="H618" s="32">
        <v>1.7448399999999999</v>
      </c>
    </row>
    <row r="619" spans="2:8" x14ac:dyDescent="0.3">
      <c r="B619" s="379">
        <f t="shared" si="24"/>
        <v>640</v>
      </c>
      <c r="C619" s="380">
        <v>43588</v>
      </c>
      <c r="D619" s="4">
        <v>2.54</v>
      </c>
      <c r="E619" s="381">
        <f t="shared" si="23"/>
        <v>3.8016974735311652E-19</v>
      </c>
      <c r="G619" s="396">
        <v>43654</v>
      </c>
      <c r="H619" s="32">
        <v>1.7181</v>
      </c>
    </row>
    <row r="620" spans="2:8" x14ac:dyDescent="0.3">
      <c r="B620" s="379">
        <f t="shared" si="24"/>
        <v>639</v>
      </c>
      <c r="C620" s="380">
        <v>43591</v>
      </c>
      <c r="D620" s="4">
        <v>2.5099999999999998</v>
      </c>
      <c r="E620" s="381">
        <f t="shared" si="23"/>
        <v>4.0443590143948565E-19</v>
      </c>
      <c r="G620" s="396">
        <v>43655</v>
      </c>
      <c r="H620" s="32">
        <v>1.72316</v>
      </c>
    </row>
    <row r="621" spans="2:8" x14ac:dyDescent="0.3">
      <c r="B621" s="379">
        <f t="shared" si="24"/>
        <v>638</v>
      </c>
      <c r="C621" s="380">
        <v>43592</v>
      </c>
      <c r="D621" s="4">
        <v>2.4500000000000002</v>
      </c>
      <c r="E621" s="381">
        <f t="shared" si="23"/>
        <v>4.3025095897817629E-19</v>
      </c>
      <c r="G621" s="396">
        <v>43656</v>
      </c>
      <c r="H621" s="32">
        <v>1.7131700000000001</v>
      </c>
    </row>
    <row r="622" spans="2:8" x14ac:dyDescent="0.3">
      <c r="B622" s="379">
        <f t="shared" si="24"/>
        <v>637</v>
      </c>
      <c r="C622" s="380">
        <v>43593</v>
      </c>
      <c r="D622" s="4">
        <v>2.4900000000000002</v>
      </c>
      <c r="E622" s="381">
        <f t="shared" si="23"/>
        <v>4.5771378614699595E-19</v>
      </c>
      <c r="G622" s="396">
        <v>43657</v>
      </c>
      <c r="H622" s="32">
        <v>1.6872400000000001</v>
      </c>
    </row>
    <row r="623" spans="2:8" x14ac:dyDescent="0.3">
      <c r="B623" s="379">
        <f t="shared" si="24"/>
        <v>636</v>
      </c>
      <c r="C623" s="380">
        <v>43594</v>
      </c>
      <c r="D623" s="4">
        <v>2.4500000000000002</v>
      </c>
      <c r="E623" s="381">
        <f t="shared" si="23"/>
        <v>4.8692955973084689E-19</v>
      </c>
      <c r="G623" s="396">
        <v>43658</v>
      </c>
      <c r="H623" s="32">
        <v>1.7069799999999999</v>
      </c>
    </row>
    <row r="624" spans="2:8" x14ac:dyDescent="0.3">
      <c r="B624" s="379">
        <f t="shared" si="24"/>
        <v>635</v>
      </c>
      <c r="C624" s="380">
        <v>43595</v>
      </c>
      <c r="D624" s="4">
        <v>2.4700000000000002</v>
      </c>
      <c r="E624" s="381">
        <f t="shared" si="23"/>
        <v>5.1801016992643284E-19</v>
      </c>
      <c r="G624" s="396">
        <v>43661</v>
      </c>
      <c r="H624" s="32">
        <v>1.7112700000000001</v>
      </c>
    </row>
    <row r="625" spans="2:8" x14ac:dyDescent="0.3">
      <c r="B625" s="379">
        <f t="shared" si="24"/>
        <v>634</v>
      </c>
      <c r="C625" s="380">
        <v>43598</v>
      </c>
      <c r="D625" s="4">
        <v>2.4</v>
      </c>
      <c r="E625" s="381">
        <f t="shared" si="23"/>
        <v>5.5107464885790724E-19</v>
      </c>
      <c r="G625" s="396">
        <v>43662</v>
      </c>
      <c r="H625" s="32">
        <v>1.70549</v>
      </c>
    </row>
    <row r="626" spans="2:8" x14ac:dyDescent="0.3">
      <c r="B626" s="379">
        <f t="shared" si="24"/>
        <v>633</v>
      </c>
      <c r="C626" s="380">
        <v>43599</v>
      </c>
      <c r="D626" s="4">
        <v>2.42</v>
      </c>
      <c r="E626" s="381">
        <f t="shared" si="23"/>
        <v>5.8624962644458223E-19</v>
      </c>
      <c r="G626" s="396">
        <v>43663</v>
      </c>
      <c r="H626" s="32">
        <v>1.7579400000000001</v>
      </c>
    </row>
    <row r="627" spans="2:8" x14ac:dyDescent="0.3">
      <c r="B627" s="379">
        <f t="shared" si="24"/>
        <v>632</v>
      </c>
      <c r="C627" s="380">
        <v>43600</v>
      </c>
      <c r="D627" s="4">
        <v>2.37</v>
      </c>
      <c r="E627" s="381">
        <f t="shared" si="23"/>
        <v>6.2366981536657686E-19</v>
      </c>
      <c r="G627" s="396">
        <v>43664</v>
      </c>
      <c r="H627" s="32">
        <v>1.76986</v>
      </c>
    </row>
    <row r="628" spans="2:8" x14ac:dyDescent="0.3">
      <c r="B628" s="379">
        <f t="shared" si="24"/>
        <v>631</v>
      </c>
      <c r="C628" s="380">
        <v>43601</v>
      </c>
      <c r="D628" s="4">
        <v>2.4</v>
      </c>
      <c r="E628" s="381">
        <f t="shared" si="23"/>
        <v>6.6347852698571994E-19</v>
      </c>
      <c r="G628" s="396">
        <v>43665</v>
      </c>
      <c r="H628" s="32">
        <v>1.74979</v>
      </c>
    </row>
    <row r="629" spans="2:8" x14ac:dyDescent="0.3">
      <c r="B629" s="379">
        <f t="shared" si="24"/>
        <v>630</v>
      </c>
      <c r="C629" s="380">
        <v>43602</v>
      </c>
      <c r="D629" s="4">
        <v>2.39</v>
      </c>
      <c r="E629" s="381">
        <f t="shared" si="23"/>
        <v>7.0582822019757447E-19</v>
      </c>
      <c r="G629" s="396">
        <v>43668</v>
      </c>
      <c r="H629" s="32">
        <v>1.71713</v>
      </c>
    </row>
    <row r="630" spans="2:8" x14ac:dyDescent="0.3">
      <c r="B630" s="379">
        <f t="shared" si="24"/>
        <v>629</v>
      </c>
      <c r="C630" s="380">
        <v>43605</v>
      </c>
      <c r="D630" s="4">
        <v>2.41</v>
      </c>
      <c r="E630" s="381">
        <f t="shared" si="23"/>
        <v>7.508810853165685E-19</v>
      </c>
      <c r="G630" s="396">
        <v>43669</v>
      </c>
      <c r="H630" s="32">
        <v>1.6760999999999999</v>
      </c>
    </row>
    <row r="631" spans="2:8" x14ac:dyDescent="0.3">
      <c r="B631" s="379">
        <f t="shared" si="24"/>
        <v>628</v>
      </c>
      <c r="C631" s="380">
        <v>43606</v>
      </c>
      <c r="D631" s="4">
        <v>2.4300000000000002</v>
      </c>
      <c r="E631" s="381">
        <f t="shared" si="23"/>
        <v>7.9880966523039215E-19</v>
      </c>
      <c r="G631" s="396">
        <v>43670</v>
      </c>
      <c r="H631" s="32">
        <v>1.6918599999999999</v>
      </c>
    </row>
    <row r="632" spans="2:8" x14ac:dyDescent="0.3">
      <c r="B632" s="379">
        <f t="shared" si="24"/>
        <v>627</v>
      </c>
      <c r="C632" s="380">
        <v>43607</v>
      </c>
      <c r="D632" s="4">
        <v>2.39</v>
      </c>
      <c r="E632" s="381">
        <f t="shared" si="23"/>
        <v>8.4979751620254477E-19</v>
      </c>
      <c r="G632" s="396">
        <v>43671</v>
      </c>
      <c r="H632" s="32">
        <v>1.6754</v>
      </c>
    </row>
    <row r="633" spans="2:8" x14ac:dyDescent="0.3">
      <c r="B633" s="379">
        <f t="shared" si="24"/>
        <v>626</v>
      </c>
      <c r="C633" s="380">
        <v>43608</v>
      </c>
      <c r="D633" s="4">
        <v>2.31</v>
      </c>
      <c r="E633" s="381">
        <f t="shared" si="23"/>
        <v>9.0403991085377104E-19</v>
      </c>
      <c r="G633" s="396">
        <v>43672</v>
      </c>
      <c r="H633" s="32">
        <v>1.6873100000000001</v>
      </c>
    </row>
    <row r="634" spans="2:8" x14ac:dyDescent="0.3">
      <c r="B634" s="379">
        <f t="shared" si="24"/>
        <v>625</v>
      </c>
      <c r="C634" s="380">
        <v>43609</v>
      </c>
      <c r="D634" s="4">
        <v>2.3199999999999998</v>
      </c>
      <c r="E634" s="381">
        <f t="shared" si="23"/>
        <v>9.6174458601465029E-19</v>
      </c>
      <c r="G634" s="396">
        <v>43675</v>
      </c>
      <c r="H634" s="32">
        <v>1.68218</v>
      </c>
    </row>
    <row r="635" spans="2:8" x14ac:dyDescent="0.3">
      <c r="B635" s="379">
        <f t="shared" si="24"/>
        <v>624</v>
      </c>
      <c r="C635" s="380">
        <v>43613</v>
      </c>
      <c r="D635" s="4">
        <v>2.2599999999999998</v>
      </c>
      <c r="E635" s="381">
        <f t="shared" si="23"/>
        <v>1.0231325383134576E-18</v>
      </c>
      <c r="G635" s="396">
        <v>43676</v>
      </c>
      <c r="H635" s="32">
        <v>1.7249099999999999</v>
      </c>
    </row>
    <row r="636" spans="2:8" x14ac:dyDescent="0.3">
      <c r="B636" s="379">
        <f t="shared" si="24"/>
        <v>623</v>
      </c>
      <c r="C636" s="380">
        <v>43614</v>
      </c>
      <c r="D636" s="4">
        <v>2.25</v>
      </c>
      <c r="E636" s="381">
        <f t="shared" si="23"/>
        <v>1.0884388705462315E-18</v>
      </c>
      <c r="G636" s="396">
        <v>43677</v>
      </c>
      <c r="H636" s="32">
        <v>1.7534000000000001</v>
      </c>
    </row>
    <row r="637" spans="2:8" x14ac:dyDescent="0.3">
      <c r="B637" s="379">
        <f t="shared" si="24"/>
        <v>622</v>
      </c>
      <c r="C637" s="380">
        <v>43615</v>
      </c>
      <c r="D637" s="4">
        <v>2.2200000000000002</v>
      </c>
      <c r="E637" s="381">
        <f t="shared" si="23"/>
        <v>1.1579136920704592E-18</v>
      </c>
      <c r="G637" s="396">
        <v>43678</v>
      </c>
      <c r="H637" s="32">
        <v>1.8593299999999999</v>
      </c>
    </row>
    <row r="638" spans="2:8" x14ac:dyDescent="0.3">
      <c r="B638" s="379">
        <f t="shared" si="24"/>
        <v>621</v>
      </c>
      <c r="C638" s="380">
        <v>43616</v>
      </c>
      <c r="D638" s="4">
        <v>2.14</v>
      </c>
      <c r="E638" s="381">
        <f t="shared" si="23"/>
        <v>1.231823076670701E-18</v>
      </c>
      <c r="G638" s="396">
        <v>43679</v>
      </c>
      <c r="H638" s="32">
        <v>1.8786700000000001</v>
      </c>
    </row>
    <row r="639" spans="2:8" x14ac:dyDescent="0.3">
      <c r="B639" s="379">
        <f t="shared" si="24"/>
        <v>620</v>
      </c>
      <c r="C639" s="380">
        <v>43619</v>
      </c>
      <c r="D639" s="4">
        <v>2.0699999999999998</v>
      </c>
      <c r="E639" s="381">
        <f t="shared" si="23"/>
        <v>1.3104500815645757E-18</v>
      </c>
      <c r="G639" s="396">
        <v>43682</v>
      </c>
      <c r="H639" s="32">
        <v>1.9564900000000001</v>
      </c>
    </row>
    <row r="640" spans="2:8" x14ac:dyDescent="0.3">
      <c r="B640" s="379">
        <f t="shared" si="24"/>
        <v>619</v>
      </c>
      <c r="C640" s="380">
        <v>43620</v>
      </c>
      <c r="D640" s="4">
        <v>2.12</v>
      </c>
      <c r="E640" s="381">
        <f t="shared" si="23"/>
        <v>1.3940958314516764E-18</v>
      </c>
      <c r="G640" s="396">
        <v>43683</v>
      </c>
      <c r="H640" s="32">
        <v>1.9459900000000001</v>
      </c>
    </row>
    <row r="641" spans="2:8" x14ac:dyDescent="0.3">
      <c r="B641" s="379">
        <f t="shared" si="24"/>
        <v>618</v>
      </c>
      <c r="C641" s="380">
        <v>43621</v>
      </c>
      <c r="D641" s="4">
        <v>2.12</v>
      </c>
      <c r="E641" s="381">
        <f t="shared" si="23"/>
        <v>1.4830806717571027E-18</v>
      </c>
      <c r="G641" s="396">
        <v>43684</v>
      </c>
      <c r="H641" s="32">
        <v>1.87616</v>
      </c>
    </row>
    <row r="642" spans="2:8" x14ac:dyDescent="0.3">
      <c r="B642" s="379">
        <f t="shared" si="24"/>
        <v>617</v>
      </c>
      <c r="C642" s="380">
        <v>43622</v>
      </c>
      <c r="D642" s="4">
        <v>2.12</v>
      </c>
      <c r="E642" s="381">
        <f t="shared" si="23"/>
        <v>1.5777453954862795E-18</v>
      </c>
      <c r="G642" s="396">
        <v>43685</v>
      </c>
      <c r="H642" s="32">
        <v>1.82056</v>
      </c>
    </row>
    <row r="643" spans="2:8" x14ac:dyDescent="0.3">
      <c r="B643" s="379">
        <f t="shared" si="24"/>
        <v>616</v>
      </c>
      <c r="C643" s="380">
        <v>43623</v>
      </c>
      <c r="D643" s="4">
        <v>2.09</v>
      </c>
      <c r="E643" s="381">
        <f t="shared" si="23"/>
        <v>1.678452548389659E-18</v>
      </c>
      <c r="G643" s="396">
        <v>43686</v>
      </c>
      <c r="H643" s="32">
        <v>1.7841499999999999</v>
      </c>
    </row>
    <row r="644" spans="2:8" x14ac:dyDescent="0.3">
      <c r="B644" s="379">
        <f t="shared" si="24"/>
        <v>615</v>
      </c>
      <c r="C644" s="380">
        <v>43626</v>
      </c>
      <c r="D644" s="4">
        <v>2.15</v>
      </c>
      <c r="E644" s="381">
        <f t="shared" si="23"/>
        <v>1.7855878174358074E-18</v>
      </c>
      <c r="G644" s="396">
        <v>43689</v>
      </c>
      <c r="H644" s="32">
        <v>1.89564</v>
      </c>
    </row>
    <row r="645" spans="2:8" x14ac:dyDescent="0.3">
      <c r="B645" s="379">
        <f t="shared" si="24"/>
        <v>614</v>
      </c>
      <c r="C645" s="380">
        <v>43627</v>
      </c>
      <c r="D645" s="4">
        <v>2.15</v>
      </c>
      <c r="E645" s="381">
        <f t="shared" si="23"/>
        <v>1.8995615079104339E-18</v>
      </c>
      <c r="G645" s="396">
        <v>43690</v>
      </c>
      <c r="H645" s="32">
        <v>1.83914</v>
      </c>
    </row>
    <row r="646" spans="2:8" x14ac:dyDescent="0.3">
      <c r="B646" s="379">
        <f t="shared" si="24"/>
        <v>613</v>
      </c>
      <c r="C646" s="380">
        <v>43628</v>
      </c>
      <c r="D646" s="4">
        <v>2.13</v>
      </c>
      <c r="E646" s="381">
        <f t="shared" si="23"/>
        <v>2.0208101147983332E-18</v>
      </c>
      <c r="G646" s="396">
        <v>43691</v>
      </c>
      <c r="H646" s="32">
        <v>1.8941600000000001</v>
      </c>
    </row>
    <row r="647" spans="2:8" x14ac:dyDescent="0.3">
      <c r="B647" s="379">
        <f t="shared" si="24"/>
        <v>612</v>
      </c>
      <c r="C647" s="380">
        <v>43629</v>
      </c>
      <c r="D647" s="4">
        <v>2.1</v>
      </c>
      <c r="E647" s="381">
        <f t="shared" si="23"/>
        <v>2.1497979944663123E-18</v>
      </c>
      <c r="G647" s="396">
        <v>43692</v>
      </c>
      <c r="H647" s="32">
        <v>1.9449399999999999</v>
      </c>
    </row>
    <row r="648" spans="2:8" x14ac:dyDescent="0.3">
      <c r="B648" s="379">
        <f t="shared" si="24"/>
        <v>611</v>
      </c>
      <c r="C648" s="380">
        <v>43630</v>
      </c>
      <c r="D648" s="4">
        <v>2.09</v>
      </c>
      <c r="E648" s="381">
        <f t="shared" si="23"/>
        <v>2.287019143049268E-18</v>
      </c>
      <c r="G648" s="396">
        <v>43693</v>
      </c>
      <c r="H648" s="32">
        <v>1.9198500000000001</v>
      </c>
    </row>
    <row r="649" spans="2:8" x14ac:dyDescent="0.3">
      <c r="B649" s="379">
        <f t="shared" si="24"/>
        <v>610</v>
      </c>
      <c r="C649" s="380">
        <v>43633</v>
      </c>
      <c r="D649" s="4">
        <v>2.09</v>
      </c>
      <c r="E649" s="381">
        <f t="shared" ref="E649:E712" si="25">+(1-$C$4)*$C$4^B649</f>
        <v>2.4329990883502853E-18</v>
      </c>
      <c r="G649" s="396">
        <v>43696</v>
      </c>
      <c r="H649" s="32">
        <v>1.8766099999999999</v>
      </c>
    </row>
    <row r="650" spans="2:8" x14ac:dyDescent="0.3">
      <c r="B650" s="379">
        <f t="shared" si="24"/>
        <v>609</v>
      </c>
      <c r="C650" s="380">
        <v>43634</v>
      </c>
      <c r="D650" s="4">
        <v>2.06</v>
      </c>
      <c r="E650" s="381">
        <f t="shared" si="25"/>
        <v>2.5882969025003037E-18</v>
      </c>
      <c r="G650" s="396">
        <v>43697</v>
      </c>
      <c r="H650" s="32">
        <v>1.91414</v>
      </c>
    </row>
    <row r="651" spans="2:8" x14ac:dyDescent="0.3">
      <c r="B651" s="379">
        <f t="shared" ref="B651:B714" si="26">+B650-1</f>
        <v>608</v>
      </c>
      <c r="C651" s="380">
        <v>43635</v>
      </c>
      <c r="D651" s="4">
        <v>2.0299999999999998</v>
      </c>
      <c r="E651" s="381">
        <f t="shared" si="25"/>
        <v>2.7535073430854296E-18</v>
      </c>
      <c r="G651" s="396">
        <v>43698</v>
      </c>
      <c r="H651" s="32">
        <v>1.8754599999999999</v>
      </c>
    </row>
    <row r="652" spans="2:8" x14ac:dyDescent="0.3">
      <c r="B652" s="379">
        <f t="shared" si="26"/>
        <v>607</v>
      </c>
      <c r="C652" s="380">
        <v>43636</v>
      </c>
      <c r="D652" s="4">
        <v>2.0099999999999998</v>
      </c>
      <c r="E652" s="381">
        <f t="shared" si="25"/>
        <v>2.9292631309419468E-18</v>
      </c>
      <c r="G652" s="396">
        <v>43699</v>
      </c>
      <c r="H652" s="32">
        <v>1.8345400000000001</v>
      </c>
    </row>
    <row r="653" spans="2:8" x14ac:dyDescent="0.3">
      <c r="B653" s="379">
        <f t="shared" si="26"/>
        <v>606</v>
      </c>
      <c r="C653" s="380">
        <v>43637</v>
      </c>
      <c r="D653" s="4">
        <v>2.0699999999999998</v>
      </c>
      <c r="E653" s="381">
        <f t="shared" si="25"/>
        <v>3.1162373733424966E-18</v>
      </c>
      <c r="G653" s="396">
        <v>43700</v>
      </c>
      <c r="H653" s="32">
        <v>1.89394</v>
      </c>
    </row>
    <row r="654" spans="2:8" x14ac:dyDescent="0.3">
      <c r="B654" s="379">
        <f t="shared" si="26"/>
        <v>605</v>
      </c>
      <c r="C654" s="380">
        <v>43640</v>
      </c>
      <c r="D654" s="4">
        <v>2.02</v>
      </c>
      <c r="E654" s="381">
        <f t="shared" si="25"/>
        <v>3.3151461418537192E-18</v>
      </c>
      <c r="G654" s="396">
        <v>43703</v>
      </c>
      <c r="H654" s="32">
        <v>1.87609</v>
      </c>
    </row>
    <row r="655" spans="2:8" x14ac:dyDescent="0.3">
      <c r="B655" s="379">
        <f t="shared" si="26"/>
        <v>604</v>
      </c>
      <c r="C655" s="380">
        <v>43641</v>
      </c>
      <c r="D655" s="4">
        <v>2</v>
      </c>
      <c r="E655" s="381">
        <f t="shared" si="25"/>
        <v>3.5267512147379999E-18</v>
      </c>
      <c r="G655" s="396">
        <v>43704</v>
      </c>
      <c r="H655" s="32">
        <v>1.8956900000000001</v>
      </c>
    </row>
    <row r="656" spans="2:8" x14ac:dyDescent="0.3">
      <c r="B656" s="379">
        <f t="shared" si="26"/>
        <v>603</v>
      </c>
      <c r="C656" s="380">
        <v>43642</v>
      </c>
      <c r="D656" s="4">
        <v>2.0499999999999998</v>
      </c>
      <c r="E656" s="381">
        <f t="shared" si="25"/>
        <v>3.7518629944021271E-18</v>
      </c>
      <c r="G656" s="396">
        <v>43705</v>
      </c>
      <c r="H656" s="32">
        <v>1.8468800000000001</v>
      </c>
    </row>
    <row r="657" spans="2:8" x14ac:dyDescent="0.3">
      <c r="B657" s="379">
        <f t="shared" si="26"/>
        <v>602</v>
      </c>
      <c r="C657" s="380">
        <v>43643</v>
      </c>
      <c r="D657" s="4">
        <v>2.0099999999999998</v>
      </c>
      <c r="E657" s="381">
        <f t="shared" si="25"/>
        <v>3.9913436110660927E-18</v>
      </c>
      <c r="G657" s="396">
        <v>43706</v>
      </c>
      <c r="H657" s="32">
        <v>1.78637</v>
      </c>
    </row>
    <row r="658" spans="2:8" x14ac:dyDescent="0.3">
      <c r="B658" s="379">
        <f t="shared" si="26"/>
        <v>601</v>
      </c>
      <c r="C658" s="380">
        <v>43644</v>
      </c>
      <c r="D658" s="4">
        <v>2</v>
      </c>
      <c r="E658" s="381">
        <f t="shared" si="25"/>
        <v>4.2461102245383966E-18</v>
      </c>
      <c r="G658" s="396">
        <v>43707</v>
      </c>
      <c r="H658" s="32">
        <v>1.78624</v>
      </c>
    </row>
    <row r="659" spans="2:8" x14ac:dyDescent="0.3">
      <c r="B659" s="379">
        <f t="shared" si="26"/>
        <v>600</v>
      </c>
      <c r="C659" s="380">
        <v>43647</v>
      </c>
      <c r="D659" s="4">
        <v>2.0299999999999998</v>
      </c>
      <c r="E659" s="381">
        <f t="shared" si="25"/>
        <v>4.5171385367429756E-18</v>
      </c>
      <c r="G659" s="396">
        <v>43711</v>
      </c>
      <c r="H659" s="32">
        <v>1.79311</v>
      </c>
    </row>
    <row r="660" spans="2:8" x14ac:dyDescent="0.3">
      <c r="B660" s="379">
        <f t="shared" si="26"/>
        <v>599</v>
      </c>
      <c r="C660" s="380">
        <v>43648</v>
      </c>
      <c r="D660" s="4">
        <v>1.98</v>
      </c>
      <c r="E660" s="381">
        <f t="shared" si="25"/>
        <v>4.8054665284499733E-18</v>
      </c>
      <c r="G660" s="396">
        <v>43712</v>
      </c>
      <c r="H660" s="32">
        <v>1.7737099999999999</v>
      </c>
    </row>
    <row r="661" spans="2:8" x14ac:dyDescent="0.3">
      <c r="B661" s="379">
        <f t="shared" si="26"/>
        <v>598</v>
      </c>
      <c r="C661" s="380">
        <v>43649</v>
      </c>
      <c r="D661" s="4">
        <v>1.96</v>
      </c>
      <c r="E661" s="381">
        <f t="shared" si="25"/>
        <v>5.1121984345212496E-18</v>
      </c>
      <c r="G661" s="396">
        <v>43713</v>
      </c>
      <c r="H661" s="32">
        <v>1.7128099999999999</v>
      </c>
    </row>
    <row r="662" spans="2:8" x14ac:dyDescent="0.3">
      <c r="B662" s="379">
        <f t="shared" si="26"/>
        <v>597</v>
      </c>
      <c r="C662" s="380">
        <v>43651</v>
      </c>
      <c r="D662" s="4">
        <v>2.04</v>
      </c>
      <c r="E662" s="381">
        <f t="shared" si="25"/>
        <v>5.4385089728949452E-18</v>
      </c>
      <c r="G662" s="396">
        <v>43714</v>
      </c>
      <c r="H662" s="32">
        <v>1.76254</v>
      </c>
    </row>
    <row r="663" spans="2:8" x14ac:dyDescent="0.3">
      <c r="B663" s="379">
        <f t="shared" si="26"/>
        <v>596</v>
      </c>
      <c r="C663" s="380">
        <v>43654</v>
      </c>
      <c r="D663" s="4">
        <v>2.0499999999999998</v>
      </c>
      <c r="E663" s="381">
        <f t="shared" si="25"/>
        <v>5.7856478435052612E-18</v>
      </c>
      <c r="G663" s="396">
        <v>43717</v>
      </c>
      <c r="H663" s="32">
        <v>1.7377899999999999</v>
      </c>
    </row>
    <row r="664" spans="2:8" x14ac:dyDescent="0.3">
      <c r="B664" s="379">
        <f t="shared" si="26"/>
        <v>595</v>
      </c>
      <c r="C664" s="380">
        <v>43655</v>
      </c>
      <c r="D664" s="4">
        <v>2.0699999999999998</v>
      </c>
      <c r="E664" s="381">
        <f t="shared" si="25"/>
        <v>6.1549445143672996E-18</v>
      </c>
      <c r="G664" s="396">
        <v>43718</v>
      </c>
      <c r="H664" s="32">
        <v>1.7436199999999999</v>
      </c>
    </row>
    <row r="665" spans="2:8" x14ac:dyDescent="0.3">
      <c r="B665" s="379">
        <f t="shared" si="26"/>
        <v>594</v>
      </c>
      <c r="C665" s="380">
        <v>43656</v>
      </c>
      <c r="D665" s="4">
        <v>2.0699999999999998</v>
      </c>
      <c r="E665" s="381">
        <f t="shared" si="25"/>
        <v>6.5478133131567017E-18</v>
      </c>
      <c r="G665" s="396">
        <v>43719</v>
      </c>
      <c r="H665" s="32">
        <v>1.7198199999999999</v>
      </c>
    </row>
    <row r="666" spans="2:8" x14ac:dyDescent="0.3">
      <c r="B666" s="379">
        <f t="shared" si="26"/>
        <v>593</v>
      </c>
      <c r="C666" s="380">
        <v>43657</v>
      </c>
      <c r="D666" s="4">
        <v>2.13</v>
      </c>
      <c r="E666" s="381">
        <f t="shared" si="25"/>
        <v>6.9657588437837241E-18</v>
      </c>
      <c r="G666" s="396">
        <v>43720</v>
      </c>
      <c r="H666" s="32">
        <v>1.6833199999999999</v>
      </c>
    </row>
    <row r="667" spans="2:8" x14ac:dyDescent="0.3">
      <c r="B667" s="379">
        <f t="shared" si="26"/>
        <v>592</v>
      </c>
      <c r="C667" s="380">
        <v>43658</v>
      </c>
      <c r="D667" s="4">
        <v>2.12</v>
      </c>
      <c r="E667" s="381">
        <f t="shared" si="25"/>
        <v>7.4103817487060905E-18</v>
      </c>
      <c r="G667" s="396">
        <v>43721</v>
      </c>
      <c r="H667" s="32">
        <v>1.70068</v>
      </c>
    </row>
    <row r="668" spans="2:8" x14ac:dyDescent="0.3">
      <c r="B668" s="379">
        <f t="shared" si="26"/>
        <v>591</v>
      </c>
      <c r="C668" s="380">
        <v>43661</v>
      </c>
      <c r="D668" s="4">
        <v>2.09</v>
      </c>
      <c r="E668" s="381">
        <f t="shared" si="25"/>
        <v>7.8833848390490319E-18</v>
      </c>
      <c r="G668" s="396">
        <v>43724</v>
      </c>
      <c r="H668" s="32">
        <v>1.7531099999999999</v>
      </c>
    </row>
    <row r="669" spans="2:8" x14ac:dyDescent="0.3">
      <c r="B669" s="379">
        <f t="shared" si="26"/>
        <v>590</v>
      </c>
      <c r="C669" s="380">
        <v>43662</v>
      </c>
      <c r="D669" s="4">
        <v>2.13</v>
      </c>
      <c r="E669" s="381">
        <f t="shared" si="25"/>
        <v>8.3865796160096102E-18</v>
      </c>
      <c r="G669" s="396">
        <v>43725</v>
      </c>
      <c r="H669" s="32">
        <v>1.7589600000000001</v>
      </c>
    </row>
    <row r="670" spans="2:8" x14ac:dyDescent="0.3">
      <c r="B670" s="379">
        <f t="shared" si="26"/>
        <v>589</v>
      </c>
      <c r="C670" s="380">
        <v>43663</v>
      </c>
      <c r="D670" s="4">
        <v>2.06</v>
      </c>
      <c r="E670" s="381">
        <f t="shared" si="25"/>
        <v>8.9218932085208609E-18</v>
      </c>
      <c r="G670" s="396">
        <v>43726</v>
      </c>
      <c r="H670" s="32">
        <v>1.7423299999999999</v>
      </c>
    </row>
    <row r="671" spans="2:8" x14ac:dyDescent="0.3">
      <c r="B671" s="379">
        <f t="shared" si="26"/>
        <v>588</v>
      </c>
      <c r="C671" s="380">
        <v>43664</v>
      </c>
      <c r="D671" s="4">
        <v>2.04</v>
      </c>
      <c r="E671" s="381">
        <f t="shared" si="25"/>
        <v>9.4913757537455987E-18</v>
      </c>
      <c r="G671" s="396">
        <v>43727</v>
      </c>
      <c r="H671" s="32">
        <v>1.72488</v>
      </c>
    </row>
    <row r="672" spans="2:8" x14ac:dyDescent="0.3">
      <c r="B672" s="379">
        <f t="shared" si="26"/>
        <v>587</v>
      </c>
      <c r="C672" s="380">
        <v>43665</v>
      </c>
      <c r="D672" s="4">
        <v>2.0499999999999998</v>
      </c>
      <c r="E672" s="381">
        <f t="shared" si="25"/>
        <v>1.0097208248665529E-17</v>
      </c>
      <c r="G672" s="396">
        <v>43728</v>
      </c>
      <c r="H672" s="32">
        <v>1.7433700000000001</v>
      </c>
    </row>
    <row r="673" spans="2:8" x14ac:dyDescent="0.3">
      <c r="B673" s="379">
        <f t="shared" si="26"/>
        <v>586</v>
      </c>
      <c r="C673" s="380">
        <v>43668</v>
      </c>
      <c r="D673" s="4">
        <v>2.0499999999999998</v>
      </c>
      <c r="E673" s="381">
        <f t="shared" si="25"/>
        <v>1.0741710902835669E-17</v>
      </c>
      <c r="G673" s="396">
        <v>43731</v>
      </c>
      <c r="H673" s="32">
        <v>1.73068</v>
      </c>
    </row>
    <row r="674" spans="2:8" x14ac:dyDescent="0.3">
      <c r="B674" s="379">
        <f t="shared" si="26"/>
        <v>585</v>
      </c>
      <c r="C674" s="380">
        <v>43669</v>
      </c>
      <c r="D674" s="4">
        <v>2.08</v>
      </c>
      <c r="E674" s="381">
        <f t="shared" si="25"/>
        <v>1.1427352024293264E-17</v>
      </c>
      <c r="G674" s="396">
        <v>43732</v>
      </c>
      <c r="H674" s="32">
        <v>1.8210200000000001</v>
      </c>
    </row>
    <row r="675" spans="2:8" x14ac:dyDescent="0.3">
      <c r="B675" s="379">
        <f t="shared" si="26"/>
        <v>584</v>
      </c>
      <c r="C675" s="380">
        <v>43670</v>
      </c>
      <c r="D675" s="4">
        <v>2.0499999999999998</v>
      </c>
      <c r="E675" s="381">
        <f t="shared" si="25"/>
        <v>1.2156757472652411E-17</v>
      </c>
      <c r="G675" s="396">
        <v>43733</v>
      </c>
      <c r="H675" s="32">
        <v>1.79515</v>
      </c>
    </row>
    <row r="676" spans="2:8" x14ac:dyDescent="0.3">
      <c r="B676" s="379">
        <f t="shared" si="26"/>
        <v>583</v>
      </c>
      <c r="C676" s="380">
        <v>43671</v>
      </c>
      <c r="D676" s="4">
        <v>2.08</v>
      </c>
      <c r="E676" s="381">
        <f t="shared" si="25"/>
        <v>1.2932720715587669E-17</v>
      </c>
      <c r="G676" s="396">
        <v>43734</v>
      </c>
      <c r="H676" s="32">
        <v>1.8061499999999999</v>
      </c>
    </row>
    <row r="677" spans="2:8" x14ac:dyDescent="0.3">
      <c r="B677" s="379">
        <f t="shared" si="26"/>
        <v>582</v>
      </c>
      <c r="C677" s="380">
        <v>43672</v>
      </c>
      <c r="D677" s="4">
        <v>2.08</v>
      </c>
      <c r="E677" s="381">
        <f t="shared" si="25"/>
        <v>1.3758213527220926E-17</v>
      </c>
      <c r="G677" s="396">
        <v>43735</v>
      </c>
      <c r="H677" s="32">
        <v>1.83832</v>
      </c>
    </row>
    <row r="678" spans="2:8" x14ac:dyDescent="0.3">
      <c r="B678" s="379">
        <f t="shared" si="26"/>
        <v>581</v>
      </c>
      <c r="C678" s="380">
        <v>43675</v>
      </c>
      <c r="D678" s="4">
        <v>2.06</v>
      </c>
      <c r="E678" s="381">
        <f t="shared" si="25"/>
        <v>1.4636397369383962E-17</v>
      </c>
      <c r="G678" s="396">
        <v>43738</v>
      </c>
      <c r="H678" s="32">
        <v>1.82514</v>
      </c>
    </row>
    <row r="679" spans="2:8" x14ac:dyDescent="0.3">
      <c r="B679" s="379">
        <f t="shared" si="26"/>
        <v>580</v>
      </c>
      <c r="C679" s="380">
        <v>43676</v>
      </c>
      <c r="D679" s="4">
        <v>2.06</v>
      </c>
      <c r="E679" s="381">
        <f t="shared" si="25"/>
        <v>1.5570635499344644E-17</v>
      </c>
      <c r="G679" s="396">
        <v>43739</v>
      </c>
      <c r="H679" s="32">
        <v>1.85626</v>
      </c>
    </row>
    <row r="680" spans="2:8" x14ac:dyDescent="0.3">
      <c r="B680" s="379">
        <f t="shared" si="26"/>
        <v>579</v>
      </c>
      <c r="C680" s="380">
        <v>43677</v>
      </c>
      <c r="D680" s="4">
        <v>2.02</v>
      </c>
      <c r="E680" s="381">
        <f t="shared" si="25"/>
        <v>1.6564505850366643E-17</v>
      </c>
      <c r="G680" s="396">
        <v>43740</v>
      </c>
      <c r="H680" s="32">
        <v>1.9165300000000001</v>
      </c>
    </row>
    <row r="681" spans="2:8" x14ac:dyDescent="0.3">
      <c r="B681" s="379">
        <f t="shared" si="26"/>
        <v>578</v>
      </c>
      <c r="C681" s="380">
        <v>43678</v>
      </c>
      <c r="D681" s="4">
        <v>1.9</v>
      </c>
      <c r="E681" s="381">
        <f t="shared" si="25"/>
        <v>1.7621814734432599E-17</v>
      </c>
      <c r="G681" s="396">
        <v>43741</v>
      </c>
      <c r="H681" s="32">
        <v>1.9391</v>
      </c>
    </row>
    <row r="682" spans="2:8" x14ac:dyDescent="0.3">
      <c r="B682" s="379">
        <f t="shared" si="26"/>
        <v>577</v>
      </c>
      <c r="C682" s="380">
        <v>43679</v>
      </c>
      <c r="D682" s="4">
        <v>1.86</v>
      </c>
      <c r="E682" s="381">
        <f t="shared" si="25"/>
        <v>1.8746611419609149E-17</v>
      </c>
      <c r="G682" s="396">
        <v>43742</v>
      </c>
      <c r="H682" s="32">
        <v>1.8870499999999999</v>
      </c>
    </row>
    <row r="683" spans="2:8" x14ac:dyDescent="0.3">
      <c r="B683" s="379">
        <f t="shared" si="26"/>
        <v>576</v>
      </c>
      <c r="C683" s="380">
        <v>43682</v>
      </c>
      <c r="D683" s="4">
        <v>1.75</v>
      </c>
      <c r="E683" s="381">
        <f t="shared" si="25"/>
        <v>1.9943203637882074E-17</v>
      </c>
      <c r="G683" s="396">
        <v>43745</v>
      </c>
      <c r="H683" s="32">
        <v>1.83494</v>
      </c>
    </row>
    <row r="684" spans="2:8" x14ac:dyDescent="0.3">
      <c r="B684" s="379">
        <f t="shared" si="26"/>
        <v>575</v>
      </c>
      <c r="C684" s="380">
        <v>43683</v>
      </c>
      <c r="D684" s="4">
        <v>1.73</v>
      </c>
      <c r="E684" s="381">
        <f t="shared" si="25"/>
        <v>2.1216174082853269E-17</v>
      </c>
      <c r="G684" s="396">
        <v>43746</v>
      </c>
      <c r="H684" s="32">
        <v>1.8544499999999999</v>
      </c>
    </row>
    <row r="685" spans="2:8" x14ac:dyDescent="0.3">
      <c r="B685" s="379">
        <f t="shared" si="26"/>
        <v>574</v>
      </c>
      <c r="C685" s="380">
        <v>43684</v>
      </c>
      <c r="D685" s="4">
        <v>1.71</v>
      </c>
      <c r="E685" s="381">
        <f t="shared" si="25"/>
        <v>2.2570397960482203E-17</v>
      </c>
      <c r="G685" s="396">
        <v>43747</v>
      </c>
      <c r="H685" s="32">
        <v>1.8295699999999999</v>
      </c>
    </row>
    <row r="686" spans="2:8" x14ac:dyDescent="0.3">
      <c r="B686" s="379">
        <f t="shared" si="26"/>
        <v>573</v>
      </c>
      <c r="C686" s="380">
        <v>43685</v>
      </c>
      <c r="D686" s="4">
        <v>1.72</v>
      </c>
      <c r="E686" s="381">
        <f t="shared" si="25"/>
        <v>2.4011061660087447E-17</v>
      </c>
      <c r="G686" s="396">
        <v>43748</v>
      </c>
      <c r="H686" s="32">
        <v>1.7991600000000001</v>
      </c>
    </row>
    <row r="687" spans="2:8" x14ac:dyDescent="0.3">
      <c r="B687" s="379">
        <f t="shared" si="26"/>
        <v>572</v>
      </c>
      <c r="C687" s="380">
        <v>43686</v>
      </c>
      <c r="D687" s="4">
        <v>1.74</v>
      </c>
      <c r="E687" s="381">
        <f t="shared" si="25"/>
        <v>2.5543682617114309E-17</v>
      </c>
      <c r="G687" s="396">
        <v>43749</v>
      </c>
      <c r="H687" s="32">
        <v>1.7376400000000001</v>
      </c>
    </row>
    <row r="688" spans="2:8" x14ac:dyDescent="0.3">
      <c r="B688" s="379">
        <f t="shared" si="26"/>
        <v>571</v>
      </c>
      <c r="C688" s="380">
        <v>43689</v>
      </c>
      <c r="D688" s="4">
        <v>1.65</v>
      </c>
      <c r="E688" s="381">
        <f t="shared" si="25"/>
        <v>2.7174130443738627E-17</v>
      </c>
      <c r="G688" s="396">
        <v>43753</v>
      </c>
      <c r="H688" s="32">
        <v>1.73803</v>
      </c>
    </row>
    <row r="689" spans="2:8" x14ac:dyDescent="0.3">
      <c r="B689" s="379">
        <f t="shared" si="26"/>
        <v>570</v>
      </c>
      <c r="C689" s="380">
        <v>43690</v>
      </c>
      <c r="D689" s="4">
        <v>1.68</v>
      </c>
      <c r="E689" s="381">
        <f t="shared" si="25"/>
        <v>2.8908649408232584E-17</v>
      </c>
      <c r="G689" s="396">
        <v>43754</v>
      </c>
      <c r="H689" s="32">
        <v>1.74929</v>
      </c>
    </row>
    <row r="690" spans="2:8" x14ac:dyDescent="0.3">
      <c r="B690" s="379">
        <f t="shared" si="26"/>
        <v>569</v>
      </c>
      <c r="C690" s="380">
        <v>43691</v>
      </c>
      <c r="D690" s="4">
        <v>1.59</v>
      </c>
      <c r="E690" s="381">
        <f t="shared" si="25"/>
        <v>3.0753882349183598E-17</v>
      </c>
      <c r="G690" s="396">
        <v>43755</v>
      </c>
      <c r="H690" s="32">
        <v>1.7738499999999999</v>
      </c>
    </row>
    <row r="691" spans="2:8" x14ac:dyDescent="0.3">
      <c r="B691" s="379">
        <f t="shared" si="26"/>
        <v>568</v>
      </c>
      <c r="C691" s="380">
        <v>43692</v>
      </c>
      <c r="D691" s="4">
        <v>1.52</v>
      </c>
      <c r="E691" s="381">
        <f t="shared" si="25"/>
        <v>3.2716896116152765E-17</v>
      </c>
      <c r="G691" s="396">
        <v>43756</v>
      </c>
      <c r="H691" s="32">
        <v>1.75942</v>
      </c>
    </row>
    <row r="692" spans="2:8" x14ac:dyDescent="0.3">
      <c r="B692" s="379">
        <f t="shared" si="26"/>
        <v>567</v>
      </c>
      <c r="C692" s="380">
        <v>43693</v>
      </c>
      <c r="D692" s="4">
        <v>1.55</v>
      </c>
      <c r="E692" s="381">
        <f t="shared" si="25"/>
        <v>3.4805208634205066E-17</v>
      </c>
      <c r="G692" s="396">
        <v>43759</v>
      </c>
      <c r="H692" s="32">
        <v>1.7234400000000001</v>
      </c>
    </row>
    <row r="693" spans="2:8" x14ac:dyDescent="0.3">
      <c r="B693" s="379">
        <f t="shared" si="26"/>
        <v>566</v>
      </c>
      <c r="C693" s="380">
        <v>43696</v>
      </c>
      <c r="D693" s="4">
        <v>1.6</v>
      </c>
      <c r="E693" s="381">
        <f t="shared" si="25"/>
        <v>3.7026817695962836E-17</v>
      </c>
      <c r="G693" s="396">
        <v>43760</v>
      </c>
      <c r="H693" s="32">
        <v>1.7321599999999999</v>
      </c>
    </row>
    <row r="694" spans="2:8" x14ac:dyDescent="0.3">
      <c r="B694" s="379">
        <f t="shared" si="26"/>
        <v>565</v>
      </c>
      <c r="C694" s="380">
        <v>43697</v>
      </c>
      <c r="D694" s="4">
        <v>1.55</v>
      </c>
      <c r="E694" s="381">
        <f t="shared" si="25"/>
        <v>3.9390231591449826E-17</v>
      </c>
      <c r="G694" s="396">
        <v>43761</v>
      </c>
      <c r="H694" s="32">
        <v>1.73929</v>
      </c>
    </row>
    <row r="695" spans="2:8" x14ac:dyDescent="0.3">
      <c r="B695" s="379">
        <f t="shared" si="26"/>
        <v>564</v>
      </c>
      <c r="C695" s="380">
        <v>43698</v>
      </c>
      <c r="D695" s="4">
        <v>1.59</v>
      </c>
      <c r="E695" s="381">
        <f t="shared" si="25"/>
        <v>4.1904501693031739E-17</v>
      </c>
      <c r="G695" s="396">
        <v>43762</v>
      </c>
      <c r="H695" s="32">
        <v>1.7301200000000001</v>
      </c>
    </row>
    <row r="696" spans="2:8" x14ac:dyDescent="0.3">
      <c r="B696" s="379">
        <f t="shared" si="26"/>
        <v>563</v>
      </c>
      <c r="C696" s="380">
        <v>43699</v>
      </c>
      <c r="D696" s="4">
        <v>1.62</v>
      </c>
      <c r="E696" s="381">
        <f t="shared" si="25"/>
        <v>4.457925712024652E-17</v>
      </c>
      <c r="G696" s="396">
        <v>43763</v>
      </c>
      <c r="H696" s="32">
        <v>1.69414</v>
      </c>
    </row>
    <row r="697" spans="2:8" x14ac:dyDescent="0.3">
      <c r="B697" s="379">
        <f t="shared" si="26"/>
        <v>562</v>
      </c>
      <c r="C697" s="380">
        <v>43700</v>
      </c>
      <c r="D697" s="4">
        <v>1.52</v>
      </c>
      <c r="E697" s="381">
        <f t="shared" si="25"/>
        <v>4.7424741617283547E-17</v>
      </c>
      <c r="G697" s="396">
        <v>43766</v>
      </c>
      <c r="H697" s="32">
        <v>1.69024</v>
      </c>
    </row>
    <row r="698" spans="2:8" x14ac:dyDescent="0.3">
      <c r="B698" s="379">
        <f t="shared" si="26"/>
        <v>561</v>
      </c>
      <c r="C698" s="380">
        <v>43703</v>
      </c>
      <c r="D698" s="4">
        <v>1.54</v>
      </c>
      <c r="E698" s="381">
        <f t="shared" si="25"/>
        <v>5.0451852784344197E-17</v>
      </c>
      <c r="G698" s="396">
        <v>43767</v>
      </c>
      <c r="H698" s="32">
        <v>1.7284299999999999</v>
      </c>
    </row>
    <row r="699" spans="2:8" x14ac:dyDescent="0.3">
      <c r="B699" s="379">
        <f t="shared" si="26"/>
        <v>560</v>
      </c>
      <c r="C699" s="380">
        <v>43704</v>
      </c>
      <c r="D699" s="4">
        <v>1.49</v>
      </c>
      <c r="E699" s="381">
        <f t="shared" si="25"/>
        <v>5.3672183813132119E-17</v>
      </c>
      <c r="G699" s="396">
        <v>43768</v>
      </c>
      <c r="H699" s="32">
        <v>1.80609</v>
      </c>
    </row>
    <row r="700" spans="2:8" x14ac:dyDescent="0.3">
      <c r="B700" s="379">
        <f t="shared" si="26"/>
        <v>559</v>
      </c>
      <c r="C700" s="380">
        <v>43705</v>
      </c>
      <c r="D700" s="4">
        <v>1.47</v>
      </c>
      <c r="E700" s="381">
        <f t="shared" si="25"/>
        <v>5.7098067886310765E-17</v>
      </c>
      <c r="G700" s="396">
        <v>43769</v>
      </c>
      <c r="H700" s="32">
        <v>1.8186199999999999</v>
      </c>
    </row>
    <row r="701" spans="2:8" x14ac:dyDescent="0.3">
      <c r="B701" s="379">
        <f t="shared" si="26"/>
        <v>558</v>
      </c>
      <c r="C701" s="380">
        <v>43706</v>
      </c>
      <c r="D701" s="4">
        <v>1.5</v>
      </c>
      <c r="E701" s="381">
        <f t="shared" si="25"/>
        <v>6.0742625410968907E-17</v>
      </c>
      <c r="G701" s="396">
        <v>43770</v>
      </c>
      <c r="H701" s="32">
        <v>1.7862100000000001</v>
      </c>
    </row>
    <row r="702" spans="2:8" x14ac:dyDescent="0.3">
      <c r="B702" s="379">
        <f t="shared" si="26"/>
        <v>557</v>
      </c>
      <c r="C702" s="380">
        <v>43707</v>
      </c>
      <c r="D702" s="4">
        <v>1.5</v>
      </c>
      <c r="E702" s="381">
        <f t="shared" si="25"/>
        <v>6.461981426698819E-17</v>
      </c>
      <c r="G702" s="396">
        <v>43773</v>
      </c>
      <c r="H702" s="32">
        <v>1.7597700000000001</v>
      </c>
    </row>
    <row r="703" spans="2:8" x14ac:dyDescent="0.3">
      <c r="B703" s="379">
        <f t="shared" si="26"/>
        <v>556</v>
      </c>
      <c r="C703" s="380">
        <v>43711</v>
      </c>
      <c r="D703" s="4">
        <v>1.47</v>
      </c>
      <c r="E703" s="381">
        <f t="shared" si="25"/>
        <v>6.8744483262753408E-17</v>
      </c>
      <c r="G703" s="396">
        <v>43774</v>
      </c>
      <c r="H703" s="32">
        <v>1.76478</v>
      </c>
    </row>
    <row r="704" spans="2:8" x14ac:dyDescent="0.3">
      <c r="B704" s="379">
        <f t="shared" si="26"/>
        <v>555</v>
      </c>
      <c r="C704" s="380">
        <v>43712</v>
      </c>
      <c r="D704" s="4">
        <v>1.47</v>
      </c>
      <c r="E704" s="381">
        <f t="shared" si="25"/>
        <v>7.3132429002929155E-17</v>
      </c>
      <c r="G704" s="396">
        <v>43775</v>
      </c>
      <c r="H704" s="32">
        <v>1.7887500000000001</v>
      </c>
    </row>
    <row r="705" spans="2:8" x14ac:dyDescent="0.3">
      <c r="B705" s="379">
        <f t="shared" si="26"/>
        <v>554</v>
      </c>
      <c r="C705" s="380">
        <v>43713</v>
      </c>
      <c r="D705" s="4">
        <v>1.57</v>
      </c>
      <c r="E705" s="381">
        <f t="shared" si="25"/>
        <v>7.7800456386094844E-17</v>
      </c>
      <c r="G705" s="396">
        <v>43776</v>
      </c>
      <c r="H705" s="32">
        <v>1.7296400000000001</v>
      </c>
    </row>
    <row r="706" spans="2:8" x14ac:dyDescent="0.3">
      <c r="B706" s="379">
        <f t="shared" si="26"/>
        <v>553</v>
      </c>
      <c r="C706" s="380">
        <v>43714</v>
      </c>
      <c r="D706" s="4">
        <v>1.55</v>
      </c>
      <c r="E706" s="381">
        <f t="shared" si="25"/>
        <v>8.2766442963930687E-17</v>
      </c>
      <c r="G706" s="396">
        <v>43777</v>
      </c>
      <c r="H706" s="32">
        <v>1.7145300000000001</v>
      </c>
    </row>
    <row r="707" spans="2:8" x14ac:dyDescent="0.3">
      <c r="B707" s="379">
        <f t="shared" si="26"/>
        <v>552</v>
      </c>
      <c r="C707" s="380">
        <v>43717</v>
      </c>
      <c r="D707" s="4">
        <v>1.63</v>
      </c>
      <c r="E707" s="381">
        <f t="shared" si="25"/>
        <v>8.8049407408436906E-17</v>
      </c>
      <c r="G707" s="396">
        <v>43781</v>
      </c>
      <c r="H707" s="32">
        <v>1.74458</v>
      </c>
    </row>
    <row r="708" spans="2:8" x14ac:dyDescent="0.3">
      <c r="B708" s="379">
        <f t="shared" si="26"/>
        <v>551</v>
      </c>
      <c r="C708" s="380">
        <v>43718</v>
      </c>
      <c r="D708" s="4">
        <v>1.72</v>
      </c>
      <c r="E708" s="381">
        <f t="shared" si="25"/>
        <v>9.3669582349400959E-17</v>
      </c>
      <c r="G708" s="396">
        <v>43782</v>
      </c>
      <c r="H708" s="32">
        <v>1.77542</v>
      </c>
    </row>
    <row r="709" spans="2:8" x14ac:dyDescent="0.3">
      <c r="B709" s="379">
        <f t="shared" si="26"/>
        <v>550</v>
      </c>
      <c r="C709" s="380">
        <v>43719</v>
      </c>
      <c r="D709" s="4">
        <v>1.75</v>
      </c>
      <c r="E709" s="381">
        <f t="shared" si="25"/>
        <v>9.9648491861064861E-17</v>
      </c>
      <c r="G709" s="396">
        <v>43783</v>
      </c>
      <c r="H709" s="32">
        <v>1.8106</v>
      </c>
    </row>
    <row r="710" spans="2:8" x14ac:dyDescent="0.3">
      <c r="B710" s="379">
        <f t="shared" si="26"/>
        <v>549</v>
      </c>
      <c r="C710" s="380">
        <v>43720</v>
      </c>
      <c r="D710" s="4">
        <v>1.79</v>
      </c>
      <c r="E710" s="381">
        <f t="shared" si="25"/>
        <v>1.0600903389474985E-16</v>
      </c>
      <c r="G710" s="396">
        <v>43784</v>
      </c>
      <c r="H710" s="32">
        <v>1.80714</v>
      </c>
    </row>
    <row r="711" spans="2:8" x14ac:dyDescent="0.3">
      <c r="B711" s="379">
        <f t="shared" si="26"/>
        <v>548</v>
      </c>
      <c r="C711" s="380">
        <v>43721</v>
      </c>
      <c r="D711" s="4">
        <v>1.9</v>
      </c>
      <c r="E711" s="381">
        <f t="shared" si="25"/>
        <v>1.1277556797313815E-16</v>
      </c>
      <c r="G711" s="396">
        <v>43787</v>
      </c>
      <c r="H711" s="32">
        <v>1.8547400000000001</v>
      </c>
    </row>
    <row r="712" spans="2:8" x14ac:dyDescent="0.3">
      <c r="B712" s="379">
        <f t="shared" si="26"/>
        <v>547</v>
      </c>
      <c r="C712" s="380">
        <v>43724</v>
      </c>
      <c r="D712" s="4">
        <v>1.84</v>
      </c>
      <c r="E712" s="381">
        <f t="shared" si="25"/>
        <v>1.1997400848206184E-16</v>
      </c>
      <c r="G712" s="396">
        <v>43788</v>
      </c>
      <c r="H712" s="32">
        <v>1.9173800000000001</v>
      </c>
    </row>
    <row r="713" spans="2:8" x14ac:dyDescent="0.3">
      <c r="B713" s="379">
        <f t="shared" si="26"/>
        <v>546</v>
      </c>
      <c r="C713" s="380">
        <v>43725</v>
      </c>
      <c r="D713" s="4">
        <v>1.81</v>
      </c>
      <c r="E713" s="381">
        <f t="shared" ref="E713:E776" si="27">+(1-$C$4)*$C$4^B713</f>
        <v>1.2763192391708709E-16</v>
      </c>
      <c r="G713" s="396">
        <v>43789</v>
      </c>
      <c r="H713" s="32">
        <v>1.9276899999999999</v>
      </c>
    </row>
    <row r="714" spans="2:8" x14ac:dyDescent="0.3">
      <c r="B714" s="379">
        <f t="shared" si="26"/>
        <v>545</v>
      </c>
      <c r="C714" s="380">
        <v>43726</v>
      </c>
      <c r="D714" s="4">
        <v>1.8</v>
      </c>
      <c r="E714" s="381">
        <f t="shared" si="27"/>
        <v>1.3577864246498627E-16</v>
      </c>
      <c r="G714" s="396">
        <v>43790</v>
      </c>
      <c r="H714" s="32">
        <v>1.8774999999999999</v>
      </c>
    </row>
    <row r="715" spans="2:8" x14ac:dyDescent="0.3">
      <c r="B715" s="379">
        <f t="shared" ref="B715:B778" si="28">+B714-1</f>
        <v>544</v>
      </c>
      <c r="C715" s="380">
        <v>43727</v>
      </c>
      <c r="D715" s="4">
        <v>1.79</v>
      </c>
      <c r="E715" s="381">
        <f t="shared" si="27"/>
        <v>1.4444536432445347E-16</v>
      </c>
      <c r="G715" s="396">
        <v>43791</v>
      </c>
      <c r="H715" s="32">
        <v>1.8349599999999999</v>
      </c>
    </row>
    <row r="716" spans="2:8" x14ac:dyDescent="0.3">
      <c r="B716" s="379">
        <f t="shared" si="28"/>
        <v>543</v>
      </c>
      <c r="C716" s="380">
        <v>43728</v>
      </c>
      <c r="D716" s="4">
        <v>1.74</v>
      </c>
      <c r="E716" s="381">
        <f t="shared" si="27"/>
        <v>1.536652811962271E-16</v>
      </c>
      <c r="G716" s="396">
        <v>43794</v>
      </c>
      <c r="H716" s="32">
        <v>1.8404</v>
      </c>
    </row>
    <row r="717" spans="2:8" x14ac:dyDescent="0.3">
      <c r="B717" s="379">
        <f t="shared" si="28"/>
        <v>542</v>
      </c>
      <c r="C717" s="380">
        <v>43731</v>
      </c>
      <c r="D717" s="4">
        <v>1.72</v>
      </c>
      <c r="E717" s="381">
        <f t="shared" si="27"/>
        <v>1.634737034002416E-16</v>
      </c>
      <c r="G717" s="396">
        <v>43795</v>
      </c>
      <c r="H717" s="32">
        <v>1.88995</v>
      </c>
    </row>
    <row r="718" spans="2:8" x14ac:dyDescent="0.3">
      <c r="B718" s="379">
        <f t="shared" si="28"/>
        <v>541</v>
      </c>
      <c r="C718" s="380">
        <v>43732</v>
      </c>
      <c r="D718" s="4">
        <v>1.64</v>
      </c>
      <c r="E718" s="381">
        <f t="shared" si="27"/>
        <v>1.7390819510663997E-16</v>
      </c>
      <c r="G718" s="396">
        <v>43796</v>
      </c>
      <c r="H718" s="32">
        <v>1.89</v>
      </c>
    </row>
    <row r="719" spans="2:8" x14ac:dyDescent="0.3">
      <c r="B719" s="379">
        <f t="shared" si="28"/>
        <v>540</v>
      </c>
      <c r="C719" s="380">
        <v>43733</v>
      </c>
      <c r="D719" s="4">
        <v>1.73</v>
      </c>
      <c r="E719" s="381">
        <f t="shared" si="27"/>
        <v>1.8500871819855322E-16</v>
      </c>
      <c r="G719" s="396">
        <v>43798</v>
      </c>
      <c r="H719" s="32">
        <v>1.8750599999999999</v>
      </c>
    </row>
    <row r="720" spans="2:8" x14ac:dyDescent="0.3">
      <c r="B720" s="379">
        <f t="shared" si="28"/>
        <v>539</v>
      </c>
      <c r="C720" s="380">
        <v>43734</v>
      </c>
      <c r="D720" s="4">
        <v>1.7</v>
      </c>
      <c r="E720" s="381">
        <f t="shared" si="27"/>
        <v>1.9681778531760976E-16</v>
      </c>
      <c r="G720" s="396">
        <v>43801</v>
      </c>
      <c r="H720" s="32">
        <v>1.8802399999999999</v>
      </c>
    </row>
    <row r="721" spans="2:8" x14ac:dyDescent="0.3">
      <c r="B721" s="379">
        <f t="shared" si="28"/>
        <v>538</v>
      </c>
      <c r="C721" s="380">
        <v>43735</v>
      </c>
      <c r="D721" s="4">
        <v>1.69</v>
      </c>
      <c r="E721" s="381">
        <f t="shared" si="27"/>
        <v>2.0938062267830828E-16</v>
      </c>
      <c r="G721" s="396">
        <v>43802</v>
      </c>
      <c r="H721" s="32">
        <v>1.97553</v>
      </c>
    </row>
    <row r="722" spans="2:8" x14ac:dyDescent="0.3">
      <c r="B722" s="379">
        <f t="shared" si="28"/>
        <v>537</v>
      </c>
      <c r="C722" s="380">
        <v>43738</v>
      </c>
      <c r="D722" s="4">
        <v>1.68</v>
      </c>
      <c r="E722" s="381">
        <f t="shared" si="27"/>
        <v>2.2274534327479603E-16</v>
      </c>
      <c r="G722" s="396">
        <v>43803</v>
      </c>
      <c r="H722" s="32">
        <v>1.8885099999999999</v>
      </c>
    </row>
    <row r="723" spans="2:8" x14ac:dyDescent="0.3">
      <c r="B723" s="379">
        <f t="shared" si="28"/>
        <v>536</v>
      </c>
      <c r="C723" s="380">
        <v>43739</v>
      </c>
      <c r="D723" s="4">
        <v>1.65</v>
      </c>
      <c r="E723" s="381">
        <f t="shared" si="27"/>
        <v>2.3696313114340008E-16</v>
      </c>
      <c r="G723" s="396">
        <v>43804</v>
      </c>
      <c r="H723" s="32">
        <v>1.8456900000000001</v>
      </c>
    </row>
    <row r="724" spans="2:8" x14ac:dyDescent="0.3">
      <c r="B724" s="379">
        <f t="shared" si="28"/>
        <v>535</v>
      </c>
      <c r="C724" s="380">
        <v>43740</v>
      </c>
      <c r="D724" s="4">
        <v>1.6</v>
      </c>
      <c r="E724" s="381">
        <f t="shared" si="27"/>
        <v>2.5208843738659583E-16</v>
      </c>
      <c r="G724" s="396">
        <v>43805</v>
      </c>
      <c r="H724" s="32">
        <v>1.77729</v>
      </c>
    </row>
    <row r="725" spans="2:8" x14ac:dyDescent="0.3">
      <c r="B725" s="379">
        <f t="shared" si="28"/>
        <v>534</v>
      </c>
      <c r="C725" s="380">
        <v>43741</v>
      </c>
      <c r="D725" s="4">
        <v>1.54</v>
      </c>
      <c r="E725" s="381">
        <f t="shared" si="27"/>
        <v>2.6817918870914445E-16</v>
      </c>
      <c r="G725" s="396">
        <v>43808</v>
      </c>
      <c r="H725" s="32">
        <v>1.7779100000000001</v>
      </c>
    </row>
    <row r="726" spans="2:8" x14ac:dyDescent="0.3">
      <c r="B726" s="379">
        <f t="shared" si="28"/>
        <v>533</v>
      </c>
      <c r="C726" s="380">
        <v>43742</v>
      </c>
      <c r="D726" s="4">
        <v>1.52</v>
      </c>
      <c r="E726" s="381">
        <f t="shared" si="27"/>
        <v>2.8529700926504725E-16</v>
      </c>
      <c r="G726" s="396">
        <v>43809</v>
      </c>
      <c r="H726" s="32">
        <v>1.75536</v>
      </c>
    </row>
    <row r="727" spans="2:8" x14ac:dyDescent="0.3">
      <c r="B727" s="379">
        <f t="shared" si="28"/>
        <v>532</v>
      </c>
      <c r="C727" s="380">
        <v>43745</v>
      </c>
      <c r="D727" s="4">
        <v>1.56</v>
      </c>
      <c r="E727" s="381">
        <f t="shared" si="27"/>
        <v>3.0350745666494393E-16</v>
      </c>
      <c r="G727" s="396">
        <v>43810</v>
      </c>
      <c r="H727" s="32">
        <v>1.7722899999999999</v>
      </c>
    </row>
    <row r="728" spans="2:8" x14ac:dyDescent="0.3">
      <c r="B728" s="379">
        <f t="shared" si="28"/>
        <v>531</v>
      </c>
      <c r="C728" s="380">
        <v>43746</v>
      </c>
      <c r="D728" s="4">
        <v>1.54</v>
      </c>
      <c r="E728" s="381">
        <f t="shared" si="27"/>
        <v>3.228802730478127E-16</v>
      </c>
      <c r="G728" s="396">
        <v>43811</v>
      </c>
      <c r="H728" s="32">
        <v>1.67415</v>
      </c>
    </row>
    <row r="729" spans="2:8" x14ac:dyDescent="0.3">
      <c r="B729" s="379">
        <f t="shared" si="28"/>
        <v>530</v>
      </c>
      <c r="C729" s="380">
        <v>43747</v>
      </c>
      <c r="D729" s="4">
        <v>1.59</v>
      </c>
      <c r="E729" s="381">
        <f t="shared" si="27"/>
        <v>3.4348965217852424E-16</v>
      </c>
      <c r="G729" s="396">
        <v>43812</v>
      </c>
      <c r="H729" s="32">
        <v>1.7023699999999999</v>
      </c>
    </row>
    <row r="730" spans="2:8" x14ac:dyDescent="0.3">
      <c r="B730" s="379">
        <f t="shared" si="28"/>
        <v>529</v>
      </c>
      <c r="C730" s="380">
        <v>43748</v>
      </c>
      <c r="D730" s="4">
        <v>1.67</v>
      </c>
      <c r="E730" s="381">
        <f t="shared" si="27"/>
        <v>3.6541452359417471E-16</v>
      </c>
      <c r="G730" s="396">
        <v>43815</v>
      </c>
      <c r="H730" s="32">
        <v>1.61931</v>
      </c>
    </row>
    <row r="731" spans="2:8" x14ac:dyDescent="0.3">
      <c r="B731" s="379">
        <f t="shared" si="28"/>
        <v>528</v>
      </c>
      <c r="C731" s="380">
        <v>43749</v>
      </c>
      <c r="D731" s="4">
        <v>1.76</v>
      </c>
      <c r="E731" s="381">
        <f t="shared" si="27"/>
        <v>3.8873885488741988E-16</v>
      </c>
      <c r="G731" s="396">
        <v>43816</v>
      </c>
      <c r="H731" s="32">
        <v>1.6246700000000001</v>
      </c>
    </row>
    <row r="732" spans="2:8" x14ac:dyDescent="0.3">
      <c r="B732" s="379">
        <f t="shared" si="28"/>
        <v>527</v>
      </c>
      <c r="C732" s="380">
        <v>43753</v>
      </c>
      <c r="D732" s="4">
        <v>1.77</v>
      </c>
      <c r="E732" s="381">
        <f t="shared" si="27"/>
        <v>4.1355197328448916E-16</v>
      </c>
      <c r="G732" s="396">
        <v>43817</v>
      </c>
      <c r="H732" s="32">
        <v>1.58799</v>
      </c>
    </row>
    <row r="733" spans="2:8" x14ac:dyDescent="0.3">
      <c r="B733" s="379">
        <f t="shared" si="28"/>
        <v>526</v>
      </c>
      <c r="C733" s="380">
        <v>43754</v>
      </c>
      <c r="D733" s="4">
        <v>1.75</v>
      </c>
      <c r="E733" s="381">
        <f t="shared" si="27"/>
        <v>4.3994890774945673E-16</v>
      </c>
      <c r="G733" s="396">
        <v>43818</v>
      </c>
      <c r="H733" s="32">
        <v>1.62839</v>
      </c>
    </row>
    <row r="734" spans="2:8" x14ac:dyDescent="0.3">
      <c r="B734" s="379">
        <f t="shared" si="28"/>
        <v>525</v>
      </c>
      <c r="C734" s="380">
        <v>43755</v>
      </c>
      <c r="D734" s="4">
        <v>1.76</v>
      </c>
      <c r="E734" s="381">
        <f t="shared" si="27"/>
        <v>4.6803075292495384E-16</v>
      </c>
      <c r="G734" s="396">
        <v>43819</v>
      </c>
      <c r="H734" s="32">
        <v>1.6326400000000001</v>
      </c>
    </row>
    <row r="735" spans="2:8" x14ac:dyDescent="0.3">
      <c r="B735" s="379">
        <f t="shared" si="28"/>
        <v>524</v>
      </c>
      <c r="C735" s="380">
        <v>43756</v>
      </c>
      <c r="D735" s="4">
        <v>1.76</v>
      </c>
      <c r="E735" s="381">
        <f t="shared" si="27"/>
        <v>4.9790505630314244E-16</v>
      </c>
      <c r="G735" s="396">
        <v>43822</v>
      </c>
      <c r="H735" s="32">
        <v>1.61951</v>
      </c>
    </row>
    <row r="736" spans="2:8" x14ac:dyDescent="0.3">
      <c r="B736" s="379">
        <f t="shared" si="28"/>
        <v>523</v>
      </c>
      <c r="C736" s="380">
        <v>43759</v>
      </c>
      <c r="D736" s="4">
        <v>1.8</v>
      </c>
      <c r="E736" s="381">
        <f t="shared" si="27"/>
        <v>5.2968623010972604E-16</v>
      </c>
      <c r="G736" s="396">
        <v>43823</v>
      </c>
      <c r="H736" s="32">
        <v>1.6400999999999999</v>
      </c>
    </row>
    <row r="737" spans="2:8" x14ac:dyDescent="0.3">
      <c r="B737" s="379">
        <f t="shared" si="28"/>
        <v>522</v>
      </c>
      <c r="C737" s="380">
        <v>43760</v>
      </c>
      <c r="D737" s="4">
        <v>1.78</v>
      </c>
      <c r="E737" s="381">
        <f t="shared" si="27"/>
        <v>5.6349598947843191E-16</v>
      </c>
      <c r="G737" s="396">
        <v>43825</v>
      </c>
      <c r="H737" s="32">
        <v>1.6478200000000001</v>
      </c>
    </row>
    <row r="738" spans="2:8" x14ac:dyDescent="0.3">
      <c r="B738" s="379">
        <f t="shared" si="28"/>
        <v>521</v>
      </c>
      <c r="C738" s="380">
        <v>43761</v>
      </c>
      <c r="D738" s="4">
        <v>1.77</v>
      </c>
      <c r="E738" s="381">
        <f t="shared" si="27"/>
        <v>5.994638185940765E-16</v>
      </c>
      <c r="G738" s="396">
        <v>43826</v>
      </c>
      <c r="H738" s="32">
        <v>1.65934</v>
      </c>
    </row>
    <row r="739" spans="2:8" x14ac:dyDescent="0.3">
      <c r="B739" s="379">
        <f t="shared" si="28"/>
        <v>520</v>
      </c>
      <c r="C739" s="380">
        <v>43762</v>
      </c>
      <c r="D739" s="4">
        <v>1.77</v>
      </c>
      <c r="E739" s="381">
        <f t="shared" si="27"/>
        <v>6.3772746658944307E-16</v>
      </c>
      <c r="G739" s="396">
        <v>43832</v>
      </c>
      <c r="H739" s="32">
        <v>1.6501300000000001</v>
      </c>
    </row>
    <row r="740" spans="2:8" x14ac:dyDescent="0.3">
      <c r="B740" s="379">
        <f t="shared" si="28"/>
        <v>519</v>
      </c>
      <c r="C740" s="380">
        <v>43763</v>
      </c>
      <c r="D740" s="4">
        <v>1.8</v>
      </c>
      <c r="E740" s="381">
        <f t="shared" si="27"/>
        <v>6.7843347509515223E-16</v>
      </c>
      <c r="G740" s="396">
        <v>43833</v>
      </c>
      <c r="H740" s="32">
        <v>1.7145300000000001</v>
      </c>
    </row>
    <row r="741" spans="2:8" x14ac:dyDescent="0.3">
      <c r="B741" s="379">
        <f t="shared" si="28"/>
        <v>518</v>
      </c>
      <c r="C741" s="380">
        <v>43766</v>
      </c>
      <c r="D741" s="4">
        <v>1.85</v>
      </c>
      <c r="E741" s="381">
        <f t="shared" si="27"/>
        <v>7.21737739462928E-16</v>
      </c>
      <c r="G741" s="396">
        <v>43836</v>
      </c>
      <c r="H741" s="32">
        <v>1.66588</v>
      </c>
    </row>
    <row r="742" spans="2:8" x14ac:dyDescent="0.3">
      <c r="B742" s="379">
        <f t="shared" si="28"/>
        <v>517</v>
      </c>
      <c r="C742" s="380">
        <v>43767</v>
      </c>
      <c r="D742" s="4">
        <v>1.84</v>
      </c>
      <c r="E742" s="381">
        <f t="shared" si="27"/>
        <v>7.6780610581162542E-16</v>
      </c>
      <c r="G742" s="396">
        <v>43837</v>
      </c>
      <c r="H742" s="32">
        <v>1.6724399999999999</v>
      </c>
    </row>
    <row r="743" spans="2:8" x14ac:dyDescent="0.3">
      <c r="B743" s="379">
        <f t="shared" si="28"/>
        <v>516</v>
      </c>
      <c r="C743" s="380">
        <v>43768</v>
      </c>
      <c r="D743" s="4">
        <v>1.78</v>
      </c>
      <c r="E743" s="381">
        <f t="shared" si="27"/>
        <v>8.1681500618258034E-16</v>
      </c>
      <c r="G743" s="396">
        <v>43838</v>
      </c>
      <c r="H743" s="32">
        <v>1.6306400000000001</v>
      </c>
    </row>
    <row r="744" spans="2:8" x14ac:dyDescent="0.3">
      <c r="B744" s="379">
        <f t="shared" si="28"/>
        <v>515</v>
      </c>
      <c r="C744" s="380">
        <v>43769</v>
      </c>
      <c r="D744" s="4">
        <v>1.69</v>
      </c>
      <c r="E744" s="381">
        <f t="shared" si="27"/>
        <v>8.6895213423678759E-16</v>
      </c>
      <c r="G744" s="396">
        <v>43839</v>
      </c>
      <c r="H744" s="32">
        <v>1.6656299999999999</v>
      </c>
    </row>
    <row r="745" spans="2:8" x14ac:dyDescent="0.3">
      <c r="B745" s="379">
        <f t="shared" si="28"/>
        <v>514</v>
      </c>
      <c r="C745" s="380">
        <v>43770</v>
      </c>
      <c r="D745" s="4">
        <v>1.73</v>
      </c>
      <c r="E745" s="381">
        <f t="shared" si="27"/>
        <v>9.2441716408168905E-16</v>
      </c>
      <c r="G745" s="396">
        <v>43840</v>
      </c>
      <c r="H745" s="32">
        <v>1.68459</v>
      </c>
    </row>
    <row r="746" spans="2:8" x14ac:dyDescent="0.3">
      <c r="B746" s="379">
        <f t="shared" si="28"/>
        <v>513</v>
      </c>
      <c r="C746" s="380">
        <v>43773</v>
      </c>
      <c r="D746" s="4">
        <v>1.79</v>
      </c>
      <c r="E746" s="381">
        <f t="shared" si="27"/>
        <v>9.8342251498052012E-16</v>
      </c>
      <c r="G746" s="396">
        <v>43843</v>
      </c>
      <c r="H746" s="32">
        <v>1.66998</v>
      </c>
    </row>
    <row r="747" spans="2:8" x14ac:dyDescent="0.3">
      <c r="B747" s="379">
        <f t="shared" si="28"/>
        <v>512</v>
      </c>
      <c r="C747" s="380">
        <v>43774</v>
      </c>
      <c r="D747" s="4">
        <v>1.86</v>
      </c>
      <c r="E747" s="381">
        <f t="shared" si="27"/>
        <v>1.0461941648728938E-15</v>
      </c>
      <c r="G747" s="396">
        <v>43844</v>
      </c>
      <c r="H747" s="32">
        <v>1.6809700000000001</v>
      </c>
    </row>
    <row r="748" spans="2:8" x14ac:dyDescent="0.3">
      <c r="B748" s="379">
        <f t="shared" si="28"/>
        <v>511</v>
      </c>
      <c r="C748" s="380">
        <v>43775</v>
      </c>
      <c r="D748" s="4">
        <v>1.81</v>
      </c>
      <c r="E748" s="381">
        <f t="shared" si="27"/>
        <v>1.1129725158222273E-15</v>
      </c>
      <c r="G748" s="396">
        <v>43845</v>
      </c>
      <c r="H748" s="32">
        <v>1.68848</v>
      </c>
    </row>
    <row r="749" spans="2:8" x14ac:dyDescent="0.3">
      <c r="B749" s="379">
        <f t="shared" si="28"/>
        <v>510</v>
      </c>
      <c r="C749" s="380">
        <v>43776</v>
      </c>
      <c r="D749" s="4">
        <v>1.92</v>
      </c>
      <c r="E749" s="381">
        <f t="shared" si="27"/>
        <v>1.1840133147044973E-15</v>
      </c>
      <c r="G749" s="396">
        <v>43846</v>
      </c>
      <c r="H749" s="32">
        <v>1.68221</v>
      </c>
    </row>
    <row r="750" spans="2:8" x14ac:dyDescent="0.3">
      <c r="B750" s="379">
        <f t="shared" si="28"/>
        <v>509</v>
      </c>
      <c r="C750" s="380">
        <v>43777</v>
      </c>
      <c r="D750" s="4">
        <v>1.94</v>
      </c>
      <c r="E750" s="381">
        <f t="shared" si="27"/>
        <v>1.2595886326643588E-15</v>
      </c>
      <c r="G750" s="396">
        <v>43847</v>
      </c>
      <c r="H750" s="32">
        <v>1.65072</v>
      </c>
    </row>
    <row r="751" spans="2:8" x14ac:dyDescent="0.3">
      <c r="B751" s="379">
        <f t="shared" si="28"/>
        <v>508</v>
      </c>
      <c r="C751" s="380">
        <v>43781</v>
      </c>
      <c r="D751" s="4">
        <v>1.92</v>
      </c>
      <c r="E751" s="381">
        <f t="shared" si="27"/>
        <v>1.3399879070897435E-15</v>
      </c>
      <c r="G751" s="396">
        <v>43852</v>
      </c>
      <c r="H751" s="32">
        <v>1.7032700000000001</v>
      </c>
    </row>
    <row r="752" spans="2:8" x14ac:dyDescent="0.3">
      <c r="B752" s="379">
        <f t="shared" si="28"/>
        <v>507</v>
      </c>
      <c r="C752" s="380">
        <v>43782</v>
      </c>
      <c r="D752" s="4">
        <v>1.88</v>
      </c>
      <c r="E752" s="381">
        <f t="shared" si="27"/>
        <v>1.425519050095472E-15</v>
      </c>
      <c r="G752" s="396">
        <v>43853</v>
      </c>
      <c r="H752" s="32">
        <v>1.73817</v>
      </c>
    </row>
    <row r="753" spans="2:8" x14ac:dyDescent="0.3">
      <c r="B753" s="379">
        <f t="shared" si="28"/>
        <v>506</v>
      </c>
      <c r="C753" s="380">
        <v>43783</v>
      </c>
      <c r="D753" s="4">
        <v>1.82</v>
      </c>
      <c r="E753" s="381">
        <f t="shared" si="27"/>
        <v>1.5165096277611401E-15</v>
      </c>
      <c r="G753" s="396">
        <v>43858</v>
      </c>
      <c r="H753" s="32">
        <v>1.7666999999999999</v>
      </c>
    </row>
    <row r="754" spans="2:8" x14ac:dyDescent="0.3">
      <c r="B754" s="379">
        <f t="shared" si="28"/>
        <v>505</v>
      </c>
      <c r="C754" s="380">
        <v>43784</v>
      </c>
      <c r="D754" s="4">
        <v>1.84</v>
      </c>
      <c r="E754" s="381">
        <f t="shared" si="27"/>
        <v>1.6133081146395108E-15</v>
      </c>
      <c r="G754" s="396">
        <v>43859</v>
      </c>
      <c r="H754" s="32">
        <v>1.7775000000000001</v>
      </c>
    </row>
    <row r="755" spans="2:8" x14ac:dyDescent="0.3">
      <c r="B755" s="379">
        <f t="shared" si="28"/>
        <v>504</v>
      </c>
      <c r="C755" s="380">
        <v>43787</v>
      </c>
      <c r="D755" s="4">
        <v>1.81</v>
      </c>
      <c r="E755" s="381">
        <f t="shared" si="27"/>
        <v>1.7162852283399053E-15</v>
      </c>
      <c r="G755" s="396">
        <v>43860</v>
      </c>
      <c r="H755" s="32">
        <v>1.7493099999999999</v>
      </c>
    </row>
    <row r="756" spans="2:8" x14ac:dyDescent="0.3">
      <c r="B756" s="379">
        <f t="shared" si="28"/>
        <v>503</v>
      </c>
      <c r="C756" s="380">
        <v>43788</v>
      </c>
      <c r="D756" s="4">
        <v>1.79</v>
      </c>
      <c r="E756" s="381">
        <f t="shared" si="27"/>
        <v>1.8258353492977716E-15</v>
      </c>
      <c r="G756" s="396">
        <v>43861</v>
      </c>
      <c r="H756" s="32">
        <v>1.7567900000000001</v>
      </c>
    </row>
    <row r="757" spans="2:8" x14ac:dyDescent="0.3">
      <c r="B757" s="379">
        <f t="shared" si="28"/>
        <v>502</v>
      </c>
      <c r="C757" s="380">
        <v>43789</v>
      </c>
      <c r="D757" s="4">
        <v>1.73</v>
      </c>
      <c r="E757" s="381">
        <f t="shared" si="27"/>
        <v>1.9423780311678425E-15</v>
      </c>
      <c r="G757" s="396">
        <v>43864</v>
      </c>
      <c r="H757" s="32">
        <v>1.7631300000000001</v>
      </c>
    </row>
    <row r="758" spans="2:8" x14ac:dyDescent="0.3">
      <c r="B758" s="379">
        <f t="shared" si="28"/>
        <v>501</v>
      </c>
      <c r="C758" s="380">
        <v>43790</v>
      </c>
      <c r="D758" s="4">
        <v>1.77</v>
      </c>
      <c r="E758" s="381">
        <f t="shared" si="27"/>
        <v>2.0663596076253638E-15</v>
      </c>
      <c r="G758" s="396">
        <v>43865</v>
      </c>
      <c r="H758" s="32">
        <v>1.7251300000000001</v>
      </c>
    </row>
    <row r="759" spans="2:8" x14ac:dyDescent="0.3">
      <c r="B759" s="379">
        <f t="shared" si="28"/>
        <v>500</v>
      </c>
      <c r="C759" s="380">
        <v>43791</v>
      </c>
      <c r="D759" s="4">
        <v>1.77</v>
      </c>
      <c r="E759" s="381">
        <f t="shared" si="27"/>
        <v>2.1982549017291106E-15</v>
      </c>
      <c r="G759" s="396">
        <v>43866</v>
      </c>
      <c r="H759" s="32">
        <v>1.67363</v>
      </c>
    </row>
    <row r="760" spans="2:8" x14ac:dyDescent="0.3">
      <c r="B760" s="379">
        <f t="shared" si="28"/>
        <v>499</v>
      </c>
      <c r="C760" s="380">
        <v>43794</v>
      </c>
      <c r="D760" s="4">
        <v>1.76</v>
      </c>
      <c r="E760" s="381">
        <f t="shared" si="27"/>
        <v>2.3385690443926704E-15</v>
      </c>
      <c r="G760" s="396">
        <v>43867</v>
      </c>
      <c r="H760" s="32">
        <v>1.6764600000000001</v>
      </c>
    </row>
    <row r="761" spans="2:8" x14ac:dyDescent="0.3">
      <c r="B761" s="379">
        <f t="shared" si="28"/>
        <v>498</v>
      </c>
      <c r="C761" s="380">
        <v>43795</v>
      </c>
      <c r="D761" s="4">
        <v>1.74</v>
      </c>
      <c r="E761" s="381">
        <f t="shared" si="27"/>
        <v>2.4878394089283734E-15</v>
      </c>
      <c r="G761" s="396">
        <v>43868</v>
      </c>
      <c r="H761" s="32">
        <v>1.7061900000000001</v>
      </c>
    </row>
    <row r="762" spans="2:8" x14ac:dyDescent="0.3">
      <c r="B762" s="379">
        <f t="shared" si="28"/>
        <v>497</v>
      </c>
      <c r="C762" s="380">
        <v>43796</v>
      </c>
      <c r="D762" s="4">
        <v>1.77</v>
      </c>
      <c r="E762" s="381">
        <f t="shared" si="27"/>
        <v>2.6466376690727382E-15</v>
      </c>
      <c r="G762" s="396">
        <v>43871</v>
      </c>
      <c r="H762" s="32">
        <v>1.7272099999999999</v>
      </c>
    </row>
    <row r="763" spans="2:8" x14ac:dyDescent="0.3">
      <c r="B763" s="379">
        <f t="shared" si="28"/>
        <v>496</v>
      </c>
      <c r="C763" s="380">
        <v>43798</v>
      </c>
      <c r="D763" s="4">
        <v>1.78</v>
      </c>
      <c r="E763" s="381">
        <f t="shared" si="27"/>
        <v>2.8155719883752532E-15</v>
      </c>
      <c r="G763" s="396">
        <v>43872</v>
      </c>
      <c r="H763" s="32">
        <v>1.6834800000000001</v>
      </c>
    </row>
    <row r="764" spans="2:8" x14ac:dyDescent="0.3">
      <c r="B764" s="379">
        <f t="shared" si="28"/>
        <v>495</v>
      </c>
      <c r="C764" s="380">
        <v>43801</v>
      </c>
      <c r="D764" s="4">
        <v>1.83</v>
      </c>
      <c r="E764" s="381">
        <f t="shared" si="27"/>
        <v>2.9952893493353751E-15</v>
      </c>
      <c r="G764" s="396">
        <v>43873</v>
      </c>
      <c r="H764" s="32">
        <v>1.65099</v>
      </c>
    </row>
    <row r="765" spans="2:8" x14ac:dyDescent="0.3">
      <c r="B765" s="379">
        <f t="shared" si="28"/>
        <v>494</v>
      </c>
      <c r="C765" s="380">
        <v>43802</v>
      </c>
      <c r="D765" s="4">
        <v>1.72</v>
      </c>
      <c r="E765" s="381">
        <f t="shared" si="27"/>
        <v>3.1864780312078466E-15</v>
      </c>
      <c r="G765" s="396">
        <v>43874</v>
      </c>
      <c r="H765" s="32">
        <v>1.65452</v>
      </c>
    </row>
    <row r="766" spans="2:8" x14ac:dyDescent="0.3">
      <c r="B766" s="379">
        <f t="shared" si="28"/>
        <v>493</v>
      </c>
      <c r="C766" s="380">
        <v>43803</v>
      </c>
      <c r="D766" s="4">
        <v>1.77</v>
      </c>
      <c r="E766" s="381">
        <f t="shared" si="27"/>
        <v>3.3898702459657937E-15</v>
      </c>
      <c r="G766" s="396">
        <v>43875</v>
      </c>
      <c r="H766" s="32">
        <v>1.6462699999999999</v>
      </c>
    </row>
    <row r="767" spans="2:8" x14ac:dyDescent="0.3">
      <c r="B767" s="379">
        <f t="shared" si="28"/>
        <v>492</v>
      </c>
      <c r="C767" s="380">
        <v>43804</v>
      </c>
      <c r="D767" s="4">
        <v>1.8</v>
      </c>
      <c r="E767" s="381">
        <f t="shared" si="27"/>
        <v>3.606244942516803E-15</v>
      </c>
      <c r="G767" s="396">
        <v>43879</v>
      </c>
      <c r="H767" s="32">
        <v>1.6575299999999999</v>
      </c>
    </row>
    <row r="768" spans="2:8" x14ac:dyDescent="0.3">
      <c r="B768" s="379">
        <f t="shared" si="28"/>
        <v>491</v>
      </c>
      <c r="C768" s="380">
        <v>43805</v>
      </c>
      <c r="D768" s="4">
        <v>1.84</v>
      </c>
      <c r="E768" s="381">
        <f t="shared" si="27"/>
        <v>3.8364307899114911E-15</v>
      </c>
      <c r="G768" s="396">
        <v>43880</v>
      </c>
      <c r="H768" s="32">
        <v>1.61886</v>
      </c>
    </row>
    <row r="769" spans="2:8" x14ac:dyDescent="0.3">
      <c r="B769" s="379">
        <f t="shared" si="28"/>
        <v>490</v>
      </c>
      <c r="C769" s="380">
        <v>43808</v>
      </c>
      <c r="D769" s="4">
        <v>1.83</v>
      </c>
      <c r="E769" s="381">
        <f t="shared" si="27"/>
        <v>4.0813093509696727E-15</v>
      </c>
      <c r="G769" s="396">
        <v>43881</v>
      </c>
      <c r="H769" s="32">
        <v>1.6526700000000001</v>
      </c>
    </row>
    <row r="770" spans="2:8" x14ac:dyDescent="0.3">
      <c r="B770" s="379">
        <f t="shared" si="28"/>
        <v>489</v>
      </c>
      <c r="C770" s="380">
        <v>43809</v>
      </c>
      <c r="D770" s="4">
        <v>1.85</v>
      </c>
      <c r="E770" s="381">
        <f t="shared" si="27"/>
        <v>4.3418184584783744E-15</v>
      </c>
      <c r="G770" s="396">
        <v>43882</v>
      </c>
      <c r="H770" s="32">
        <v>1.67353</v>
      </c>
    </row>
    <row r="771" spans="2:8" x14ac:dyDescent="0.3">
      <c r="B771" s="379">
        <f t="shared" si="28"/>
        <v>488</v>
      </c>
      <c r="C771" s="380">
        <v>43810</v>
      </c>
      <c r="D771" s="4">
        <v>1.79</v>
      </c>
      <c r="E771" s="381">
        <f t="shared" si="27"/>
        <v>4.6189558068918884E-15</v>
      </c>
      <c r="G771" s="396">
        <v>43885</v>
      </c>
      <c r="H771" s="32">
        <v>1.7234799999999999</v>
      </c>
    </row>
    <row r="772" spans="2:8" x14ac:dyDescent="0.3">
      <c r="B772" s="379">
        <f t="shared" si="28"/>
        <v>487</v>
      </c>
      <c r="C772" s="380">
        <v>43811</v>
      </c>
      <c r="D772" s="4">
        <v>1.9</v>
      </c>
      <c r="E772" s="381">
        <f t="shared" si="27"/>
        <v>4.9137827732892426E-15</v>
      </c>
      <c r="G772" s="396">
        <v>43886</v>
      </c>
      <c r="H772" s="32">
        <v>1.7977300000000001</v>
      </c>
    </row>
    <row r="773" spans="2:8" x14ac:dyDescent="0.3">
      <c r="B773" s="379">
        <f t="shared" si="28"/>
        <v>486</v>
      </c>
      <c r="C773" s="380">
        <v>43812</v>
      </c>
      <c r="D773" s="4">
        <v>1.82</v>
      </c>
      <c r="E773" s="381">
        <f t="shared" si="27"/>
        <v>5.2274284822225991E-15</v>
      </c>
      <c r="G773" s="396">
        <v>43887</v>
      </c>
      <c r="H773" s="32">
        <v>1.81846</v>
      </c>
    </row>
    <row r="774" spans="2:8" x14ac:dyDescent="0.3">
      <c r="B774" s="379">
        <f t="shared" si="28"/>
        <v>485</v>
      </c>
      <c r="C774" s="380">
        <v>43815</v>
      </c>
      <c r="D774" s="4">
        <v>1.89</v>
      </c>
      <c r="E774" s="381">
        <f t="shared" si="27"/>
        <v>5.5610941300240404E-15</v>
      </c>
      <c r="G774" s="396">
        <v>43888</v>
      </c>
      <c r="H774" s="32">
        <v>1.92364</v>
      </c>
    </row>
    <row r="775" spans="2:8" x14ac:dyDescent="0.3">
      <c r="B775" s="379">
        <f t="shared" si="28"/>
        <v>484</v>
      </c>
      <c r="C775" s="380">
        <v>43816</v>
      </c>
      <c r="D775" s="4">
        <v>1.89</v>
      </c>
      <c r="E775" s="381">
        <f t="shared" si="27"/>
        <v>5.9160575851319589E-15</v>
      </c>
      <c r="G775" s="396">
        <v>43889</v>
      </c>
      <c r="H775" s="32">
        <v>2.1215600000000001</v>
      </c>
    </row>
    <row r="776" spans="2:8" x14ac:dyDescent="0.3">
      <c r="B776" s="379">
        <f t="shared" si="28"/>
        <v>483</v>
      </c>
      <c r="C776" s="380">
        <v>43817</v>
      </c>
      <c r="D776" s="4">
        <v>1.92</v>
      </c>
      <c r="E776" s="381">
        <f t="shared" si="27"/>
        <v>6.293678282055275E-15</v>
      </c>
      <c r="G776" s="396">
        <v>43892</v>
      </c>
      <c r="H776" s="32">
        <v>2.05098</v>
      </c>
    </row>
    <row r="777" spans="2:8" x14ac:dyDescent="0.3">
      <c r="B777" s="379">
        <f t="shared" si="28"/>
        <v>482</v>
      </c>
      <c r="C777" s="380">
        <v>43818</v>
      </c>
      <c r="D777" s="4">
        <v>1.92</v>
      </c>
      <c r="E777" s="381">
        <f t="shared" ref="E777:E840" si="29">+(1-$C$4)*$C$4^B777</f>
        <v>6.6954024277183786E-15</v>
      </c>
      <c r="G777" s="396">
        <v>43893</v>
      </c>
      <c r="H777" s="32">
        <v>1.9974799999999999</v>
      </c>
    </row>
    <row r="778" spans="2:8" x14ac:dyDescent="0.3">
      <c r="B778" s="379">
        <f t="shared" si="28"/>
        <v>481</v>
      </c>
      <c r="C778" s="380">
        <v>43819</v>
      </c>
      <c r="D778" s="4">
        <v>1.92</v>
      </c>
      <c r="E778" s="381">
        <f t="shared" si="29"/>
        <v>7.122768540125936E-15</v>
      </c>
      <c r="G778" s="396">
        <v>43894</v>
      </c>
      <c r="H778" s="32">
        <v>1.88931</v>
      </c>
    </row>
    <row r="779" spans="2:8" x14ac:dyDescent="0.3">
      <c r="B779" s="379">
        <f t="shared" ref="B779:B842" si="30">+B778-1</f>
        <v>480</v>
      </c>
      <c r="C779" s="380">
        <v>43822</v>
      </c>
      <c r="D779" s="4">
        <v>1.93</v>
      </c>
      <c r="E779" s="381">
        <f t="shared" si="29"/>
        <v>7.5774133405595055E-15</v>
      </c>
      <c r="G779" s="396">
        <v>43895</v>
      </c>
      <c r="H779" s="32">
        <v>2.0085500000000001</v>
      </c>
    </row>
    <row r="780" spans="2:8" x14ac:dyDescent="0.3">
      <c r="B780" s="379">
        <f t="shared" si="30"/>
        <v>479</v>
      </c>
      <c r="C780" s="380">
        <v>43823</v>
      </c>
      <c r="D780" s="4">
        <v>1.9</v>
      </c>
      <c r="E780" s="381">
        <f t="shared" si="29"/>
        <v>8.0610780218718147E-15</v>
      </c>
      <c r="G780" s="396">
        <v>43896</v>
      </c>
      <c r="H780" s="32">
        <v>2.2009400000000001</v>
      </c>
    </row>
    <row r="781" spans="2:8" x14ac:dyDescent="0.3">
      <c r="B781" s="379">
        <f t="shared" si="30"/>
        <v>478</v>
      </c>
      <c r="C781" s="380">
        <v>43825</v>
      </c>
      <c r="D781" s="4">
        <v>1.9</v>
      </c>
      <c r="E781" s="381">
        <f t="shared" si="29"/>
        <v>8.5756149168849102E-15</v>
      </c>
      <c r="G781" s="396">
        <v>43899</v>
      </c>
      <c r="H781" s="32">
        <v>2.8438099999999999</v>
      </c>
    </row>
    <row r="782" spans="2:8" x14ac:dyDescent="0.3">
      <c r="B782" s="379">
        <f t="shared" si="30"/>
        <v>477</v>
      </c>
      <c r="C782" s="380">
        <v>43826</v>
      </c>
      <c r="D782" s="4">
        <v>1.88</v>
      </c>
      <c r="E782" s="381">
        <f t="shared" si="29"/>
        <v>9.1229945924307537E-15</v>
      </c>
      <c r="G782" s="396">
        <v>43900</v>
      </c>
      <c r="H782" s="32">
        <v>2.6402999999999999</v>
      </c>
    </row>
    <row r="783" spans="2:8" x14ac:dyDescent="0.3">
      <c r="B783" s="379">
        <f t="shared" si="30"/>
        <v>476</v>
      </c>
      <c r="C783" s="380">
        <v>43829</v>
      </c>
      <c r="D783" s="4">
        <v>1.9</v>
      </c>
      <c r="E783" s="381">
        <f t="shared" si="29"/>
        <v>9.7053133962029317E-15</v>
      </c>
      <c r="G783" s="396">
        <v>43901</v>
      </c>
      <c r="H783" s="32">
        <v>2.9329000000000001</v>
      </c>
    </row>
    <row r="784" spans="2:8" x14ac:dyDescent="0.3">
      <c r="B784" s="379">
        <f t="shared" si="30"/>
        <v>475</v>
      </c>
      <c r="C784" s="380">
        <v>43830</v>
      </c>
      <c r="D784" s="4">
        <v>1.92</v>
      </c>
      <c r="E784" s="381">
        <f t="shared" si="29"/>
        <v>1.0324801485322265E-14</v>
      </c>
      <c r="G784" s="396">
        <v>43902</v>
      </c>
      <c r="H784" s="32">
        <v>3.5977999999999999</v>
      </c>
    </row>
    <row r="785" spans="2:8" x14ac:dyDescent="0.3">
      <c r="B785" s="379">
        <f t="shared" si="30"/>
        <v>474</v>
      </c>
      <c r="C785" s="380">
        <v>43832</v>
      </c>
      <c r="D785" s="4">
        <v>1.88</v>
      </c>
      <c r="E785" s="381">
        <f t="shared" si="29"/>
        <v>1.0983831367364112E-14</v>
      </c>
      <c r="G785" s="396">
        <v>43903</v>
      </c>
      <c r="H785" s="32">
        <v>3.3614299999999999</v>
      </c>
    </row>
    <row r="786" spans="2:8" x14ac:dyDescent="0.3">
      <c r="B786" s="379">
        <f t="shared" si="30"/>
        <v>473</v>
      </c>
      <c r="C786" s="380">
        <v>43833</v>
      </c>
      <c r="D786" s="4">
        <v>1.8</v>
      </c>
      <c r="E786" s="381">
        <f t="shared" si="29"/>
        <v>1.1684926986557567E-14</v>
      </c>
      <c r="G786" s="396">
        <v>43906</v>
      </c>
      <c r="H786" s="32">
        <v>4.04847</v>
      </c>
    </row>
    <row r="787" spans="2:8" x14ac:dyDescent="0.3">
      <c r="B787" s="379">
        <f t="shared" si="30"/>
        <v>472</v>
      </c>
      <c r="C787" s="380">
        <v>43836</v>
      </c>
      <c r="D787" s="4">
        <v>1.81</v>
      </c>
      <c r="E787" s="381">
        <f t="shared" si="29"/>
        <v>1.2430773389954858E-14</v>
      </c>
      <c r="G787" s="396">
        <v>43907</v>
      </c>
      <c r="H787" s="32">
        <v>3.8249</v>
      </c>
    </row>
    <row r="788" spans="2:8" x14ac:dyDescent="0.3">
      <c r="B788" s="379">
        <f t="shared" si="30"/>
        <v>471</v>
      </c>
      <c r="C788" s="380">
        <v>43837</v>
      </c>
      <c r="D788" s="4">
        <v>1.83</v>
      </c>
      <c r="E788" s="381">
        <f t="shared" si="29"/>
        <v>1.3224227010590274E-14</v>
      </c>
      <c r="G788" s="396">
        <v>43908</v>
      </c>
      <c r="H788" s="32">
        <v>4.6856200000000001</v>
      </c>
    </row>
    <row r="789" spans="2:8" x14ac:dyDescent="0.3">
      <c r="B789" s="379">
        <f t="shared" si="30"/>
        <v>470</v>
      </c>
      <c r="C789" s="380">
        <v>43838</v>
      </c>
      <c r="D789" s="4">
        <v>1.87</v>
      </c>
      <c r="E789" s="381">
        <f t="shared" si="29"/>
        <v>1.4068326607010934E-14</v>
      </c>
      <c r="G789" s="396">
        <v>43909</v>
      </c>
      <c r="H789" s="32">
        <v>4.9337900000000001</v>
      </c>
    </row>
    <row r="790" spans="2:8" x14ac:dyDescent="0.3">
      <c r="B790" s="379">
        <f t="shared" si="30"/>
        <v>469</v>
      </c>
      <c r="C790" s="380">
        <v>43839</v>
      </c>
      <c r="D790" s="4">
        <v>1.85</v>
      </c>
      <c r="E790" s="381">
        <f t="shared" si="29"/>
        <v>1.4966304901075455E-14</v>
      </c>
      <c r="G790" s="396">
        <v>43910</v>
      </c>
      <c r="H790" s="32">
        <v>4.6483999999999996</v>
      </c>
    </row>
    <row r="791" spans="2:8" x14ac:dyDescent="0.3">
      <c r="B791" s="379">
        <f t="shared" si="30"/>
        <v>468</v>
      </c>
      <c r="C791" s="380">
        <v>43840</v>
      </c>
      <c r="D791" s="4">
        <v>1.83</v>
      </c>
      <c r="E791" s="381">
        <f t="shared" si="29"/>
        <v>1.5921600958590913E-14</v>
      </c>
      <c r="G791" s="396">
        <v>43913</v>
      </c>
      <c r="H791" s="32">
        <v>4.8776999999999999</v>
      </c>
    </row>
    <row r="792" spans="2:8" x14ac:dyDescent="0.3">
      <c r="B792" s="379">
        <f t="shared" si="30"/>
        <v>467</v>
      </c>
      <c r="C792" s="380">
        <v>43843</v>
      </c>
      <c r="D792" s="4">
        <v>1.85</v>
      </c>
      <c r="E792" s="381">
        <f t="shared" si="29"/>
        <v>1.6937873360203103E-14</v>
      </c>
      <c r="G792" s="396">
        <v>43914</v>
      </c>
      <c r="H792" s="32">
        <v>4.5697900000000002</v>
      </c>
    </row>
    <row r="793" spans="2:8" x14ac:dyDescent="0.3">
      <c r="B793" s="379">
        <f t="shared" si="30"/>
        <v>466</v>
      </c>
      <c r="C793" s="380">
        <v>43844</v>
      </c>
      <c r="D793" s="4">
        <v>1.82</v>
      </c>
      <c r="E793" s="381">
        <f t="shared" si="29"/>
        <v>1.8019014212982025E-14</v>
      </c>
      <c r="G793" s="396">
        <v>43915</v>
      </c>
      <c r="H793" s="32">
        <v>3.79589</v>
      </c>
    </row>
    <row r="794" spans="2:8" x14ac:dyDescent="0.3">
      <c r="B794" s="379">
        <f t="shared" si="30"/>
        <v>465</v>
      </c>
      <c r="C794" s="380">
        <v>43845</v>
      </c>
      <c r="D794" s="4">
        <v>1.79</v>
      </c>
      <c r="E794" s="381">
        <f t="shared" si="29"/>
        <v>1.9169164056363857E-14</v>
      </c>
      <c r="G794" s="396">
        <v>43916</v>
      </c>
      <c r="H794" s="32">
        <v>3.4558200000000001</v>
      </c>
    </row>
    <row r="795" spans="2:8" x14ac:dyDescent="0.3">
      <c r="B795" s="379">
        <f t="shared" si="30"/>
        <v>464</v>
      </c>
      <c r="C795" s="380">
        <v>43846</v>
      </c>
      <c r="D795" s="4">
        <v>1.81</v>
      </c>
      <c r="E795" s="381">
        <f t="shared" si="29"/>
        <v>2.0392727719536017E-14</v>
      </c>
      <c r="G795" s="396">
        <v>43917</v>
      </c>
      <c r="H795" s="32">
        <v>3.89547</v>
      </c>
    </row>
    <row r="796" spans="2:8" x14ac:dyDescent="0.3">
      <c r="B796" s="379">
        <f t="shared" si="30"/>
        <v>463</v>
      </c>
      <c r="C796" s="380">
        <v>43847</v>
      </c>
      <c r="D796" s="4">
        <v>1.84</v>
      </c>
      <c r="E796" s="381">
        <f t="shared" si="29"/>
        <v>2.169439119099576E-14</v>
      </c>
      <c r="G796" s="396">
        <v>43920</v>
      </c>
      <c r="H796" s="32">
        <v>3.9076900000000001</v>
      </c>
    </row>
    <row r="797" spans="2:8" x14ac:dyDescent="0.3">
      <c r="B797" s="379">
        <f t="shared" si="30"/>
        <v>462</v>
      </c>
      <c r="C797" s="380">
        <v>43851</v>
      </c>
      <c r="D797" s="4">
        <v>1.78</v>
      </c>
      <c r="E797" s="381">
        <f t="shared" si="29"/>
        <v>2.3079139564889112E-14</v>
      </c>
      <c r="G797" s="396">
        <v>43921</v>
      </c>
      <c r="H797" s="32">
        <v>3.7639800000000001</v>
      </c>
    </row>
    <row r="798" spans="2:8" x14ac:dyDescent="0.3">
      <c r="B798" s="379">
        <f t="shared" si="30"/>
        <v>461</v>
      </c>
      <c r="C798" s="380">
        <v>43852</v>
      </c>
      <c r="D798" s="4">
        <v>1.77</v>
      </c>
      <c r="E798" s="381">
        <f t="shared" si="29"/>
        <v>2.4552276132860749E-14</v>
      </c>
      <c r="G798" s="396">
        <v>43922</v>
      </c>
      <c r="H798" s="32">
        <v>4.0472999999999999</v>
      </c>
    </row>
    <row r="799" spans="2:8" x14ac:dyDescent="0.3">
      <c r="B799" s="379">
        <f t="shared" si="30"/>
        <v>460</v>
      </c>
      <c r="C799" s="380">
        <v>43853</v>
      </c>
      <c r="D799" s="4">
        <v>1.74</v>
      </c>
      <c r="E799" s="381">
        <f t="shared" si="29"/>
        <v>2.611944269453272E-14</v>
      </c>
      <c r="G799" s="396">
        <v>43923</v>
      </c>
      <c r="H799" s="32">
        <v>4.09192</v>
      </c>
    </row>
    <row r="800" spans="2:8" x14ac:dyDescent="0.3">
      <c r="B800" s="379">
        <f t="shared" si="30"/>
        <v>459</v>
      </c>
      <c r="C800" s="380">
        <v>43854</v>
      </c>
      <c r="D800" s="4">
        <v>1.7</v>
      </c>
      <c r="E800" s="381">
        <f t="shared" si="29"/>
        <v>2.7786641164396508E-14</v>
      </c>
      <c r="G800" s="396">
        <v>43924</v>
      </c>
      <c r="H800" s="32">
        <v>4.1741700000000002</v>
      </c>
    </row>
    <row r="801" spans="2:8" x14ac:dyDescent="0.3">
      <c r="B801" s="379">
        <f t="shared" si="30"/>
        <v>458</v>
      </c>
      <c r="C801" s="380">
        <v>43857</v>
      </c>
      <c r="D801" s="4">
        <v>1.61</v>
      </c>
      <c r="E801" s="381">
        <f t="shared" si="29"/>
        <v>2.9560256557868624E-14</v>
      </c>
      <c r="G801" s="396">
        <v>43927</v>
      </c>
      <c r="H801" s="32">
        <v>3.9965199999999999</v>
      </c>
    </row>
    <row r="802" spans="2:8" x14ac:dyDescent="0.3">
      <c r="B802" s="379">
        <f t="shared" si="30"/>
        <v>457</v>
      </c>
      <c r="C802" s="380">
        <v>43858</v>
      </c>
      <c r="D802" s="4">
        <v>1.65</v>
      </c>
      <c r="E802" s="381">
        <f t="shared" si="29"/>
        <v>3.144708144454109E-14</v>
      </c>
      <c r="G802" s="396">
        <v>43928</v>
      </c>
      <c r="H802" s="32">
        <v>3.8525399999999999</v>
      </c>
    </row>
    <row r="803" spans="2:8" x14ac:dyDescent="0.3">
      <c r="B803" s="379">
        <f t="shared" si="30"/>
        <v>456</v>
      </c>
      <c r="C803" s="380">
        <v>43859</v>
      </c>
      <c r="D803" s="4">
        <v>1.6</v>
      </c>
      <c r="E803" s="381">
        <f t="shared" si="29"/>
        <v>3.3454341962277763E-14</v>
      </c>
      <c r="G803" s="396">
        <v>43929</v>
      </c>
      <c r="H803" s="32">
        <v>3.7954599999999998</v>
      </c>
    </row>
    <row r="804" spans="2:8" x14ac:dyDescent="0.3">
      <c r="B804" s="379">
        <f t="shared" si="30"/>
        <v>455</v>
      </c>
      <c r="C804" s="380">
        <v>43860</v>
      </c>
      <c r="D804" s="4">
        <v>1.57</v>
      </c>
      <c r="E804" s="381">
        <f t="shared" si="29"/>
        <v>3.5589725491784845E-14</v>
      </c>
      <c r="G804" s="396">
        <v>43930</v>
      </c>
      <c r="H804" s="32">
        <v>3.5452300000000001</v>
      </c>
    </row>
    <row r="805" spans="2:8" x14ac:dyDescent="0.3">
      <c r="B805" s="379">
        <f t="shared" si="30"/>
        <v>454</v>
      </c>
      <c r="C805" s="380">
        <v>43861</v>
      </c>
      <c r="D805" s="4">
        <v>1.51</v>
      </c>
      <c r="E805" s="381">
        <f t="shared" si="29"/>
        <v>3.7861410097643462E-14</v>
      </c>
      <c r="G805" s="396">
        <v>43934</v>
      </c>
      <c r="H805" s="32">
        <v>3.3992100000000001</v>
      </c>
    </row>
    <row r="806" spans="2:8" x14ac:dyDescent="0.3">
      <c r="B806" s="379">
        <f t="shared" si="30"/>
        <v>453</v>
      </c>
      <c r="C806" s="380">
        <v>43864</v>
      </c>
      <c r="D806" s="4">
        <v>1.54</v>
      </c>
      <c r="E806" s="381">
        <f t="shared" si="29"/>
        <v>4.0278095848556871E-14</v>
      </c>
      <c r="G806" s="396">
        <v>43935</v>
      </c>
      <c r="H806" s="32">
        <v>3.30952</v>
      </c>
    </row>
    <row r="807" spans="2:8" x14ac:dyDescent="0.3">
      <c r="B807" s="379">
        <f t="shared" si="30"/>
        <v>452</v>
      </c>
      <c r="C807" s="380">
        <v>43865</v>
      </c>
      <c r="D807" s="4">
        <v>1.61</v>
      </c>
      <c r="E807" s="381">
        <f t="shared" si="29"/>
        <v>4.2849038136762636E-14</v>
      </c>
      <c r="G807" s="396">
        <v>43936</v>
      </c>
      <c r="H807" s="32">
        <v>3.5872099999999998</v>
      </c>
    </row>
    <row r="808" spans="2:8" x14ac:dyDescent="0.3">
      <c r="B808" s="379">
        <f t="shared" si="30"/>
        <v>451</v>
      </c>
      <c r="C808" s="380">
        <v>43866</v>
      </c>
      <c r="D808" s="4">
        <v>1.66</v>
      </c>
      <c r="E808" s="381">
        <f t="shared" si="29"/>
        <v>4.5584083124215556E-14</v>
      </c>
      <c r="G808" s="396">
        <v>43937</v>
      </c>
      <c r="H808" s="32">
        <v>3.7414000000000001</v>
      </c>
    </row>
    <row r="809" spans="2:8" x14ac:dyDescent="0.3">
      <c r="B809" s="379">
        <f t="shared" si="30"/>
        <v>450</v>
      </c>
      <c r="C809" s="380">
        <v>43867</v>
      </c>
      <c r="D809" s="4">
        <v>1.65</v>
      </c>
      <c r="E809" s="381">
        <f t="shared" si="29"/>
        <v>4.8493705451293149E-14</v>
      </c>
      <c r="G809" s="396">
        <v>43938</v>
      </c>
      <c r="H809" s="32">
        <v>3.6823299999999999</v>
      </c>
    </row>
    <row r="810" spans="2:8" x14ac:dyDescent="0.3">
      <c r="B810" s="379">
        <f t="shared" si="30"/>
        <v>449</v>
      </c>
      <c r="C810" s="380">
        <v>43868</v>
      </c>
      <c r="D810" s="4">
        <v>1.59</v>
      </c>
      <c r="E810" s="381">
        <f t="shared" si="29"/>
        <v>5.1589048352439531E-14</v>
      </c>
      <c r="G810" s="396">
        <v>43941</v>
      </c>
      <c r="H810" s="32">
        <v>3.7810899999999998</v>
      </c>
    </row>
    <row r="811" spans="2:8" x14ac:dyDescent="0.3">
      <c r="B811" s="379">
        <f t="shared" si="30"/>
        <v>448</v>
      </c>
      <c r="C811" s="380">
        <v>43871</v>
      </c>
      <c r="D811" s="4">
        <v>1.56</v>
      </c>
      <c r="E811" s="381">
        <f t="shared" si="29"/>
        <v>5.4881966332382473E-14</v>
      </c>
      <c r="G811" s="396">
        <v>43942</v>
      </c>
      <c r="H811" s="32">
        <v>3.9775</v>
      </c>
    </row>
    <row r="812" spans="2:8" x14ac:dyDescent="0.3">
      <c r="B812" s="379">
        <f t="shared" si="30"/>
        <v>447</v>
      </c>
      <c r="C812" s="380">
        <v>43872</v>
      </c>
      <c r="D812" s="4">
        <v>1.59</v>
      </c>
      <c r="E812" s="381">
        <f t="shared" si="29"/>
        <v>5.8385070566364336E-14</v>
      </c>
      <c r="G812" s="396">
        <v>43943</v>
      </c>
      <c r="H812" s="32">
        <v>4.0458699999999999</v>
      </c>
    </row>
    <row r="813" spans="2:8" x14ac:dyDescent="0.3">
      <c r="B813" s="379">
        <f t="shared" si="30"/>
        <v>446</v>
      </c>
      <c r="C813" s="380">
        <v>43873</v>
      </c>
      <c r="D813" s="4">
        <v>1.62</v>
      </c>
      <c r="E813" s="381">
        <f t="shared" si="29"/>
        <v>6.2111777198259945E-14</v>
      </c>
      <c r="G813" s="396">
        <v>43944</v>
      </c>
      <c r="H813" s="32">
        <v>4.0899900000000002</v>
      </c>
    </row>
    <row r="814" spans="2:8" x14ac:dyDescent="0.3">
      <c r="B814" s="379">
        <f t="shared" si="30"/>
        <v>445</v>
      </c>
      <c r="C814" s="380">
        <v>43874</v>
      </c>
      <c r="D814" s="4">
        <v>1.61</v>
      </c>
      <c r="E814" s="381">
        <f t="shared" si="29"/>
        <v>6.6076358721553103E-14</v>
      </c>
      <c r="G814" s="396">
        <v>43945</v>
      </c>
      <c r="H814" s="32">
        <v>4.2016</v>
      </c>
    </row>
    <row r="815" spans="2:8" x14ac:dyDescent="0.3">
      <c r="B815" s="379">
        <f t="shared" si="30"/>
        <v>444</v>
      </c>
      <c r="C815" s="380">
        <v>43875</v>
      </c>
      <c r="D815" s="4">
        <v>1.59</v>
      </c>
      <c r="E815" s="381">
        <f t="shared" si="29"/>
        <v>7.029399863995014E-14</v>
      </c>
      <c r="G815" s="396">
        <v>43948</v>
      </c>
      <c r="H815" s="32">
        <v>4.2671299999999999</v>
      </c>
    </row>
    <row r="816" spans="2:8" x14ac:dyDescent="0.3">
      <c r="B816" s="379">
        <f t="shared" si="30"/>
        <v>443</v>
      </c>
      <c r="C816" s="380">
        <v>43879</v>
      </c>
      <c r="D816" s="4">
        <v>1.55</v>
      </c>
      <c r="E816" s="381">
        <f t="shared" si="29"/>
        <v>7.4780849616968218E-14</v>
      </c>
      <c r="G816" s="396">
        <v>43949</v>
      </c>
      <c r="H816" s="32">
        <v>4.29901</v>
      </c>
    </row>
    <row r="817" spans="2:8" x14ac:dyDescent="0.3">
      <c r="B817" s="379">
        <f t="shared" si="30"/>
        <v>442</v>
      </c>
      <c r="C817" s="380">
        <v>43880</v>
      </c>
      <c r="D817" s="4">
        <v>1.56</v>
      </c>
      <c r="E817" s="381">
        <f t="shared" si="29"/>
        <v>7.9554095337200248E-14</v>
      </c>
      <c r="G817" s="396">
        <v>43950</v>
      </c>
      <c r="H817" s="32">
        <v>4.1783299999999999</v>
      </c>
    </row>
    <row r="818" spans="2:8" x14ac:dyDescent="0.3">
      <c r="B818" s="379">
        <f t="shared" si="30"/>
        <v>441</v>
      </c>
      <c r="C818" s="380">
        <v>43881</v>
      </c>
      <c r="D818" s="4">
        <v>1.52</v>
      </c>
      <c r="E818" s="381">
        <f t="shared" si="29"/>
        <v>8.463201631617047E-14</v>
      </c>
      <c r="G818" s="396">
        <v>43951</v>
      </c>
      <c r="H818" s="32">
        <v>3.9238</v>
      </c>
    </row>
    <row r="819" spans="2:8" x14ac:dyDescent="0.3">
      <c r="B819" s="379">
        <f t="shared" si="30"/>
        <v>440</v>
      </c>
      <c r="C819" s="380">
        <v>43882</v>
      </c>
      <c r="D819" s="4">
        <v>1.46</v>
      </c>
      <c r="E819" s="381">
        <f t="shared" si="29"/>
        <v>9.0034059910819663E-14</v>
      </c>
      <c r="G819" s="396">
        <v>43952</v>
      </c>
      <c r="H819" s="32">
        <v>3.8742000000000001</v>
      </c>
    </row>
    <row r="820" spans="2:8" x14ac:dyDescent="0.3">
      <c r="B820" s="379">
        <f t="shared" si="30"/>
        <v>439</v>
      </c>
      <c r="C820" s="380">
        <v>43885</v>
      </c>
      <c r="D820" s="4">
        <v>1.38</v>
      </c>
      <c r="E820" s="381">
        <f t="shared" si="29"/>
        <v>9.5780914798744306E-14</v>
      </c>
      <c r="G820" s="396">
        <v>43955</v>
      </c>
      <c r="H820" s="32">
        <v>3.84355</v>
      </c>
    </row>
    <row r="821" spans="2:8" x14ac:dyDescent="0.3">
      <c r="B821" s="379">
        <f t="shared" si="30"/>
        <v>438</v>
      </c>
      <c r="C821" s="380">
        <v>43886</v>
      </c>
      <c r="D821" s="4">
        <v>1.33</v>
      </c>
      <c r="E821" s="381">
        <f t="shared" si="29"/>
        <v>1.0189459021143012E-13</v>
      </c>
      <c r="G821" s="396">
        <v>43956</v>
      </c>
      <c r="H821" s="32">
        <v>3.6633</v>
      </c>
    </row>
    <row r="822" spans="2:8" x14ac:dyDescent="0.3">
      <c r="B822" s="379">
        <f t="shared" si="30"/>
        <v>437</v>
      </c>
      <c r="C822" s="380">
        <v>43887</v>
      </c>
      <c r="D822" s="4">
        <v>1.33</v>
      </c>
      <c r="E822" s="381">
        <f t="shared" si="29"/>
        <v>1.0839850022492565E-13</v>
      </c>
      <c r="G822" s="396">
        <v>43957</v>
      </c>
      <c r="H822" s="32">
        <v>3.6556299999999999</v>
      </c>
    </row>
    <row r="823" spans="2:8" x14ac:dyDescent="0.3">
      <c r="B823" s="379">
        <f t="shared" si="30"/>
        <v>436</v>
      </c>
      <c r="C823" s="380">
        <v>43888</v>
      </c>
      <c r="D823" s="4">
        <v>1.3</v>
      </c>
      <c r="E823" s="381">
        <f t="shared" si="29"/>
        <v>1.1531755343077199E-13</v>
      </c>
      <c r="G823" s="396">
        <v>43958</v>
      </c>
      <c r="H823" s="32">
        <v>3.6687699999999999</v>
      </c>
    </row>
    <row r="824" spans="2:8" x14ac:dyDescent="0.3">
      <c r="B824" s="379">
        <f t="shared" si="30"/>
        <v>435</v>
      </c>
      <c r="C824" s="380">
        <v>43889</v>
      </c>
      <c r="D824" s="4">
        <v>1.1299999999999999</v>
      </c>
      <c r="E824" s="381">
        <f t="shared" si="29"/>
        <v>1.2267824833060848E-13</v>
      </c>
      <c r="G824" s="396">
        <v>43959</v>
      </c>
      <c r="H824" s="32">
        <v>3.51193</v>
      </c>
    </row>
    <row r="825" spans="2:8" x14ac:dyDescent="0.3">
      <c r="B825" s="379">
        <f t="shared" si="30"/>
        <v>434</v>
      </c>
      <c r="C825" s="380">
        <v>43892</v>
      </c>
      <c r="D825" s="4">
        <v>1.1000000000000001</v>
      </c>
      <c r="E825" s="381">
        <f t="shared" si="29"/>
        <v>1.3050877481979629E-13</v>
      </c>
      <c r="G825" s="396">
        <v>43962</v>
      </c>
      <c r="H825" s="32">
        <v>3.4571800000000001</v>
      </c>
    </row>
    <row r="826" spans="2:8" x14ac:dyDescent="0.3">
      <c r="B826" s="379">
        <f t="shared" si="30"/>
        <v>433</v>
      </c>
      <c r="C826" s="380">
        <v>43893</v>
      </c>
      <c r="D826" s="4">
        <v>1.02</v>
      </c>
      <c r="E826" s="381">
        <f t="shared" si="29"/>
        <v>1.3883912214871943E-13</v>
      </c>
      <c r="G826" s="396">
        <v>43963</v>
      </c>
      <c r="H826" s="32">
        <v>3.4663400000000002</v>
      </c>
    </row>
    <row r="827" spans="2:8" x14ac:dyDescent="0.3">
      <c r="B827" s="379">
        <f t="shared" si="30"/>
        <v>432</v>
      </c>
      <c r="C827" s="380">
        <v>43894</v>
      </c>
      <c r="D827" s="4">
        <v>1.02</v>
      </c>
      <c r="E827" s="381">
        <f t="shared" si="29"/>
        <v>1.4770119377523345E-13</v>
      </c>
      <c r="G827" s="396">
        <v>43964</v>
      </c>
      <c r="H827" s="32">
        <v>3.60188</v>
      </c>
    </row>
    <row r="828" spans="2:8" x14ac:dyDescent="0.3">
      <c r="B828" s="379">
        <f t="shared" si="30"/>
        <v>431</v>
      </c>
      <c r="C828" s="380">
        <v>43895</v>
      </c>
      <c r="D828" s="4">
        <v>0.92</v>
      </c>
      <c r="E828" s="381">
        <f t="shared" si="29"/>
        <v>1.5712892954812069E-13</v>
      </c>
      <c r="G828" s="396">
        <v>43965</v>
      </c>
      <c r="H828" s="32">
        <v>3.68493</v>
      </c>
    </row>
    <row r="829" spans="2:8" x14ac:dyDescent="0.3">
      <c r="B829" s="379">
        <f t="shared" si="30"/>
        <v>430</v>
      </c>
      <c r="C829" s="380">
        <v>43896</v>
      </c>
      <c r="D829" s="4">
        <v>0.74</v>
      </c>
      <c r="E829" s="381">
        <f t="shared" si="29"/>
        <v>1.6715843568949013E-13</v>
      </c>
      <c r="G829" s="396">
        <v>43966</v>
      </c>
      <c r="H829" s="32">
        <v>3.6067</v>
      </c>
    </row>
    <row r="830" spans="2:8" x14ac:dyDescent="0.3">
      <c r="B830" s="379">
        <f t="shared" si="30"/>
        <v>429</v>
      </c>
      <c r="C830" s="380">
        <v>43899</v>
      </c>
      <c r="D830" s="4">
        <v>0.54</v>
      </c>
      <c r="E830" s="381">
        <f t="shared" si="29"/>
        <v>1.7782812307392563E-13</v>
      </c>
      <c r="G830" s="396">
        <v>43969</v>
      </c>
      <c r="H830" s="32">
        <v>3.3771599999999999</v>
      </c>
    </row>
    <row r="831" spans="2:8" x14ac:dyDescent="0.3">
      <c r="B831" s="379">
        <f t="shared" si="30"/>
        <v>428</v>
      </c>
      <c r="C831" s="380">
        <v>43900</v>
      </c>
      <c r="D831" s="4">
        <v>0.76</v>
      </c>
      <c r="E831" s="381">
        <f t="shared" si="29"/>
        <v>1.8917885433396347E-13</v>
      </c>
      <c r="G831" s="396">
        <v>43970</v>
      </c>
      <c r="H831" s="32">
        <v>3.3516400000000002</v>
      </c>
    </row>
    <row r="832" spans="2:8" x14ac:dyDescent="0.3">
      <c r="B832" s="379">
        <f t="shared" si="30"/>
        <v>427</v>
      </c>
      <c r="C832" s="380">
        <v>43901</v>
      </c>
      <c r="D832" s="4">
        <v>0.82</v>
      </c>
      <c r="E832" s="381">
        <f t="shared" si="29"/>
        <v>2.012541003552803E-13</v>
      </c>
      <c r="G832" s="396">
        <v>43971</v>
      </c>
      <c r="H832" s="32">
        <v>3.2079800000000001</v>
      </c>
    </row>
    <row r="833" spans="2:8" x14ac:dyDescent="0.3">
      <c r="B833" s="379">
        <f t="shared" si="30"/>
        <v>426</v>
      </c>
      <c r="C833" s="380">
        <v>43902</v>
      </c>
      <c r="D833" s="4">
        <v>0.88</v>
      </c>
      <c r="E833" s="381">
        <f t="shared" si="29"/>
        <v>2.1410010676093648E-13</v>
      </c>
      <c r="G833" s="396">
        <v>43972</v>
      </c>
      <c r="H833" s="32">
        <v>3.0249999999999999</v>
      </c>
    </row>
    <row r="834" spans="2:8" x14ac:dyDescent="0.3">
      <c r="B834" s="379">
        <f t="shared" si="30"/>
        <v>425</v>
      </c>
      <c r="C834" s="380">
        <v>43903</v>
      </c>
      <c r="D834" s="4">
        <v>0.94</v>
      </c>
      <c r="E834" s="381">
        <f t="shared" si="29"/>
        <v>2.2776607102227287E-13</v>
      </c>
      <c r="G834" s="396">
        <v>43973</v>
      </c>
      <c r="H834" s="32">
        <v>2.9821200000000001</v>
      </c>
    </row>
    <row r="835" spans="2:8" x14ac:dyDescent="0.3">
      <c r="B835" s="379">
        <f t="shared" si="30"/>
        <v>424</v>
      </c>
      <c r="C835" s="380">
        <v>43906</v>
      </c>
      <c r="D835" s="4">
        <v>0.73</v>
      </c>
      <c r="E835" s="381">
        <f t="shared" si="29"/>
        <v>2.4230433087475834E-13</v>
      </c>
      <c r="G835" s="396">
        <v>43977</v>
      </c>
      <c r="H835" s="32">
        <v>2.8568899999999999</v>
      </c>
    </row>
    <row r="836" spans="2:8" x14ac:dyDescent="0.3">
      <c r="B836" s="379">
        <f t="shared" si="30"/>
        <v>423</v>
      </c>
      <c r="C836" s="380">
        <v>43907</v>
      </c>
      <c r="D836" s="4">
        <v>1.02</v>
      </c>
      <c r="E836" s="381">
        <f t="shared" si="29"/>
        <v>2.5777056476038123E-13</v>
      </c>
      <c r="G836" s="396">
        <v>43978</v>
      </c>
      <c r="H836" s="32">
        <v>2.88009</v>
      </c>
    </row>
    <row r="837" spans="2:8" x14ac:dyDescent="0.3">
      <c r="B837" s="379">
        <f t="shared" si="30"/>
        <v>422</v>
      </c>
      <c r="C837" s="380">
        <v>43908</v>
      </c>
      <c r="D837" s="4">
        <v>1.18</v>
      </c>
      <c r="E837" s="381">
        <f t="shared" si="29"/>
        <v>2.7422400506423539E-13</v>
      </c>
      <c r="G837" s="396">
        <v>43979</v>
      </c>
      <c r="H837" s="32">
        <v>2.8352499999999998</v>
      </c>
    </row>
    <row r="838" spans="2:8" x14ac:dyDescent="0.3">
      <c r="B838" s="379">
        <f t="shared" si="30"/>
        <v>421</v>
      </c>
      <c r="C838" s="380">
        <v>43909</v>
      </c>
      <c r="D838" s="4">
        <v>1.1200000000000001</v>
      </c>
      <c r="E838" s="381">
        <f t="shared" si="29"/>
        <v>2.9172766496195246E-13</v>
      </c>
      <c r="G838" s="396">
        <v>43980</v>
      </c>
      <c r="H838" s="32">
        <v>2.8848400000000001</v>
      </c>
    </row>
    <row r="839" spans="2:8" x14ac:dyDescent="0.3">
      <c r="B839" s="379">
        <f t="shared" si="30"/>
        <v>420</v>
      </c>
      <c r="C839" s="380">
        <v>43910</v>
      </c>
      <c r="D839" s="4">
        <v>0.92</v>
      </c>
      <c r="E839" s="381">
        <f t="shared" si="29"/>
        <v>3.1034857974675804E-13</v>
      </c>
      <c r="G839" s="396">
        <v>43983</v>
      </c>
      <c r="H839" s="32">
        <v>2.8749400000000001</v>
      </c>
    </row>
    <row r="840" spans="2:8" x14ac:dyDescent="0.3">
      <c r="B840" s="379">
        <f t="shared" si="30"/>
        <v>419</v>
      </c>
      <c r="C840" s="380">
        <v>43913</v>
      </c>
      <c r="D840" s="4">
        <v>0.76</v>
      </c>
      <c r="E840" s="381">
        <f t="shared" si="29"/>
        <v>3.3015806356038084E-13</v>
      </c>
      <c r="G840" s="396">
        <v>43984</v>
      </c>
      <c r="H840" s="32">
        <v>2.7728000000000002</v>
      </c>
    </row>
    <row r="841" spans="2:8" x14ac:dyDescent="0.3">
      <c r="B841" s="379">
        <f t="shared" si="30"/>
        <v>418</v>
      </c>
      <c r="C841" s="380">
        <v>43914</v>
      </c>
      <c r="D841" s="4">
        <v>0.84</v>
      </c>
      <c r="E841" s="381">
        <f t="shared" ref="E841:E904" si="31">+(1-$C$4)*$C$4^B841</f>
        <v>3.512319825110435E-13</v>
      </c>
      <c r="G841" s="396">
        <v>43985</v>
      </c>
      <c r="H841" s="32">
        <v>2.6580900000000001</v>
      </c>
    </row>
    <row r="842" spans="2:8" x14ac:dyDescent="0.3">
      <c r="B842" s="379">
        <f t="shared" si="30"/>
        <v>417</v>
      </c>
      <c r="C842" s="380">
        <v>43915</v>
      </c>
      <c r="D842" s="4">
        <v>0.88</v>
      </c>
      <c r="E842" s="381">
        <f t="shared" si="31"/>
        <v>3.7365104522451439E-13</v>
      </c>
      <c r="G842" s="396">
        <v>43986</v>
      </c>
      <c r="H842" s="32">
        <v>2.7021299999999999</v>
      </c>
    </row>
    <row r="843" spans="2:8" x14ac:dyDescent="0.3">
      <c r="B843" s="379">
        <f t="shared" ref="B843:B906" si="32">+B842-1</f>
        <v>416</v>
      </c>
      <c r="C843" s="380">
        <v>43916</v>
      </c>
      <c r="D843" s="4">
        <v>0.83</v>
      </c>
      <c r="E843" s="381">
        <f t="shared" si="31"/>
        <v>3.9750111194097273E-13</v>
      </c>
      <c r="G843" s="396">
        <v>43987</v>
      </c>
      <c r="H843" s="32">
        <v>2.6598799999999998</v>
      </c>
    </row>
    <row r="844" spans="2:8" x14ac:dyDescent="0.3">
      <c r="B844" s="379">
        <f t="shared" si="32"/>
        <v>415</v>
      </c>
      <c r="C844" s="380">
        <v>43917</v>
      </c>
      <c r="D844" s="4">
        <v>0.72</v>
      </c>
      <c r="E844" s="381">
        <f t="shared" si="31"/>
        <v>4.2287352334146032E-13</v>
      </c>
      <c r="G844" s="396">
        <v>43990</v>
      </c>
      <c r="H844" s="32">
        <v>2.6362100000000002</v>
      </c>
    </row>
    <row r="845" spans="2:8" x14ac:dyDescent="0.3">
      <c r="B845" s="379">
        <f t="shared" si="32"/>
        <v>414</v>
      </c>
      <c r="C845" s="380">
        <v>43920</v>
      </c>
      <c r="D845" s="4">
        <v>0.7</v>
      </c>
      <c r="E845" s="381">
        <f t="shared" si="31"/>
        <v>4.4986545036325576E-13</v>
      </c>
      <c r="G845" s="396">
        <v>43991</v>
      </c>
      <c r="H845" s="32">
        <v>2.67767</v>
      </c>
    </row>
    <row r="846" spans="2:8" x14ac:dyDescent="0.3">
      <c r="B846" s="379">
        <f t="shared" si="32"/>
        <v>413</v>
      </c>
      <c r="C846" s="380">
        <v>43921</v>
      </c>
      <c r="D846" s="4">
        <v>0.7</v>
      </c>
      <c r="E846" s="381">
        <f t="shared" si="31"/>
        <v>4.7858026634388894E-13</v>
      </c>
      <c r="G846" s="396">
        <v>43992</v>
      </c>
      <c r="H846" s="32">
        <v>2.7640500000000001</v>
      </c>
    </row>
    <row r="847" spans="2:8" x14ac:dyDescent="0.3">
      <c r="B847" s="379">
        <f t="shared" si="32"/>
        <v>412</v>
      </c>
      <c r="C847" s="380">
        <v>43922</v>
      </c>
      <c r="D847" s="4">
        <v>0.62</v>
      </c>
      <c r="E847" s="381">
        <f t="shared" si="31"/>
        <v>5.0912794291903093E-13</v>
      </c>
      <c r="G847" s="396">
        <v>43993</v>
      </c>
      <c r="H847" s="32">
        <v>3.0107400000000002</v>
      </c>
    </row>
    <row r="848" spans="2:8" x14ac:dyDescent="0.3">
      <c r="B848" s="379">
        <f t="shared" si="32"/>
        <v>411</v>
      </c>
      <c r="C848" s="380">
        <v>43923</v>
      </c>
      <c r="D848" s="4">
        <v>0.63</v>
      </c>
      <c r="E848" s="381">
        <f t="shared" si="31"/>
        <v>5.4162547119045836E-13</v>
      </c>
      <c r="G848" s="396">
        <v>43994</v>
      </c>
      <c r="H848" s="32">
        <v>2.9705900000000001</v>
      </c>
    </row>
    <row r="849" spans="2:8" x14ac:dyDescent="0.3">
      <c r="B849" s="379">
        <f t="shared" si="32"/>
        <v>410</v>
      </c>
      <c r="C849" s="380">
        <v>43924</v>
      </c>
      <c r="D849" s="4">
        <v>0.62</v>
      </c>
      <c r="E849" s="381">
        <f t="shared" si="31"/>
        <v>5.7619730977708346E-13</v>
      </c>
      <c r="G849" s="396">
        <v>43997</v>
      </c>
      <c r="H849" s="32">
        <v>2.9679899999999999</v>
      </c>
    </row>
    <row r="850" spans="2:8" x14ac:dyDescent="0.3">
      <c r="B850" s="379">
        <f t="shared" si="32"/>
        <v>409</v>
      </c>
      <c r="C850" s="380">
        <v>43927</v>
      </c>
      <c r="D850" s="4">
        <v>0.67</v>
      </c>
      <c r="E850" s="381">
        <f t="shared" si="31"/>
        <v>6.129758614649824E-13</v>
      </c>
      <c r="G850" s="396">
        <v>43998</v>
      </c>
      <c r="H850" s="32">
        <v>2.7991299999999999</v>
      </c>
    </row>
    <row r="851" spans="2:8" x14ac:dyDescent="0.3">
      <c r="B851" s="379">
        <f t="shared" si="32"/>
        <v>408</v>
      </c>
      <c r="C851" s="380">
        <v>43928</v>
      </c>
      <c r="D851" s="4">
        <v>0.75</v>
      </c>
      <c r="E851" s="381">
        <f t="shared" si="31"/>
        <v>6.5210198028189612E-13</v>
      </c>
      <c r="G851" s="396">
        <v>43999</v>
      </c>
      <c r="H851" s="32">
        <v>2.9275099999999998</v>
      </c>
    </row>
    <row r="852" spans="2:8" x14ac:dyDescent="0.3">
      <c r="B852" s="379">
        <f t="shared" si="32"/>
        <v>407</v>
      </c>
      <c r="C852" s="380">
        <v>43929</v>
      </c>
      <c r="D852" s="4">
        <v>0.77</v>
      </c>
      <c r="E852" s="381">
        <f t="shared" si="31"/>
        <v>6.9372551093818743E-13</v>
      </c>
      <c r="G852" s="396">
        <v>44000</v>
      </c>
      <c r="H852" s="32">
        <v>2.95763</v>
      </c>
    </row>
    <row r="853" spans="2:8" x14ac:dyDescent="0.3">
      <c r="B853" s="379">
        <f t="shared" si="32"/>
        <v>406</v>
      </c>
      <c r="C853" s="380">
        <v>43930</v>
      </c>
      <c r="D853" s="4">
        <v>0.73</v>
      </c>
      <c r="E853" s="381">
        <f t="shared" si="31"/>
        <v>7.3800586270019935E-13</v>
      </c>
      <c r="G853" s="396">
        <v>44001</v>
      </c>
      <c r="H853" s="32">
        <v>2.9252600000000002</v>
      </c>
    </row>
    <row r="854" spans="2:8" x14ac:dyDescent="0.3">
      <c r="B854" s="379">
        <f t="shared" si="32"/>
        <v>405</v>
      </c>
      <c r="C854" s="380">
        <v>43934</v>
      </c>
      <c r="D854" s="4">
        <v>0.76</v>
      </c>
      <c r="E854" s="381">
        <f t="shared" si="31"/>
        <v>7.851126198938292E-13</v>
      </c>
      <c r="G854" s="396">
        <v>44004</v>
      </c>
      <c r="H854" s="32">
        <v>2.9581599999999999</v>
      </c>
    </row>
    <row r="855" spans="2:8" x14ac:dyDescent="0.3">
      <c r="B855" s="379">
        <f t="shared" si="32"/>
        <v>404</v>
      </c>
      <c r="C855" s="380">
        <v>43935</v>
      </c>
      <c r="D855" s="4">
        <v>0.76</v>
      </c>
      <c r="E855" s="381">
        <f t="shared" si="31"/>
        <v>8.3522619137641401E-13</v>
      </c>
      <c r="G855" s="396">
        <v>44005</v>
      </c>
      <c r="H855" s="32">
        <v>2.9456500000000001</v>
      </c>
    </row>
    <row r="856" spans="2:8" x14ac:dyDescent="0.3">
      <c r="B856" s="379">
        <f t="shared" si="32"/>
        <v>403</v>
      </c>
      <c r="C856" s="380">
        <v>43936</v>
      </c>
      <c r="D856" s="4">
        <v>0.63</v>
      </c>
      <c r="E856" s="381">
        <f t="shared" si="31"/>
        <v>8.8853850146427014E-13</v>
      </c>
      <c r="G856" s="396">
        <v>44006</v>
      </c>
      <c r="H856" s="32">
        <v>2.99335</v>
      </c>
    </row>
    <row r="857" spans="2:8" x14ac:dyDescent="0.3">
      <c r="B857" s="379">
        <f t="shared" si="32"/>
        <v>402</v>
      </c>
      <c r="C857" s="380">
        <v>43937</v>
      </c>
      <c r="D857" s="4">
        <v>0.61</v>
      </c>
      <c r="E857" s="381">
        <f t="shared" si="31"/>
        <v>9.4525372496198964E-13</v>
      </c>
      <c r="G857" s="396">
        <v>44007</v>
      </c>
      <c r="H857" s="32">
        <v>2.9859599999999999</v>
      </c>
    </row>
    <row r="858" spans="2:8" x14ac:dyDescent="0.3">
      <c r="B858" s="379">
        <f t="shared" si="32"/>
        <v>401</v>
      </c>
      <c r="C858" s="380">
        <v>43938</v>
      </c>
      <c r="D858" s="4">
        <v>0.65</v>
      </c>
      <c r="E858" s="381">
        <f t="shared" si="31"/>
        <v>1.0055890691084996E-12</v>
      </c>
      <c r="G858" s="396">
        <v>44008</v>
      </c>
      <c r="H858" s="32">
        <v>3.0408300000000001</v>
      </c>
    </row>
    <row r="859" spans="2:8" x14ac:dyDescent="0.3">
      <c r="B859" s="379">
        <f t="shared" si="32"/>
        <v>400</v>
      </c>
      <c r="C859" s="380">
        <v>43941</v>
      </c>
      <c r="D859" s="4">
        <v>0.63</v>
      </c>
      <c r="E859" s="381">
        <f t="shared" si="31"/>
        <v>1.0697756054345742E-12</v>
      </c>
      <c r="G859" s="396">
        <v>44011</v>
      </c>
      <c r="H859" s="32">
        <v>3.0438800000000001</v>
      </c>
    </row>
    <row r="860" spans="2:8" x14ac:dyDescent="0.3">
      <c r="B860" s="379">
        <f t="shared" si="32"/>
        <v>399</v>
      </c>
      <c r="C860" s="380">
        <v>43942</v>
      </c>
      <c r="D860" s="4">
        <v>0.57999999999999996</v>
      </c>
      <c r="E860" s="381">
        <f t="shared" si="31"/>
        <v>1.1380591547176318E-12</v>
      </c>
      <c r="G860" s="396">
        <v>44012</v>
      </c>
      <c r="H860" s="32">
        <v>2.9290500000000002</v>
      </c>
    </row>
    <row r="861" spans="2:8" x14ac:dyDescent="0.3">
      <c r="B861" s="379">
        <f t="shared" si="32"/>
        <v>398</v>
      </c>
      <c r="C861" s="380">
        <v>43943</v>
      </c>
      <c r="D861" s="4">
        <v>0.63</v>
      </c>
      <c r="E861" s="381">
        <f t="shared" si="31"/>
        <v>1.2107012284230129E-12</v>
      </c>
      <c r="G861" s="396">
        <v>44013</v>
      </c>
      <c r="H861" s="32">
        <v>2.8535200000000001</v>
      </c>
    </row>
    <row r="862" spans="2:8" x14ac:dyDescent="0.3">
      <c r="B862" s="379">
        <f t="shared" si="32"/>
        <v>397</v>
      </c>
      <c r="C862" s="380">
        <v>43944</v>
      </c>
      <c r="D862" s="4">
        <v>0.61</v>
      </c>
      <c r="E862" s="381">
        <f t="shared" si="31"/>
        <v>1.2879800302372475E-12</v>
      </c>
      <c r="G862" s="396">
        <v>44014</v>
      </c>
      <c r="H862" s="32">
        <v>2.7920400000000001</v>
      </c>
    </row>
    <row r="863" spans="2:8" x14ac:dyDescent="0.3">
      <c r="B863" s="379">
        <f t="shared" si="32"/>
        <v>396</v>
      </c>
      <c r="C863" s="380">
        <v>43945</v>
      </c>
      <c r="D863" s="4">
        <v>0.6</v>
      </c>
      <c r="E863" s="381">
        <f t="shared" si="31"/>
        <v>1.3701915215289869E-12</v>
      </c>
      <c r="G863" s="396">
        <v>44018</v>
      </c>
      <c r="H863" s="32">
        <v>2.7301099999999998</v>
      </c>
    </row>
    <row r="864" spans="2:8" x14ac:dyDescent="0.3">
      <c r="B864" s="379">
        <f t="shared" si="32"/>
        <v>395</v>
      </c>
      <c r="C864" s="380">
        <v>43948</v>
      </c>
      <c r="D864" s="4">
        <v>0.67</v>
      </c>
      <c r="E864" s="381">
        <f t="shared" si="31"/>
        <v>1.4576505548180711E-12</v>
      </c>
      <c r="G864" s="396">
        <v>44019</v>
      </c>
      <c r="H864" s="32">
        <v>2.8008199999999999</v>
      </c>
    </row>
    <row r="865" spans="2:8" x14ac:dyDescent="0.3">
      <c r="B865" s="379">
        <f t="shared" si="32"/>
        <v>394</v>
      </c>
      <c r="C865" s="380">
        <v>43949</v>
      </c>
      <c r="D865" s="4">
        <v>0.62</v>
      </c>
      <c r="E865" s="381">
        <f t="shared" si="31"/>
        <v>1.5506920795936927E-12</v>
      </c>
      <c r="G865" s="396">
        <v>44020</v>
      </c>
      <c r="H865" s="32">
        <v>2.8019699999999998</v>
      </c>
    </row>
    <row r="866" spans="2:8" x14ac:dyDescent="0.3">
      <c r="B866" s="379">
        <f t="shared" si="32"/>
        <v>393</v>
      </c>
      <c r="C866" s="380">
        <v>43950</v>
      </c>
      <c r="D866" s="4">
        <v>0.63</v>
      </c>
      <c r="E866" s="381">
        <f t="shared" si="31"/>
        <v>1.6496724250996732E-12</v>
      </c>
      <c r="G866" s="396">
        <v>44021</v>
      </c>
      <c r="H866" s="32">
        <v>2.9102800000000002</v>
      </c>
    </row>
    <row r="867" spans="2:8" x14ac:dyDescent="0.3">
      <c r="B867" s="379">
        <f t="shared" si="32"/>
        <v>392</v>
      </c>
      <c r="C867" s="380">
        <v>43951</v>
      </c>
      <c r="D867" s="4">
        <v>0.64</v>
      </c>
      <c r="E867" s="381">
        <f t="shared" si="31"/>
        <v>1.7549706649996525E-12</v>
      </c>
      <c r="G867" s="396">
        <v>44022</v>
      </c>
      <c r="H867" s="32">
        <v>2.91614</v>
      </c>
    </row>
    <row r="868" spans="2:8" x14ac:dyDescent="0.3">
      <c r="B868" s="379">
        <f t="shared" si="32"/>
        <v>391</v>
      </c>
      <c r="C868" s="380">
        <v>43952</v>
      </c>
      <c r="D868" s="4">
        <v>0.64</v>
      </c>
      <c r="E868" s="381">
        <f t="shared" si="31"/>
        <v>1.8669900691485663E-12</v>
      </c>
      <c r="G868" s="396">
        <v>44025</v>
      </c>
      <c r="H868" s="32">
        <v>2.8861400000000001</v>
      </c>
    </row>
    <row r="869" spans="2:8" x14ac:dyDescent="0.3">
      <c r="B869" s="379">
        <f t="shared" si="32"/>
        <v>390</v>
      </c>
      <c r="C869" s="380">
        <v>43955</v>
      </c>
      <c r="D869" s="4">
        <v>0.64</v>
      </c>
      <c r="E869" s="381">
        <f t="shared" si="31"/>
        <v>1.98615964803039E-12</v>
      </c>
      <c r="G869" s="396">
        <v>44026</v>
      </c>
      <c r="H869" s="32">
        <v>2.9273400000000001</v>
      </c>
    </row>
    <row r="870" spans="2:8" x14ac:dyDescent="0.3">
      <c r="B870" s="379">
        <f t="shared" si="32"/>
        <v>389</v>
      </c>
      <c r="C870" s="380">
        <v>43956</v>
      </c>
      <c r="D870" s="4">
        <v>0.66</v>
      </c>
      <c r="E870" s="381">
        <f t="shared" si="31"/>
        <v>2.1129357957770104E-12</v>
      </c>
      <c r="G870" s="396">
        <v>44027</v>
      </c>
      <c r="H870" s="32">
        <v>2.84449</v>
      </c>
    </row>
    <row r="871" spans="2:8" x14ac:dyDescent="0.3">
      <c r="B871" s="379">
        <f t="shared" si="32"/>
        <v>388</v>
      </c>
      <c r="C871" s="380">
        <v>43957</v>
      </c>
      <c r="D871" s="4">
        <v>0.72</v>
      </c>
      <c r="E871" s="381">
        <f t="shared" si="31"/>
        <v>2.2478040380606492E-12</v>
      </c>
      <c r="G871" s="396">
        <v>44028</v>
      </c>
      <c r="H871" s="32">
        <v>2.7955999999999999</v>
      </c>
    </row>
    <row r="872" spans="2:8" x14ac:dyDescent="0.3">
      <c r="B872" s="379">
        <f t="shared" si="32"/>
        <v>387</v>
      </c>
      <c r="C872" s="380">
        <v>43958</v>
      </c>
      <c r="D872" s="4">
        <v>0.63</v>
      </c>
      <c r="E872" s="381">
        <f t="shared" si="31"/>
        <v>2.3912808915538825E-12</v>
      </c>
      <c r="G872" s="396">
        <v>44029</v>
      </c>
      <c r="H872" s="32">
        <v>2.72377</v>
      </c>
    </row>
    <row r="873" spans="2:8" x14ac:dyDescent="0.3">
      <c r="B873" s="379">
        <f t="shared" si="32"/>
        <v>386</v>
      </c>
      <c r="C873" s="380">
        <v>43959</v>
      </c>
      <c r="D873" s="4">
        <v>0.69</v>
      </c>
      <c r="E873" s="381">
        <f t="shared" si="31"/>
        <v>2.5439158420785985E-12</v>
      </c>
      <c r="G873" s="396">
        <v>44032</v>
      </c>
      <c r="H873" s="32">
        <v>2.6329899999999999</v>
      </c>
    </row>
    <row r="874" spans="2:8" x14ac:dyDescent="0.3">
      <c r="B874" s="379">
        <f t="shared" si="32"/>
        <v>385</v>
      </c>
      <c r="C874" s="380">
        <v>43962</v>
      </c>
      <c r="D874" s="4">
        <v>0.73</v>
      </c>
      <c r="E874" s="381">
        <f t="shared" si="31"/>
        <v>2.7062934490197855E-12</v>
      </c>
      <c r="G874" s="396">
        <v>44033</v>
      </c>
      <c r="H874" s="32">
        <v>2.53193</v>
      </c>
    </row>
    <row r="875" spans="2:8" x14ac:dyDescent="0.3">
      <c r="B875" s="379">
        <f t="shared" si="32"/>
        <v>384</v>
      </c>
      <c r="C875" s="380">
        <v>43963</v>
      </c>
      <c r="D875" s="4">
        <v>0.69</v>
      </c>
      <c r="E875" s="381">
        <f t="shared" si="31"/>
        <v>2.8790355840636018E-12</v>
      </c>
      <c r="G875" s="396">
        <v>44034</v>
      </c>
      <c r="H875" s="32">
        <v>2.5132300000000001</v>
      </c>
    </row>
    <row r="876" spans="2:8" x14ac:dyDescent="0.3">
      <c r="B876" s="379">
        <f t="shared" si="32"/>
        <v>383</v>
      </c>
      <c r="C876" s="380">
        <v>43964</v>
      </c>
      <c r="D876" s="4">
        <v>0.64</v>
      </c>
      <c r="E876" s="381">
        <f t="shared" si="31"/>
        <v>3.0628038128336188E-12</v>
      </c>
      <c r="G876" s="396">
        <v>44035</v>
      </c>
      <c r="H876" s="32">
        <v>2.5868600000000002</v>
      </c>
    </row>
    <row r="877" spans="2:8" x14ac:dyDescent="0.3">
      <c r="B877" s="379">
        <f t="shared" si="32"/>
        <v>382</v>
      </c>
      <c r="C877" s="380">
        <v>43965</v>
      </c>
      <c r="D877" s="4">
        <v>0.63</v>
      </c>
      <c r="E877" s="381">
        <f t="shared" si="31"/>
        <v>3.2583019285464034E-12</v>
      </c>
      <c r="G877" s="396">
        <v>44036</v>
      </c>
      <c r="H877" s="32">
        <v>2.6407699999999998</v>
      </c>
    </row>
    <row r="878" spans="2:8" x14ac:dyDescent="0.3">
      <c r="B878" s="379">
        <f t="shared" si="32"/>
        <v>381</v>
      </c>
      <c r="C878" s="380">
        <v>43966</v>
      </c>
      <c r="D878" s="4">
        <v>0.64</v>
      </c>
      <c r="E878" s="381">
        <f t="shared" si="31"/>
        <v>3.4662786473897905E-12</v>
      </c>
      <c r="G878" s="396">
        <v>44039</v>
      </c>
      <c r="H878" s="32">
        <v>2.5988799999999999</v>
      </c>
    </row>
    <row r="879" spans="2:8" x14ac:dyDescent="0.3">
      <c r="B879" s="379">
        <f t="shared" si="32"/>
        <v>380</v>
      </c>
      <c r="C879" s="380">
        <v>43969</v>
      </c>
      <c r="D879" s="4">
        <v>0.73</v>
      </c>
      <c r="E879" s="381">
        <f t="shared" si="31"/>
        <v>3.6875304759465862E-12</v>
      </c>
      <c r="G879" s="396">
        <v>44040</v>
      </c>
      <c r="H879" s="32">
        <v>2.6347200000000002</v>
      </c>
    </row>
    <row r="880" spans="2:8" x14ac:dyDescent="0.3">
      <c r="B880" s="379">
        <f t="shared" si="32"/>
        <v>379</v>
      </c>
      <c r="C880" s="380">
        <v>43970</v>
      </c>
      <c r="D880" s="4">
        <v>0.7</v>
      </c>
      <c r="E880" s="381">
        <f t="shared" si="31"/>
        <v>3.922904761645304E-12</v>
      </c>
      <c r="G880" s="396">
        <v>44041</v>
      </c>
      <c r="H880" s="32">
        <v>2.5708600000000001</v>
      </c>
    </row>
    <row r="881" spans="2:8" x14ac:dyDescent="0.3">
      <c r="B881" s="379">
        <f t="shared" si="32"/>
        <v>378</v>
      </c>
      <c r="C881" s="380">
        <v>43971</v>
      </c>
      <c r="D881" s="4">
        <v>0.68</v>
      </c>
      <c r="E881" s="381">
        <f t="shared" si="31"/>
        <v>4.1733029379205366E-12</v>
      </c>
      <c r="G881" s="396">
        <v>44042</v>
      </c>
      <c r="H881" s="32">
        <v>2.59768</v>
      </c>
    </row>
    <row r="882" spans="2:8" x14ac:dyDescent="0.3">
      <c r="B882" s="379">
        <f t="shared" si="32"/>
        <v>377</v>
      </c>
      <c r="C882" s="380">
        <v>43972</v>
      </c>
      <c r="D882" s="4">
        <v>0.68</v>
      </c>
      <c r="E882" s="381">
        <f t="shared" si="31"/>
        <v>4.4396839765112095E-12</v>
      </c>
      <c r="G882" s="396">
        <v>44043</v>
      </c>
      <c r="H882" s="32">
        <v>2.5317500000000002</v>
      </c>
    </row>
    <row r="883" spans="2:8" x14ac:dyDescent="0.3">
      <c r="B883" s="379">
        <f t="shared" si="32"/>
        <v>376</v>
      </c>
      <c r="C883" s="380">
        <v>43973</v>
      </c>
      <c r="D883" s="4">
        <v>0.66</v>
      </c>
      <c r="E883" s="381">
        <f t="shared" si="31"/>
        <v>4.723068060118308E-12</v>
      </c>
      <c r="G883" s="396">
        <v>44046</v>
      </c>
      <c r="H883" s="32">
        <v>2.4764200000000001</v>
      </c>
    </row>
    <row r="884" spans="2:8" x14ac:dyDescent="0.3">
      <c r="B884" s="379">
        <f t="shared" si="32"/>
        <v>375</v>
      </c>
      <c r="C884" s="380">
        <v>43977</v>
      </c>
      <c r="D884" s="4">
        <v>0.69</v>
      </c>
      <c r="E884" s="381">
        <f t="shared" si="31"/>
        <v>5.0245404894875609E-12</v>
      </c>
      <c r="G884" s="396">
        <v>44047</v>
      </c>
      <c r="H884" s="32">
        <v>2.48943</v>
      </c>
    </row>
    <row r="885" spans="2:8" x14ac:dyDescent="0.3">
      <c r="B885" s="379">
        <f t="shared" si="32"/>
        <v>374</v>
      </c>
      <c r="C885" s="380">
        <v>43978</v>
      </c>
      <c r="D885" s="4">
        <v>0.68</v>
      </c>
      <c r="E885" s="381">
        <f t="shared" si="31"/>
        <v>5.3452558398803849E-12</v>
      </c>
      <c r="G885" s="396">
        <v>44048</v>
      </c>
      <c r="H885" s="32">
        <v>2.39208</v>
      </c>
    </row>
    <row r="886" spans="2:8" x14ac:dyDescent="0.3">
      <c r="B886" s="379">
        <f t="shared" si="32"/>
        <v>373</v>
      </c>
      <c r="C886" s="380">
        <v>43979</v>
      </c>
      <c r="D886" s="4">
        <v>0.7</v>
      </c>
      <c r="E886" s="381">
        <f t="shared" si="31"/>
        <v>5.6864423828514723E-12</v>
      </c>
      <c r="G886" s="396">
        <v>44049</v>
      </c>
      <c r="H886" s="32">
        <v>2.3134600000000001</v>
      </c>
    </row>
    <row r="887" spans="2:8" x14ac:dyDescent="0.3">
      <c r="B887" s="379">
        <f t="shared" si="32"/>
        <v>372</v>
      </c>
      <c r="C887" s="380">
        <v>43980</v>
      </c>
      <c r="D887" s="4">
        <v>0.65</v>
      </c>
      <c r="E887" s="381">
        <f t="shared" si="31"/>
        <v>6.0494067902675249E-12</v>
      </c>
      <c r="G887" s="396">
        <v>44050</v>
      </c>
      <c r="H887" s="32">
        <v>2.3084600000000002</v>
      </c>
    </row>
    <row r="888" spans="2:8" x14ac:dyDescent="0.3">
      <c r="B888" s="379">
        <f t="shared" si="32"/>
        <v>371</v>
      </c>
      <c r="C888" s="380">
        <v>43983</v>
      </c>
      <c r="D888" s="4">
        <v>0.66</v>
      </c>
      <c r="E888" s="381">
        <f t="shared" si="31"/>
        <v>6.4355391385824722E-12</v>
      </c>
      <c r="G888" s="396">
        <v>44053</v>
      </c>
      <c r="H888" s="32">
        <v>2.2773500000000002</v>
      </c>
    </row>
    <row r="889" spans="2:8" x14ac:dyDescent="0.3">
      <c r="B889" s="379">
        <f t="shared" si="32"/>
        <v>370</v>
      </c>
      <c r="C889" s="380">
        <v>43984</v>
      </c>
      <c r="D889" s="4">
        <v>0.68</v>
      </c>
      <c r="E889" s="381">
        <f t="shared" si="31"/>
        <v>6.8463182325345467E-12</v>
      </c>
      <c r="G889" s="396">
        <v>44054</v>
      </c>
      <c r="H889" s="32">
        <v>2.2323300000000001</v>
      </c>
    </row>
    <row r="890" spans="2:8" x14ac:dyDescent="0.3">
      <c r="B890" s="379">
        <f t="shared" si="32"/>
        <v>369</v>
      </c>
      <c r="C890" s="380">
        <v>43985</v>
      </c>
      <c r="D890" s="4">
        <v>0.77</v>
      </c>
      <c r="E890" s="381">
        <f t="shared" si="31"/>
        <v>7.2833172686537728E-12</v>
      </c>
      <c r="G890" s="396">
        <v>44055</v>
      </c>
      <c r="H890" s="32">
        <v>2.2536200000000002</v>
      </c>
    </row>
    <row r="891" spans="2:8" x14ac:dyDescent="0.3">
      <c r="B891" s="379">
        <f t="shared" si="32"/>
        <v>368</v>
      </c>
      <c r="C891" s="380">
        <v>43986</v>
      </c>
      <c r="D891" s="4">
        <v>0.82</v>
      </c>
      <c r="E891" s="381">
        <f t="shared" si="31"/>
        <v>7.7482098602699704E-12</v>
      </c>
      <c r="G891" s="396">
        <v>44056</v>
      </c>
      <c r="H891" s="32">
        <v>2.2726199999999999</v>
      </c>
    </row>
    <row r="892" spans="2:8" x14ac:dyDescent="0.3">
      <c r="B892" s="379">
        <f t="shared" si="32"/>
        <v>367</v>
      </c>
      <c r="C892" s="380">
        <v>43987</v>
      </c>
      <c r="D892" s="4">
        <v>0.91</v>
      </c>
      <c r="E892" s="381">
        <f t="shared" si="31"/>
        <v>8.2427764470957128E-12</v>
      </c>
      <c r="G892" s="396">
        <v>44057</v>
      </c>
      <c r="H892" s="32">
        <v>2.35039</v>
      </c>
    </row>
    <row r="893" spans="2:8" x14ac:dyDescent="0.3">
      <c r="B893" s="379">
        <f t="shared" si="32"/>
        <v>366</v>
      </c>
      <c r="C893" s="380">
        <v>43990</v>
      </c>
      <c r="D893" s="4">
        <v>0.88</v>
      </c>
      <c r="E893" s="381">
        <f t="shared" si="31"/>
        <v>8.7689111139316108E-12</v>
      </c>
      <c r="G893" s="396">
        <v>44060</v>
      </c>
      <c r="H893" s="32">
        <v>2.38056</v>
      </c>
    </row>
    <row r="894" spans="2:8" x14ac:dyDescent="0.3">
      <c r="B894" s="379">
        <f t="shared" si="32"/>
        <v>365</v>
      </c>
      <c r="C894" s="380">
        <v>43991</v>
      </c>
      <c r="D894" s="4">
        <v>0.84</v>
      </c>
      <c r="E894" s="381">
        <f t="shared" si="31"/>
        <v>9.328628844608096E-12</v>
      </c>
      <c r="G894" s="396">
        <v>44061</v>
      </c>
      <c r="H894" s="32">
        <v>2.4128599999999998</v>
      </c>
    </row>
    <row r="895" spans="2:8" x14ac:dyDescent="0.3">
      <c r="B895" s="379">
        <f t="shared" si="32"/>
        <v>364</v>
      </c>
      <c r="C895" s="380">
        <v>43992</v>
      </c>
      <c r="D895" s="4">
        <v>0.75</v>
      </c>
      <c r="E895" s="381">
        <f t="shared" si="31"/>
        <v>9.9240732389447832E-12</v>
      </c>
      <c r="G895" s="396">
        <v>44062</v>
      </c>
      <c r="H895" s="32">
        <v>2.4262000000000001</v>
      </c>
    </row>
    <row r="896" spans="2:8" x14ac:dyDescent="0.3">
      <c r="B896" s="379">
        <f t="shared" si="32"/>
        <v>363</v>
      </c>
      <c r="C896" s="380">
        <v>43993</v>
      </c>
      <c r="D896" s="4">
        <v>0.66</v>
      </c>
      <c r="E896" s="381">
        <f t="shared" si="31"/>
        <v>1.0557524722281685E-11</v>
      </c>
      <c r="G896" s="396">
        <v>44063</v>
      </c>
      <c r="H896" s="32">
        <v>2.48698</v>
      </c>
    </row>
    <row r="897" spans="2:8" x14ac:dyDescent="0.3">
      <c r="B897" s="379">
        <f t="shared" si="32"/>
        <v>362</v>
      </c>
      <c r="C897" s="380">
        <v>43994</v>
      </c>
      <c r="D897" s="4">
        <v>0.71</v>
      </c>
      <c r="E897" s="381">
        <f t="shared" si="31"/>
        <v>1.123140927902307E-11</v>
      </c>
      <c r="G897" s="396">
        <v>44075</v>
      </c>
      <c r="H897" s="32">
        <v>2.4344600000000001</v>
      </c>
    </row>
    <row r="898" spans="2:8" x14ac:dyDescent="0.3">
      <c r="B898" s="379">
        <f t="shared" si="32"/>
        <v>361</v>
      </c>
      <c r="C898" s="380">
        <v>43997</v>
      </c>
      <c r="D898" s="4">
        <v>0.71</v>
      </c>
      <c r="E898" s="381">
        <f t="shared" si="31"/>
        <v>1.1948307743641563E-11</v>
      </c>
      <c r="G898" s="396">
        <v>44076</v>
      </c>
      <c r="H898" s="32">
        <v>2.4070999999999998</v>
      </c>
    </row>
    <row r="899" spans="2:8" x14ac:dyDescent="0.3">
      <c r="B899" s="379">
        <f t="shared" si="32"/>
        <v>360</v>
      </c>
      <c r="C899" s="380">
        <v>43998</v>
      </c>
      <c r="D899" s="4">
        <v>0.75</v>
      </c>
      <c r="E899" s="381">
        <f t="shared" si="31"/>
        <v>1.2710965684725067E-11</v>
      </c>
      <c r="G899" s="396">
        <v>44077</v>
      </c>
      <c r="H899" s="32">
        <v>2.4851700000000001</v>
      </c>
    </row>
    <row r="900" spans="2:8" x14ac:dyDescent="0.3">
      <c r="B900" s="379">
        <f t="shared" si="32"/>
        <v>359</v>
      </c>
      <c r="C900" s="380">
        <v>43999</v>
      </c>
      <c r="D900" s="4">
        <v>0.74</v>
      </c>
      <c r="E900" s="381">
        <f t="shared" si="31"/>
        <v>1.3522303919920284E-11</v>
      </c>
      <c r="G900" s="396">
        <v>44078</v>
      </c>
      <c r="H900" s="32">
        <v>2.4438399999999998</v>
      </c>
    </row>
    <row r="901" spans="2:8" x14ac:dyDescent="0.3">
      <c r="B901" s="379">
        <f t="shared" si="32"/>
        <v>358</v>
      </c>
      <c r="C901" s="380">
        <v>44000</v>
      </c>
      <c r="D901" s="4">
        <v>0.71</v>
      </c>
      <c r="E901" s="381">
        <f t="shared" si="31"/>
        <v>1.4385429702042856E-11</v>
      </c>
      <c r="G901" s="396">
        <v>44082</v>
      </c>
      <c r="H901" s="32">
        <v>2.5044400000000002</v>
      </c>
    </row>
    <row r="902" spans="2:8" x14ac:dyDescent="0.3">
      <c r="B902" s="379">
        <f t="shared" si="32"/>
        <v>357</v>
      </c>
      <c r="C902" s="380">
        <v>44001</v>
      </c>
      <c r="D902" s="4">
        <v>0.7</v>
      </c>
      <c r="E902" s="381">
        <f t="shared" si="31"/>
        <v>1.5303648619194527E-11</v>
      </c>
      <c r="G902" s="396">
        <v>44083</v>
      </c>
      <c r="H902" s="32">
        <v>2.4575999999999998</v>
      </c>
    </row>
    <row r="903" spans="2:8" x14ac:dyDescent="0.3">
      <c r="B903" s="379">
        <f t="shared" si="32"/>
        <v>356</v>
      </c>
      <c r="C903" s="380">
        <v>44004</v>
      </c>
      <c r="D903" s="4">
        <v>0.71</v>
      </c>
      <c r="E903" s="381">
        <f t="shared" si="31"/>
        <v>1.6280477254462265E-11</v>
      </c>
      <c r="G903" s="396">
        <v>44084</v>
      </c>
      <c r="H903" s="32">
        <v>2.4861499999999999</v>
      </c>
    </row>
    <row r="904" spans="2:8" x14ac:dyDescent="0.3">
      <c r="B904" s="379">
        <f t="shared" si="32"/>
        <v>355</v>
      </c>
      <c r="C904" s="380">
        <v>44005</v>
      </c>
      <c r="D904" s="4">
        <v>0.72</v>
      </c>
      <c r="E904" s="381">
        <f t="shared" si="31"/>
        <v>1.7319656653683259E-11</v>
      </c>
      <c r="G904" s="396">
        <v>44085</v>
      </c>
      <c r="H904" s="32">
        <v>2.5141900000000001</v>
      </c>
    </row>
    <row r="905" spans="2:8" x14ac:dyDescent="0.3">
      <c r="B905" s="379">
        <f t="shared" si="32"/>
        <v>354</v>
      </c>
      <c r="C905" s="380">
        <v>44006</v>
      </c>
      <c r="D905" s="4">
        <v>0.69</v>
      </c>
      <c r="E905" s="381">
        <f t="shared" ref="E905:E968" si="33">+(1-$C$4)*$C$4^B905</f>
        <v>1.842516665285453E-11</v>
      </c>
      <c r="G905" s="396">
        <v>44088</v>
      </c>
      <c r="H905" s="32">
        <v>2.5122</v>
      </c>
    </row>
    <row r="906" spans="2:8" x14ac:dyDescent="0.3">
      <c r="B906" s="379">
        <f t="shared" si="32"/>
        <v>353</v>
      </c>
      <c r="C906" s="380">
        <v>44007</v>
      </c>
      <c r="D906" s="4">
        <v>0.68</v>
      </c>
      <c r="E906" s="381">
        <f t="shared" si="33"/>
        <v>1.9601241120058013E-11</v>
      </c>
      <c r="G906" s="396">
        <v>44089</v>
      </c>
      <c r="H906" s="32">
        <v>2.4488599999999998</v>
      </c>
    </row>
    <row r="907" spans="2:8" x14ac:dyDescent="0.3">
      <c r="B907" s="379">
        <f t="shared" ref="B907:B970" si="34">+B906-1</f>
        <v>352</v>
      </c>
      <c r="C907" s="380">
        <v>44008</v>
      </c>
      <c r="D907" s="4">
        <v>0.64</v>
      </c>
      <c r="E907" s="381">
        <f t="shared" si="33"/>
        <v>2.0852384170274484E-11</v>
      </c>
      <c r="G907" s="396">
        <v>44090</v>
      </c>
      <c r="H907" s="32">
        <v>2.4237199999999999</v>
      </c>
    </row>
    <row r="908" spans="2:8" x14ac:dyDescent="0.3">
      <c r="B908" s="379">
        <f t="shared" si="34"/>
        <v>351</v>
      </c>
      <c r="C908" s="380">
        <v>44011</v>
      </c>
      <c r="D908" s="4">
        <v>0.64</v>
      </c>
      <c r="E908" s="381">
        <f t="shared" si="33"/>
        <v>2.2183387415185623E-11</v>
      </c>
      <c r="G908" s="396">
        <v>44091</v>
      </c>
      <c r="H908" s="32">
        <v>2.4599600000000001</v>
      </c>
    </row>
    <row r="909" spans="2:8" x14ac:dyDescent="0.3">
      <c r="B909" s="379">
        <f t="shared" si="34"/>
        <v>350</v>
      </c>
      <c r="C909" s="380">
        <v>44012</v>
      </c>
      <c r="D909" s="4">
        <v>0.66</v>
      </c>
      <c r="E909" s="381">
        <f t="shared" si="33"/>
        <v>2.3599348314027258E-11</v>
      </c>
      <c r="G909" s="396">
        <v>44092</v>
      </c>
      <c r="H909" s="32">
        <v>2.4788999999999999</v>
      </c>
    </row>
    <row r="910" spans="2:8" x14ac:dyDescent="0.3">
      <c r="B910" s="379">
        <f t="shared" si="34"/>
        <v>349</v>
      </c>
      <c r="C910" s="380">
        <v>44013</v>
      </c>
      <c r="D910" s="4">
        <v>0.69</v>
      </c>
      <c r="E910" s="381">
        <f t="shared" si="33"/>
        <v>2.5105689695773673E-11</v>
      </c>
      <c r="G910" s="396">
        <v>44095</v>
      </c>
      <c r="H910" s="32">
        <v>2.5791900000000001</v>
      </c>
    </row>
    <row r="911" spans="2:8" x14ac:dyDescent="0.3">
      <c r="B911" s="379">
        <f t="shared" si="34"/>
        <v>348</v>
      </c>
      <c r="C911" s="380">
        <v>44014</v>
      </c>
      <c r="D911" s="4">
        <v>0.68</v>
      </c>
      <c r="E911" s="381">
        <f t="shared" si="33"/>
        <v>2.6708180527418812E-11</v>
      </c>
      <c r="G911" s="396">
        <v>44096</v>
      </c>
      <c r="H911" s="32">
        <v>2.6059800000000002</v>
      </c>
    </row>
    <row r="912" spans="2:8" x14ac:dyDescent="0.3">
      <c r="B912" s="379">
        <f t="shared" si="34"/>
        <v>347</v>
      </c>
      <c r="C912" s="380">
        <v>44018</v>
      </c>
      <c r="D912" s="4">
        <v>0.69</v>
      </c>
      <c r="E912" s="381">
        <f t="shared" si="33"/>
        <v>2.8412958007892344E-11</v>
      </c>
      <c r="G912" s="396">
        <v>44097</v>
      </c>
      <c r="H912" s="32">
        <v>2.7258499999999999</v>
      </c>
    </row>
    <row r="913" spans="2:8" x14ac:dyDescent="0.3">
      <c r="B913" s="379">
        <f t="shared" si="34"/>
        <v>346</v>
      </c>
      <c r="C913" s="380">
        <v>44019</v>
      </c>
      <c r="D913" s="4">
        <v>0.65</v>
      </c>
      <c r="E913" s="381">
        <f t="shared" si="33"/>
        <v>3.0226551072225903E-11</v>
      </c>
      <c r="G913" s="396">
        <v>44098</v>
      </c>
      <c r="H913" s="32">
        <v>2.7323</v>
      </c>
    </row>
    <row r="914" spans="2:8" x14ac:dyDescent="0.3">
      <c r="B914" s="379">
        <f t="shared" si="34"/>
        <v>345</v>
      </c>
      <c r="C914" s="380">
        <v>44020</v>
      </c>
      <c r="D914" s="4">
        <v>0.67</v>
      </c>
      <c r="E914" s="381">
        <f t="shared" si="33"/>
        <v>3.2155905395985004E-11</v>
      </c>
      <c r="G914" s="396">
        <v>44099</v>
      </c>
      <c r="H914" s="32">
        <v>2.6945399999999999</v>
      </c>
    </row>
    <row r="915" spans="2:8" x14ac:dyDescent="0.3">
      <c r="B915" s="379">
        <f t="shared" si="34"/>
        <v>344</v>
      </c>
      <c r="C915" s="380">
        <v>44021</v>
      </c>
      <c r="D915" s="4">
        <v>0.62</v>
      </c>
      <c r="E915" s="381">
        <f t="shared" si="33"/>
        <v>3.4208409995728727E-11</v>
      </c>
      <c r="G915" s="396">
        <v>44102</v>
      </c>
      <c r="H915" s="32">
        <v>2.65178</v>
      </c>
    </row>
    <row r="916" spans="2:8" x14ac:dyDescent="0.3">
      <c r="B916" s="379">
        <f t="shared" si="34"/>
        <v>343</v>
      </c>
      <c r="C916" s="380">
        <v>44022</v>
      </c>
      <c r="D916" s="4">
        <v>0.65</v>
      </c>
      <c r="E916" s="381">
        <f t="shared" si="33"/>
        <v>3.6391925527370986E-11</v>
      </c>
      <c r="G916" s="396">
        <v>44103</v>
      </c>
      <c r="H916" s="32">
        <v>2.6855699999999998</v>
      </c>
    </row>
    <row r="917" spans="2:8" x14ac:dyDescent="0.3">
      <c r="B917" s="379">
        <f t="shared" si="34"/>
        <v>342</v>
      </c>
      <c r="C917" s="380">
        <v>44025</v>
      </c>
      <c r="D917" s="4">
        <v>0.64</v>
      </c>
      <c r="E917" s="381">
        <f t="shared" si="33"/>
        <v>3.8714814390820203E-11</v>
      </c>
      <c r="G917" s="396">
        <v>44104</v>
      </c>
      <c r="H917" s="32">
        <v>2.6245099999999999</v>
      </c>
    </row>
    <row r="918" spans="2:8" x14ac:dyDescent="0.3">
      <c r="B918" s="379">
        <f t="shared" si="34"/>
        <v>341</v>
      </c>
      <c r="C918" s="380">
        <v>44026</v>
      </c>
      <c r="D918" s="4">
        <v>0.63</v>
      </c>
      <c r="E918" s="381">
        <f t="shared" si="33"/>
        <v>4.1185972756191698E-11</v>
      </c>
      <c r="G918" s="396">
        <v>44105</v>
      </c>
      <c r="H918" s="32">
        <v>2.6382500000000002</v>
      </c>
    </row>
    <row r="919" spans="2:8" x14ac:dyDescent="0.3">
      <c r="B919" s="379">
        <f t="shared" si="34"/>
        <v>340</v>
      </c>
      <c r="C919" s="380">
        <v>44027</v>
      </c>
      <c r="D919" s="4">
        <v>0.64</v>
      </c>
      <c r="E919" s="381">
        <f t="shared" si="33"/>
        <v>4.3814864634246491E-11</v>
      </c>
      <c r="G919" s="396">
        <v>44106</v>
      </c>
      <c r="H919" s="32">
        <v>2.6020099999999999</v>
      </c>
    </row>
    <row r="920" spans="2:8" x14ac:dyDescent="0.3">
      <c r="B920" s="379">
        <f t="shared" si="34"/>
        <v>339</v>
      </c>
      <c r="C920" s="380">
        <v>44028</v>
      </c>
      <c r="D920" s="4">
        <v>0.62</v>
      </c>
      <c r="E920" s="381">
        <f t="shared" si="33"/>
        <v>4.6611558121538819E-11</v>
      </c>
      <c r="G920" s="396">
        <v>44109</v>
      </c>
      <c r="H920" s="32">
        <v>2.50969</v>
      </c>
    </row>
    <row r="921" spans="2:8" x14ac:dyDescent="0.3">
      <c r="B921" s="379">
        <f t="shared" si="34"/>
        <v>338</v>
      </c>
      <c r="C921" s="380">
        <v>44029</v>
      </c>
      <c r="D921" s="4">
        <v>0.64</v>
      </c>
      <c r="E921" s="381">
        <f t="shared" si="33"/>
        <v>4.958676395908386E-11</v>
      </c>
      <c r="G921" s="396">
        <v>44110</v>
      </c>
      <c r="H921" s="32">
        <v>2.5118100000000001</v>
      </c>
    </row>
    <row r="922" spans="2:8" x14ac:dyDescent="0.3">
      <c r="B922" s="379">
        <f t="shared" si="34"/>
        <v>337</v>
      </c>
      <c r="C922" s="380">
        <v>44032</v>
      </c>
      <c r="D922" s="4">
        <v>0.62</v>
      </c>
      <c r="E922" s="381">
        <f t="shared" si="33"/>
        <v>5.2751876552216868E-11</v>
      </c>
      <c r="G922" s="396">
        <v>44111</v>
      </c>
      <c r="H922" s="32">
        <v>2.4540299999999999</v>
      </c>
    </row>
    <row r="923" spans="2:8" x14ac:dyDescent="0.3">
      <c r="B923" s="379">
        <f t="shared" si="34"/>
        <v>336</v>
      </c>
      <c r="C923" s="380">
        <v>44033</v>
      </c>
      <c r="D923" s="4">
        <v>0.61</v>
      </c>
      <c r="E923" s="381">
        <f t="shared" si="33"/>
        <v>5.6119017608741351E-11</v>
      </c>
      <c r="G923" s="396">
        <v>44112</v>
      </c>
      <c r="H923" s="32">
        <v>2.37636</v>
      </c>
    </row>
    <row r="924" spans="2:8" x14ac:dyDescent="0.3">
      <c r="B924" s="379">
        <f t="shared" si="34"/>
        <v>335</v>
      </c>
      <c r="C924" s="380">
        <v>44034</v>
      </c>
      <c r="D924" s="4">
        <v>0.6</v>
      </c>
      <c r="E924" s="381">
        <f t="shared" si="33"/>
        <v>5.970108256249078E-11</v>
      </c>
      <c r="G924" s="396">
        <v>44113</v>
      </c>
      <c r="H924" s="32">
        <v>2.33663</v>
      </c>
    </row>
    <row r="925" spans="2:8" x14ac:dyDescent="0.3">
      <c r="B925" s="379">
        <f t="shared" si="34"/>
        <v>334</v>
      </c>
      <c r="C925" s="380">
        <v>44035</v>
      </c>
      <c r="D925" s="4">
        <v>0.59</v>
      </c>
      <c r="E925" s="381">
        <f t="shared" si="33"/>
        <v>6.3511789960096596E-11</v>
      </c>
      <c r="G925" s="396">
        <v>44117</v>
      </c>
      <c r="H925" s="32">
        <v>2.3517399999999999</v>
      </c>
    </row>
    <row r="926" spans="2:8" x14ac:dyDescent="0.3">
      <c r="B926" s="379">
        <f t="shared" si="34"/>
        <v>333</v>
      </c>
      <c r="C926" s="380">
        <v>44036</v>
      </c>
      <c r="D926" s="4">
        <v>0.59</v>
      </c>
      <c r="E926" s="381">
        <f t="shared" si="33"/>
        <v>6.7565734000102763E-11</v>
      </c>
      <c r="G926" s="396">
        <v>44118</v>
      </c>
      <c r="H926" s="32">
        <v>2.32172</v>
      </c>
    </row>
    <row r="927" spans="2:8" x14ac:dyDescent="0.3">
      <c r="B927" s="379">
        <f t="shared" si="34"/>
        <v>332</v>
      </c>
      <c r="C927" s="380">
        <v>44039</v>
      </c>
      <c r="D927" s="4">
        <v>0.62</v>
      </c>
      <c r="E927" s="381">
        <f t="shared" si="33"/>
        <v>7.1878440425641235E-11</v>
      </c>
      <c r="G927" s="396">
        <v>44119</v>
      </c>
      <c r="H927" s="32">
        <v>2.3043499999999999</v>
      </c>
    </row>
    <row r="928" spans="2:8" x14ac:dyDescent="0.3">
      <c r="B928" s="379">
        <f t="shared" si="34"/>
        <v>331</v>
      </c>
      <c r="C928" s="380">
        <v>44040</v>
      </c>
      <c r="D928" s="4">
        <v>0.59</v>
      </c>
      <c r="E928" s="381">
        <f t="shared" si="33"/>
        <v>7.6466425984724714E-11</v>
      </c>
      <c r="G928" s="396">
        <v>44120</v>
      </c>
      <c r="H928" s="32">
        <v>2.2776700000000001</v>
      </c>
    </row>
    <row r="929" spans="2:8" x14ac:dyDescent="0.3">
      <c r="B929" s="379">
        <f t="shared" si="34"/>
        <v>330</v>
      </c>
      <c r="C929" s="380">
        <v>44041</v>
      </c>
      <c r="D929" s="4">
        <v>0.57999999999999996</v>
      </c>
      <c r="E929" s="381">
        <f t="shared" si="33"/>
        <v>8.1347261685877366E-11</v>
      </c>
      <c r="G929" s="396">
        <v>44123</v>
      </c>
      <c r="H929" s="32">
        <v>2.28437</v>
      </c>
    </row>
    <row r="930" spans="2:8" x14ac:dyDescent="0.3">
      <c r="B930" s="379">
        <f t="shared" si="34"/>
        <v>329</v>
      </c>
      <c r="C930" s="380">
        <v>44042</v>
      </c>
      <c r="D930" s="4">
        <v>0.55000000000000004</v>
      </c>
      <c r="E930" s="381">
        <f t="shared" si="33"/>
        <v>8.6539640091358885E-11</v>
      </c>
      <c r="G930" s="396">
        <v>44124</v>
      </c>
      <c r="H930" s="32">
        <v>2.2901199999999999</v>
      </c>
    </row>
    <row r="931" spans="2:8" x14ac:dyDescent="0.3">
      <c r="B931" s="379">
        <f t="shared" si="34"/>
        <v>328</v>
      </c>
      <c r="C931" s="380">
        <v>44043</v>
      </c>
      <c r="D931" s="4">
        <v>0.55000000000000004</v>
      </c>
      <c r="E931" s="381">
        <f t="shared" si="33"/>
        <v>9.2063446905700967E-11</v>
      </c>
      <c r="G931" s="396">
        <v>44125</v>
      </c>
      <c r="H931" s="32">
        <v>2.3403299999999998</v>
      </c>
    </row>
    <row r="932" spans="2:8" x14ac:dyDescent="0.3">
      <c r="B932" s="379">
        <f t="shared" si="34"/>
        <v>327</v>
      </c>
      <c r="C932" s="380">
        <v>44046</v>
      </c>
      <c r="D932" s="4">
        <v>0.56000000000000005</v>
      </c>
      <c r="E932" s="381">
        <f t="shared" si="33"/>
        <v>9.7939837133724412E-11</v>
      </c>
      <c r="G932" s="396">
        <v>44126</v>
      </c>
      <c r="H932" s="32">
        <v>2.3499099999999999</v>
      </c>
    </row>
    <row r="933" spans="2:8" x14ac:dyDescent="0.3">
      <c r="B933" s="379">
        <f t="shared" si="34"/>
        <v>326</v>
      </c>
      <c r="C933" s="380">
        <v>44047</v>
      </c>
      <c r="D933" s="4">
        <v>0.52</v>
      </c>
      <c r="E933" s="381">
        <f t="shared" si="33"/>
        <v>1.0419131609970684E-10</v>
      </c>
      <c r="G933" s="396">
        <v>44127</v>
      </c>
      <c r="H933" s="32">
        <v>2.4047900000000002</v>
      </c>
    </row>
    <row r="934" spans="2:8" x14ac:dyDescent="0.3">
      <c r="B934" s="379">
        <f t="shared" si="34"/>
        <v>325</v>
      </c>
      <c r="C934" s="380">
        <v>44048</v>
      </c>
      <c r="D934" s="4">
        <v>0.55000000000000004</v>
      </c>
      <c r="E934" s="381">
        <f t="shared" si="33"/>
        <v>1.1084182563798599E-10</v>
      </c>
      <c r="G934" s="396">
        <v>44130</v>
      </c>
      <c r="H934" s="32">
        <v>2.42448</v>
      </c>
    </row>
    <row r="935" spans="2:8" x14ac:dyDescent="0.3">
      <c r="B935" s="379">
        <f t="shared" si="34"/>
        <v>324</v>
      </c>
      <c r="C935" s="380">
        <v>44049</v>
      </c>
      <c r="D935" s="4">
        <v>0.55000000000000004</v>
      </c>
      <c r="E935" s="381">
        <f t="shared" si="33"/>
        <v>1.179168357850915E-10</v>
      </c>
      <c r="G935" s="396">
        <v>44131</v>
      </c>
      <c r="H935" s="32">
        <v>2.4186000000000001</v>
      </c>
    </row>
    <row r="936" spans="2:8" x14ac:dyDescent="0.3">
      <c r="B936" s="379">
        <f t="shared" si="34"/>
        <v>323</v>
      </c>
      <c r="C936" s="380">
        <v>44050</v>
      </c>
      <c r="D936" s="4">
        <v>0.56999999999999995</v>
      </c>
      <c r="E936" s="381">
        <f t="shared" si="33"/>
        <v>1.254434423245654E-10</v>
      </c>
      <c r="G936" s="396">
        <v>44132</v>
      </c>
      <c r="H936" s="32">
        <v>2.4730799999999999</v>
      </c>
    </row>
    <row r="937" spans="2:8" x14ac:dyDescent="0.3">
      <c r="B937" s="379">
        <f t="shared" si="34"/>
        <v>322</v>
      </c>
      <c r="C937" s="380">
        <v>44053</v>
      </c>
      <c r="D937" s="4">
        <v>0.59</v>
      </c>
      <c r="E937" s="381">
        <f t="shared" si="33"/>
        <v>1.3345047055804829E-10</v>
      </c>
      <c r="G937" s="396">
        <v>44133</v>
      </c>
      <c r="H937" s="32">
        <v>2.4603199999999998</v>
      </c>
    </row>
    <row r="938" spans="2:8" x14ac:dyDescent="0.3">
      <c r="B938" s="379">
        <f t="shared" si="34"/>
        <v>321</v>
      </c>
      <c r="C938" s="380">
        <v>44054</v>
      </c>
      <c r="D938" s="4">
        <v>0.64</v>
      </c>
      <c r="E938" s="381">
        <f t="shared" si="33"/>
        <v>1.4196858570005141E-10</v>
      </c>
      <c r="G938" s="396">
        <v>44134</v>
      </c>
      <c r="H938" s="32">
        <v>2.4403100000000002</v>
      </c>
    </row>
    <row r="939" spans="2:8" x14ac:dyDescent="0.3">
      <c r="B939" s="379">
        <f t="shared" si="34"/>
        <v>320</v>
      </c>
      <c r="C939" s="380">
        <v>44055</v>
      </c>
      <c r="D939" s="4">
        <v>0.69</v>
      </c>
      <c r="E939" s="381">
        <f t="shared" si="33"/>
        <v>1.5103041031920363E-10</v>
      </c>
      <c r="G939" s="396">
        <v>44137</v>
      </c>
      <c r="H939" s="32">
        <v>2.44842</v>
      </c>
    </row>
    <row r="940" spans="2:8" x14ac:dyDescent="0.3">
      <c r="B940" s="379">
        <f t="shared" si="34"/>
        <v>319</v>
      </c>
      <c r="C940" s="380">
        <v>44056</v>
      </c>
      <c r="D940" s="4">
        <v>0.71</v>
      </c>
      <c r="E940" s="381">
        <f t="shared" si="33"/>
        <v>1.6067064927574852E-10</v>
      </c>
      <c r="G940" s="396">
        <v>44138</v>
      </c>
      <c r="H940" s="32">
        <v>2.4032100000000001</v>
      </c>
    </row>
    <row r="941" spans="2:8" x14ac:dyDescent="0.3">
      <c r="B941" s="379">
        <f t="shared" si="34"/>
        <v>318</v>
      </c>
      <c r="C941" s="380">
        <v>44057</v>
      </c>
      <c r="D941" s="4">
        <v>0.71</v>
      </c>
      <c r="E941" s="381">
        <f t="shared" si="33"/>
        <v>1.7092622263377506E-10</v>
      </c>
      <c r="G941" s="396">
        <v>44139</v>
      </c>
      <c r="H941" s="32">
        <v>2.2960400000000001</v>
      </c>
    </row>
    <row r="942" spans="2:8" x14ac:dyDescent="0.3">
      <c r="B942" s="379">
        <f t="shared" si="34"/>
        <v>317</v>
      </c>
      <c r="C942" s="380">
        <v>44060</v>
      </c>
      <c r="D942" s="4">
        <v>0.69</v>
      </c>
      <c r="E942" s="381">
        <f t="shared" si="33"/>
        <v>1.8183640705720746E-10</v>
      </c>
      <c r="G942" s="396">
        <v>44140</v>
      </c>
      <c r="H942" s="32">
        <v>2.2366899999999998</v>
      </c>
    </row>
    <row r="943" spans="2:8" x14ac:dyDescent="0.3">
      <c r="B943" s="379">
        <f t="shared" si="34"/>
        <v>316</v>
      </c>
      <c r="C943" s="380">
        <v>44061</v>
      </c>
      <c r="D943" s="4">
        <v>0.67</v>
      </c>
      <c r="E943" s="381">
        <f t="shared" si="33"/>
        <v>1.9344298623107186E-10</v>
      </c>
      <c r="G943" s="396">
        <v>44141</v>
      </c>
      <c r="H943" s="32">
        <v>2.20668</v>
      </c>
    </row>
    <row r="944" spans="2:8" x14ac:dyDescent="0.3">
      <c r="B944" s="379">
        <f t="shared" si="34"/>
        <v>315</v>
      </c>
      <c r="C944" s="380">
        <v>44062</v>
      </c>
      <c r="D944" s="4">
        <v>0.68</v>
      </c>
      <c r="E944" s="381">
        <f t="shared" si="33"/>
        <v>2.0579041088411896E-10</v>
      </c>
      <c r="G944" s="396">
        <v>44144</v>
      </c>
      <c r="H944" s="32">
        <v>2.03694</v>
      </c>
    </row>
    <row r="945" spans="2:8" x14ac:dyDescent="0.3">
      <c r="B945" s="379">
        <f t="shared" si="34"/>
        <v>314</v>
      </c>
      <c r="C945" s="380">
        <v>44063</v>
      </c>
      <c r="D945" s="4">
        <v>0.65</v>
      </c>
      <c r="E945" s="381">
        <f t="shared" si="33"/>
        <v>2.1892596902565848E-10</v>
      </c>
      <c r="G945" s="396">
        <v>44145</v>
      </c>
      <c r="H945" s="32">
        <v>2.03281</v>
      </c>
    </row>
    <row r="946" spans="2:8" x14ac:dyDescent="0.3">
      <c r="B946" s="379">
        <f t="shared" si="34"/>
        <v>313</v>
      </c>
      <c r="C946" s="380">
        <v>44064</v>
      </c>
      <c r="D946" s="4">
        <v>0.64</v>
      </c>
      <c r="E946" s="381">
        <f t="shared" si="33"/>
        <v>2.328999670485728E-10</v>
      </c>
      <c r="G946" s="396">
        <v>44147</v>
      </c>
      <c r="H946" s="32">
        <v>2.06473</v>
      </c>
    </row>
    <row r="947" spans="2:8" x14ac:dyDescent="0.3">
      <c r="B947" s="379">
        <f t="shared" si="34"/>
        <v>312</v>
      </c>
      <c r="C947" s="380">
        <v>44067</v>
      </c>
      <c r="D947" s="4">
        <v>0.65</v>
      </c>
      <c r="E947" s="381">
        <f t="shared" si="33"/>
        <v>2.4776592239209878E-10</v>
      </c>
      <c r="G947" s="396">
        <v>44148</v>
      </c>
      <c r="H947" s="32">
        <v>2.0695800000000002</v>
      </c>
    </row>
    <row r="948" spans="2:8" x14ac:dyDescent="0.3">
      <c r="B948" s="379">
        <f t="shared" si="34"/>
        <v>311</v>
      </c>
      <c r="C948" s="380">
        <v>44068</v>
      </c>
      <c r="D948" s="4">
        <v>0.69</v>
      </c>
      <c r="E948" s="381">
        <f t="shared" si="33"/>
        <v>2.6358076850223275E-10</v>
      </c>
      <c r="G948" s="396">
        <v>44151</v>
      </c>
      <c r="H948" s="32">
        <v>2.0672199999999998</v>
      </c>
    </row>
    <row r="949" spans="2:8" x14ac:dyDescent="0.3">
      <c r="B949" s="379">
        <f t="shared" si="34"/>
        <v>310</v>
      </c>
      <c r="C949" s="380">
        <v>44069</v>
      </c>
      <c r="D949" s="4">
        <v>0.69</v>
      </c>
      <c r="E949" s="381">
        <f t="shared" si="33"/>
        <v>2.8040507287471565E-10</v>
      </c>
      <c r="G949" s="396">
        <v>44152</v>
      </c>
      <c r="H949" s="32">
        <v>2.1203099999999999</v>
      </c>
    </row>
    <row r="950" spans="2:8" x14ac:dyDescent="0.3">
      <c r="B950" s="379">
        <f t="shared" si="34"/>
        <v>309</v>
      </c>
      <c r="C950" s="380">
        <v>44070</v>
      </c>
      <c r="D950" s="4">
        <v>0.74</v>
      </c>
      <c r="E950" s="381">
        <f t="shared" si="33"/>
        <v>2.9830326901565495E-10</v>
      </c>
      <c r="G950" s="396">
        <v>44153</v>
      </c>
      <c r="H950" s="32">
        <v>2.12033</v>
      </c>
    </row>
    <row r="951" spans="2:8" x14ac:dyDescent="0.3">
      <c r="B951" s="379">
        <f t="shared" si="34"/>
        <v>308</v>
      </c>
      <c r="C951" s="380">
        <v>44071</v>
      </c>
      <c r="D951" s="4">
        <v>0.74</v>
      </c>
      <c r="E951" s="381">
        <f t="shared" si="33"/>
        <v>3.1734390320814361E-10</v>
      </c>
      <c r="G951" s="396">
        <v>44154</v>
      </c>
      <c r="H951" s="32">
        <v>2.1551</v>
      </c>
    </row>
    <row r="952" spans="2:8" x14ac:dyDescent="0.3">
      <c r="B952" s="379">
        <f t="shared" si="34"/>
        <v>307</v>
      </c>
      <c r="C952" s="380">
        <v>44074</v>
      </c>
      <c r="D952" s="4">
        <v>0.72</v>
      </c>
      <c r="E952" s="381">
        <f t="shared" si="33"/>
        <v>3.3759989702994E-10</v>
      </c>
      <c r="G952" s="396">
        <v>44155</v>
      </c>
      <c r="H952" s="32">
        <v>2.1534</v>
      </c>
    </row>
    <row r="953" spans="2:8" x14ac:dyDescent="0.3">
      <c r="B953" s="379">
        <f t="shared" si="34"/>
        <v>306</v>
      </c>
      <c r="C953" s="380">
        <v>44075</v>
      </c>
      <c r="D953" s="4">
        <v>0.68</v>
      </c>
      <c r="E953" s="381">
        <f t="shared" si="33"/>
        <v>3.5914882662759576E-10</v>
      </c>
      <c r="G953" s="396">
        <v>44158</v>
      </c>
      <c r="H953" s="32">
        <v>2.1523400000000001</v>
      </c>
    </row>
    <row r="954" spans="2:8" x14ac:dyDescent="0.3">
      <c r="B954" s="379">
        <f t="shared" si="34"/>
        <v>305</v>
      </c>
      <c r="C954" s="380">
        <v>44076</v>
      </c>
      <c r="D954" s="4">
        <v>0.66</v>
      </c>
      <c r="E954" s="381">
        <f t="shared" si="33"/>
        <v>3.8207321981659129E-10</v>
      </c>
      <c r="G954" s="396">
        <v>44159</v>
      </c>
      <c r="H954" s="32">
        <v>2.1767400000000001</v>
      </c>
    </row>
    <row r="955" spans="2:8" x14ac:dyDescent="0.3">
      <c r="B955" s="379">
        <f t="shared" si="34"/>
        <v>304</v>
      </c>
      <c r="C955" s="380">
        <v>44077</v>
      </c>
      <c r="D955" s="4">
        <v>0.63</v>
      </c>
      <c r="E955" s="381">
        <f t="shared" si="33"/>
        <v>4.0646087214530983E-10</v>
      </c>
      <c r="G955" s="396">
        <v>44160</v>
      </c>
      <c r="H955" s="32">
        <v>2.2082099999999998</v>
      </c>
    </row>
    <row r="956" spans="2:8" x14ac:dyDescent="0.3">
      <c r="B956" s="379">
        <f t="shared" si="34"/>
        <v>303</v>
      </c>
      <c r="C956" s="380">
        <v>44078</v>
      </c>
      <c r="D956" s="4">
        <v>0.72</v>
      </c>
      <c r="E956" s="381">
        <f t="shared" si="33"/>
        <v>4.3240518313330835E-10</v>
      </c>
      <c r="G956" s="396">
        <v>44162</v>
      </c>
      <c r="H956" s="32">
        <v>2.2370399999999999</v>
      </c>
    </row>
    <row r="957" spans="2:8" x14ac:dyDescent="0.3">
      <c r="B957" s="379">
        <f t="shared" si="34"/>
        <v>302</v>
      </c>
      <c r="C957" s="380">
        <v>44082</v>
      </c>
      <c r="D957" s="4">
        <v>0.69</v>
      </c>
      <c r="E957" s="381">
        <f t="shared" si="33"/>
        <v>4.6000551397160463E-10</v>
      </c>
      <c r="G957" s="396">
        <v>44165</v>
      </c>
      <c r="H957" s="32">
        <v>2.2754099999999999</v>
      </c>
    </row>
    <row r="958" spans="2:8" x14ac:dyDescent="0.3">
      <c r="B958" s="379">
        <f t="shared" si="34"/>
        <v>301</v>
      </c>
      <c r="C958" s="380">
        <v>44083</v>
      </c>
      <c r="D958" s="4">
        <v>0.71</v>
      </c>
      <c r="E958" s="381">
        <f t="shared" si="33"/>
        <v>4.8936756805489851E-10</v>
      </c>
      <c r="G958" s="396">
        <v>44166</v>
      </c>
      <c r="H958" s="32">
        <v>2.18018</v>
      </c>
    </row>
    <row r="959" spans="2:8" x14ac:dyDescent="0.3">
      <c r="B959" s="379">
        <f t="shared" si="34"/>
        <v>300</v>
      </c>
      <c r="C959" s="380">
        <v>44084</v>
      </c>
      <c r="D959" s="4">
        <v>0.68</v>
      </c>
      <c r="E959" s="381">
        <f t="shared" si="33"/>
        <v>5.2060379580308359E-10</v>
      </c>
      <c r="G959" s="396">
        <v>44167</v>
      </c>
      <c r="H959" s="32">
        <v>2.1499000000000001</v>
      </c>
    </row>
    <row r="960" spans="2:8" x14ac:dyDescent="0.3">
      <c r="B960" s="379">
        <f t="shared" si="34"/>
        <v>299</v>
      </c>
      <c r="C960" s="380">
        <v>44085</v>
      </c>
      <c r="D960" s="4">
        <v>0.67</v>
      </c>
      <c r="E960" s="381">
        <f t="shared" si="33"/>
        <v>5.5383382532242934E-10</v>
      </c>
      <c r="G960" s="396">
        <v>44168</v>
      </c>
      <c r="H960" s="32">
        <v>2.12384</v>
      </c>
    </row>
    <row r="961" spans="2:8" x14ac:dyDescent="0.3">
      <c r="B961" s="379">
        <f t="shared" si="34"/>
        <v>298</v>
      </c>
      <c r="C961" s="380">
        <v>44088</v>
      </c>
      <c r="D961" s="4">
        <v>0.68</v>
      </c>
      <c r="E961" s="381">
        <f t="shared" si="33"/>
        <v>5.8918492055577596E-10</v>
      </c>
      <c r="G961" s="396">
        <v>44169</v>
      </c>
      <c r="H961" s="32">
        <v>2.0861900000000002</v>
      </c>
    </row>
    <row r="962" spans="2:8" x14ac:dyDescent="0.3">
      <c r="B962" s="379">
        <f t="shared" si="34"/>
        <v>297</v>
      </c>
      <c r="C962" s="380">
        <v>44089</v>
      </c>
      <c r="D962" s="4">
        <v>0.68</v>
      </c>
      <c r="E962" s="381">
        <f t="shared" si="33"/>
        <v>6.2679246867635738E-10</v>
      </c>
      <c r="G962" s="396">
        <v>44172</v>
      </c>
      <c r="H962" s="32">
        <v>2.12426</v>
      </c>
    </row>
    <row r="963" spans="2:8" x14ac:dyDescent="0.3">
      <c r="B963" s="379">
        <f t="shared" si="34"/>
        <v>296</v>
      </c>
      <c r="C963" s="380">
        <v>44090</v>
      </c>
      <c r="D963" s="4">
        <v>0.69</v>
      </c>
      <c r="E963" s="381">
        <f t="shared" si="33"/>
        <v>6.6680049859186963E-10</v>
      </c>
      <c r="G963" s="396">
        <v>44173</v>
      </c>
      <c r="H963" s="32">
        <v>2.16092</v>
      </c>
    </row>
    <row r="964" spans="2:8" x14ac:dyDescent="0.3">
      <c r="B964" s="379">
        <f t="shared" si="34"/>
        <v>295</v>
      </c>
      <c r="C964" s="380">
        <v>44091</v>
      </c>
      <c r="D964" s="4">
        <v>0.69</v>
      </c>
      <c r="E964" s="381">
        <f t="shared" si="33"/>
        <v>7.0936223254454201E-10</v>
      </c>
      <c r="G964" s="396">
        <v>44174</v>
      </c>
      <c r="H964" s="32">
        <v>2.1611099999999999</v>
      </c>
    </row>
    <row r="965" spans="2:8" x14ac:dyDescent="0.3">
      <c r="B965" s="379">
        <f t="shared" si="34"/>
        <v>294</v>
      </c>
      <c r="C965" s="380">
        <v>44092</v>
      </c>
      <c r="D965" s="4">
        <v>0.7</v>
      </c>
      <c r="E965" s="381">
        <f t="shared" si="33"/>
        <v>7.5464067291972575E-10</v>
      </c>
      <c r="G965" s="396">
        <v>44175</v>
      </c>
      <c r="H965" s="32">
        <v>2.16404</v>
      </c>
    </row>
    <row r="966" spans="2:8" x14ac:dyDescent="0.3">
      <c r="B966" s="379">
        <f t="shared" si="34"/>
        <v>293</v>
      </c>
      <c r="C966" s="380">
        <v>44095</v>
      </c>
      <c r="D966" s="4">
        <v>0.68</v>
      </c>
      <c r="E966" s="381">
        <f t="shared" si="33"/>
        <v>8.028092265103464E-10</v>
      </c>
      <c r="G966" s="396">
        <v>44176</v>
      </c>
      <c r="H966" s="32">
        <v>2.15246</v>
      </c>
    </row>
    <row r="967" spans="2:8" x14ac:dyDescent="0.3">
      <c r="B967" s="379">
        <f t="shared" si="34"/>
        <v>292</v>
      </c>
      <c r="C967" s="380">
        <v>44096</v>
      </c>
      <c r="D967" s="4">
        <v>0.68</v>
      </c>
      <c r="E967" s="381">
        <f t="shared" si="33"/>
        <v>8.5405236862802818E-10</v>
      </c>
      <c r="G967" s="396">
        <v>44179</v>
      </c>
      <c r="H967" s="32">
        <v>2.1429900000000002</v>
      </c>
    </row>
    <row r="968" spans="2:8" x14ac:dyDescent="0.3">
      <c r="B968" s="379">
        <f t="shared" si="34"/>
        <v>291</v>
      </c>
      <c r="C968" s="380">
        <v>44097</v>
      </c>
      <c r="D968" s="4">
        <v>0.68</v>
      </c>
      <c r="E968" s="381">
        <f t="shared" si="33"/>
        <v>9.0856634960428524E-10</v>
      </c>
      <c r="G968" s="396">
        <v>44180</v>
      </c>
      <c r="H968" s="32">
        <v>2.0983000000000001</v>
      </c>
    </row>
    <row r="969" spans="2:8" x14ac:dyDescent="0.3">
      <c r="B969" s="379">
        <f t="shared" si="34"/>
        <v>290</v>
      </c>
      <c r="C969" s="380">
        <v>44098</v>
      </c>
      <c r="D969" s="4">
        <v>0.67</v>
      </c>
      <c r="E969" s="381">
        <f t="shared" ref="E969:E1032" si="35">+(1-$C$4)*$C$4^B969</f>
        <v>9.6655994638753766E-10</v>
      </c>
      <c r="G969" s="396">
        <v>44181</v>
      </c>
      <c r="H969" s="32">
        <v>2.0826600000000002</v>
      </c>
    </row>
    <row r="970" spans="2:8" x14ac:dyDescent="0.3">
      <c r="B970" s="379">
        <f t="shared" si="34"/>
        <v>289</v>
      </c>
      <c r="C970" s="380">
        <v>44099</v>
      </c>
      <c r="D970" s="4">
        <v>0.66</v>
      </c>
      <c r="E970" s="381">
        <f t="shared" si="35"/>
        <v>1.0282552621144018E-9</v>
      </c>
      <c r="G970" s="396">
        <v>44182</v>
      </c>
      <c r="H970" s="32">
        <v>2.0576699999999999</v>
      </c>
    </row>
    <row r="971" spans="2:8" x14ac:dyDescent="0.3">
      <c r="B971" s="379">
        <f t="shared" ref="B971:B1034" si="36">+B970-1</f>
        <v>288</v>
      </c>
      <c r="C971" s="380">
        <v>44102</v>
      </c>
      <c r="D971" s="4">
        <v>0.67</v>
      </c>
      <c r="E971" s="381">
        <f t="shared" si="35"/>
        <v>1.0938885767174486E-9</v>
      </c>
      <c r="G971" s="396">
        <v>44183</v>
      </c>
      <c r="H971" s="32">
        <v>2.0537800000000002</v>
      </c>
    </row>
    <row r="972" spans="2:8" x14ac:dyDescent="0.3">
      <c r="B972" s="379">
        <f t="shared" si="36"/>
        <v>287</v>
      </c>
      <c r="C972" s="380">
        <v>44103</v>
      </c>
      <c r="D972" s="4">
        <v>0.66</v>
      </c>
      <c r="E972" s="381">
        <f t="shared" si="35"/>
        <v>1.1637112518270729E-9</v>
      </c>
      <c r="G972" s="396">
        <v>44186</v>
      </c>
      <c r="H972" s="32">
        <v>2.0722</v>
      </c>
    </row>
    <row r="973" spans="2:8" x14ac:dyDescent="0.3">
      <c r="B973" s="379">
        <f t="shared" si="36"/>
        <v>286</v>
      </c>
      <c r="C973" s="380">
        <v>44104</v>
      </c>
      <c r="D973" s="4">
        <v>0.69</v>
      </c>
      <c r="E973" s="381">
        <f t="shared" si="35"/>
        <v>1.2379906934330565E-9</v>
      </c>
      <c r="G973" s="396">
        <v>44187</v>
      </c>
      <c r="H973" s="32">
        <v>2.0774400000000002</v>
      </c>
    </row>
    <row r="974" spans="2:8" x14ac:dyDescent="0.3">
      <c r="B974" s="379">
        <f t="shared" si="36"/>
        <v>285</v>
      </c>
      <c r="C974" s="380">
        <v>44105</v>
      </c>
      <c r="D974" s="4">
        <v>0.68</v>
      </c>
      <c r="E974" s="381">
        <f t="shared" si="35"/>
        <v>1.317011375992613E-9</v>
      </c>
      <c r="G974" s="396">
        <v>44188</v>
      </c>
      <c r="H974" s="32">
        <v>2.0374500000000002</v>
      </c>
    </row>
    <row r="975" spans="2:8" x14ac:dyDescent="0.3">
      <c r="B975" s="379">
        <f t="shared" si="36"/>
        <v>284</v>
      </c>
      <c r="C975" s="380">
        <v>44106</v>
      </c>
      <c r="D975" s="4">
        <v>0.7</v>
      </c>
      <c r="E975" s="381">
        <f t="shared" si="35"/>
        <v>1.4010759319070355E-9</v>
      </c>
      <c r="G975" s="396">
        <v>44189</v>
      </c>
      <c r="H975" s="32">
        <v>2.0661100000000001</v>
      </c>
    </row>
    <row r="976" spans="2:8" x14ac:dyDescent="0.3">
      <c r="B976" s="379">
        <f t="shared" si="36"/>
        <v>283</v>
      </c>
      <c r="C976" s="380">
        <v>44109</v>
      </c>
      <c r="D976" s="4">
        <v>0.78</v>
      </c>
      <c r="E976" s="381">
        <f t="shared" si="35"/>
        <v>1.4905063105393993E-9</v>
      </c>
      <c r="G976" s="396">
        <v>44193</v>
      </c>
      <c r="H976" s="32">
        <v>2.0665200000000001</v>
      </c>
    </row>
    <row r="977" spans="2:8" x14ac:dyDescent="0.3">
      <c r="B977" s="379">
        <f t="shared" si="36"/>
        <v>282</v>
      </c>
      <c r="C977" s="380">
        <v>44110</v>
      </c>
      <c r="D977" s="4">
        <v>0.76</v>
      </c>
      <c r="E977" s="381">
        <f t="shared" si="35"/>
        <v>1.585645011212127E-9</v>
      </c>
      <c r="G977" s="396">
        <v>44194</v>
      </c>
      <c r="H977" s="32">
        <v>2.0506000000000002</v>
      </c>
    </row>
    <row r="978" spans="2:8" x14ac:dyDescent="0.3">
      <c r="B978" s="379">
        <f t="shared" si="36"/>
        <v>281</v>
      </c>
      <c r="C978" s="380">
        <v>44111</v>
      </c>
      <c r="D978" s="4">
        <v>0.81</v>
      </c>
      <c r="E978" s="381">
        <f t="shared" si="35"/>
        <v>1.6868563949065179E-9</v>
      </c>
      <c r="G978" s="396">
        <v>44195</v>
      </c>
      <c r="H978" s="32">
        <v>2.05626</v>
      </c>
    </row>
    <row r="979" spans="2:8" x14ac:dyDescent="0.3">
      <c r="B979" s="379">
        <f t="shared" si="36"/>
        <v>280</v>
      </c>
      <c r="C979" s="380">
        <v>44112</v>
      </c>
      <c r="D979" s="4">
        <v>0.78</v>
      </c>
      <c r="E979" s="381">
        <f t="shared" si="35"/>
        <v>1.7945280796877854E-9</v>
      </c>
      <c r="G979" s="396">
        <v>44196</v>
      </c>
      <c r="H979" s="32">
        <v>2.0555599999999998</v>
      </c>
    </row>
    <row r="980" spans="2:8" x14ac:dyDescent="0.3">
      <c r="B980" s="379">
        <f t="shared" si="36"/>
        <v>279</v>
      </c>
      <c r="C980" s="380">
        <v>44113</v>
      </c>
      <c r="D980" s="4">
        <v>0.79</v>
      </c>
      <c r="E980" s="381">
        <f t="shared" si="35"/>
        <v>1.9090724251997714E-9</v>
      </c>
      <c r="G980" s="396">
        <v>44200</v>
      </c>
      <c r="H980" s="32">
        <v>2.08053</v>
      </c>
    </row>
    <row r="981" spans="2:8" x14ac:dyDescent="0.3">
      <c r="B981" s="379">
        <f t="shared" si="36"/>
        <v>278</v>
      </c>
      <c r="C981" s="380">
        <v>44117</v>
      </c>
      <c r="D981" s="4">
        <v>0.74</v>
      </c>
      <c r="E981" s="381">
        <f t="shared" si="35"/>
        <v>2.0309281119146508E-9</v>
      </c>
      <c r="G981" s="396">
        <v>44201</v>
      </c>
      <c r="H981" s="32">
        <v>2.0891500000000001</v>
      </c>
    </row>
    <row r="982" spans="2:8" x14ac:dyDescent="0.3">
      <c r="B982" s="379">
        <f t="shared" si="36"/>
        <v>277</v>
      </c>
      <c r="C982" s="380">
        <v>44118</v>
      </c>
      <c r="D982" s="4">
        <v>0.73</v>
      </c>
      <c r="E982" s="381">
        <f t="shared" si="35"/>
        <v>2.1605618211857986E-9</v>
      </c>
      <c r="G982" s="396">
        <v>44202</v>
      </c>
      <c r="H982" s="32">
        <v>2.0940099999999999</v>
      </c>
    </row>
    <row r="983" spans="2:8" x14ac:dyDescent="0.3">
      <c r="B983" s="379">
        <f t="shared" si="36"/>
        <v>276</v>
      </c>
      <c r="C983" s="380">
        <v>44119</v>
      </c>
      <c r="D983" s="4">
        <v>0.74</v>
      </c>
      <c r="E983" s="381">
        <f t="shared" si="35"/>
        <v>2.2984700225380833E-9</v>
      </c>
      <c r="G983" s="396">
        <v>44203</v>
      </c>
      <c r="H983" s="32">
        <v>2.0996999999999999</v>
      </c>
    </row>
    <row r="984" spans="2:8" x14ac:dyDescent="0.3">
      <c r="B984" s="379">
        <f t="shared" si="36"/>
        <v>275</v>
      </c>
      <c r="C984" s="380">
        <v>44120</v>
      </c>
      <c r="D984" s="4">
        <v>0.76</v>
      </c>
      <c r="E984" s="381">
        <f t="shared" si="35"/>
        <v>2.4451808750405144E-9</v>
      </c>
      <c r="G984" s="396">
        <v>44204</v>
      </c>
      <c r="H984" s="32">
        <v>2.0604200000000001</v>
      </c>
    </row>
    <row r="985" spans="2:8" x14ac:dyDescent="0.3">
      <c r="B985" s="379">
        <f t="shared" si="36"/>
        <v>274</v>
      </c>
      <c r="C985" s="380">
        <v>44123</v>
      </c>
      <c r="D985" s="4">
        <v>0.78</v>
      </c>
      <c r="E985" s="381">
        <f t="shared" si="35"/>
        <v>2.6012562500431009E-9</v>
      </c>
      <c r="G985" s="396">
        <v>44207</v>
      </c>
      <c r="H985" s="32">
        <v>2.09911</v>
      </c>
    </row>
    <row r="986" spans="2:8" x14ac:dyDescent="0.3">
      <c r="B986" s="379">
        <f t="shared" si="36"/>
        <v>273</v>
      </c>
      <c r="C986" s="380">
        <v>44124</v>
      </c>
      <c r="D986" s="4">
        <v>0.81</v>
      </c>
      <c r="E986" s="381">
        <f t="shared" si="35"/>
        <v>2.7672938830245753E-9</v>
      </c>
      <c r="G986" s="396">
        <v>44208</v>
      </c>
      <c r="H986" s="32">
        <v>2.16838</v>
      </c>
    </row>
    <row r="987" spans="2:8" x14ac:dyDescent="0.3">
      <c r="B987" s="379">
        <f t="shared" si="36"/>
        <v>272</v>
      </c>
      <c r="C987" s="380">
        <v>44125</v>
      </c>
      <c r="D987" s="4">
        <v>0.83</v>
      </c>
      <c r="E987" s="381">
        <f t="shared" si="35"/>
        <v>2.9439296627921013E-9</v>
      </c>
      <c r="G987" s="396">
        <v>44209</v>
      </c>
      <c r="H987" s="32">
        <v>2.1926600000000001</v>
      </c>
    </row>
    <row r="988" spans="2:8" x14ac:dyDescent="0.3">
      <c r="B988" s="379">
        <f t="shared" si="36"/>
        <v>271</v>
      </c>
      <c r="C988" s="380">
        <v>44126</v>
      </c>
      <c r="D988" s="4">
        <v>0.87</v>
      </c>
      <c r="E988" s="381">
        <f t="shared" si="35"/>
        <v>3.1318400668001075E-9</v>
      </c>
      <c r="G988" s="396">
        <v>44210</v>
      </c>
      <c r="H988" s="32">
        <v>2.1575299999999999</v>
      </c>
    </row>
    <row r="989" spans="2:8" x14ac:dyDescent="0.3">
      <c r="B989" s="379">
        <f t="shared" si="36"/>
        <v>270</v>
      </c>
      <c r="C989" s="380">
        <v>44127</v>
      </c>
      <c r="D989" s="4">
        <v>0.85</v>
      </c>
      <c r="E989" s="381">
        <f t="shared" si="35"/>
        <v>3.3317447519150089E-9</v>
      </c>
      <c r="G989" s="396">
        <v>44211</v>
      </c>
      <c r="H989" s="32">
        <v>2.2042099999999998</v>
      </c>
    </row>
    <row r="990" spans="2:8" x14ac:dyDescent="0.3">
      <c r="B990" s="379">
        <f t="shared" si="36"/>
        <v>269</v>
      </c>
      <c r="C990" s="380">
        <v>44130</v>
      </c>
      <c r="D990" s="4">
        <v>0.81</v>
      </c>
      <c r="E990" s="381">
        <f t="shared" si="35"/>
        <v>3.5444093105478812E-9</v>
      </c>
      <c r="G990" s="396">
        <v>44215</v>
      </c>
      <c r="H990" s="32">
        <v>2.2129300000000001</v>
      </c>
    </row>
    <row r="991" spans="2:8" x14ac:dyDescent="0.3">
      <c r="B991" s="379">
        <f t="shared" si="36"/>
        <v>268</v>
      </c>
      <c r="C991" s="380">
        <v>44131</v>
      </c>
      <c r="D991" s="4">
        <v>0.79</v>
      </c>
      <c r="E991" s="381">
        <f t="shared" si="35"/>
        <v>3.7706482027105119E-9</v>
      </c>
      <c r="G991" s="396">
        <v>44216</v>
      </c>
      <c r="H991" s="32">
        <v>2.2141899999999999</v>
      </c>
    </row>
    <row r="992" spans="2:8" x14ac:dyDescent="0.3">
      <c r="B992" s="379">
        <f t="shared" si="36"/>
        <v>267</v>
      </c>
      <c r="C992" s="380">
        <v>44132</v>
      </c>
      <c r="D992" s="4">
        <v>0.79</v>
      </c>
      <c r="E992" s="381">
        <f t="shared" si="35"/>
        <v>4.0113278752239486E-9</v>
      </c>
      <c r="G992" s="396">
        <v>44217</v>
      </c>
      <c r="H992" s="32">
        <v>2.19625</v>
      </c>
    </row>
    <row r="993" spans="2:8" x14ac:dyDescent="0.3">
      <c r="B993" s="379">
        <f t="shared" si="36"/>
        <v>266</v>
      </c>
      <c r="C993" s="380">
        <v>44133</v>
      </c>
      <c r="D993" s="4">
        <v>0.85</v>
      </c>
      <c r="E993" s="381">
        <f t="shared" si="35"/>
        <v>4.2673700800254783E-9</v>
      </c>
      <c r="G993" s="396">
        <v>44218</v>
      </c>
      <c r="H993" s="32">
        <v>2.2064300000000001</v>
      </c>
    </row>
    <row r="994" spans="2:8" x14ac:dyDescent="0.3">
      <c r="B994" s="379">
        <f t="shared" si="36"/>
        <v>265</v>
      </c>
      <c r="C994" s="380">
        <v>44134</v>
      </c>
      <c r="D994" s="4">
        <v>0.88</v>
      </c>
      <c r="E994" s="381">
        <f t="shared" si="35"/>
        <v>4.5397554042824226E-9</v>
      </c>
      <c r="G994" s="396">
        <v>44221</v>
      </c>
      <c r="H994" s="32">
        <v>2.2280799999999998</v>
      </c>
    </row>
    <row r="995" spans="2:8" x14ac:dyDescent="0.3">
      <c r="B995" s="379">
        <f t="shared" si="36"/>
        <v>264</v>
      </c>
      <c r="C995" s="380">
        <v>44137</v>
      </c>
      <c r="D995" s="4">
        <v>0.87</v>
      </c>
      <c r="E995" s="381">
        <f t="shared" si="35"/>
        <v>4.8295270258323656E-9</v>
      </c>
      <c r="G995" s="396">
        <v>44222</v>
      </c>
      <c r="H995" s="32">
        <v>2.2170999999999998</v>
      </c>
    </row>
    <row r="996" spans="2:8" x14ac:dyDescent="0.3">
      <c r="B996" s="379">
        <f t="shared" si="36"/>
        <v>263</v>
      </c>
      <c r="C996" s="380">
        <v>44138</v>
      </c>
      <c r="D996" s="4">
        <v>0.9</v>
      </c>
      <c r="E996" s="381">
        <f t="shared" si="35"/>
        <v>5.137794708332303E-9</v>
      </c>
      <c r="G996" s="396">
        <v>44223</v>
      </c>
      <c r="H996" s="32">
        <v>2.2487900000000001</v>
      </c>
    </row>
    <row r="997" spans="2:8" x14ac:dyDescent="0.3">
      <c r="B997" s="379">
        <f t="shared" si="36"/>
        <v>262</v>
      </c>
      <c r="C997" s="380">
        <v>44139</v>
      </c>
      <c r="D997" s="4">
        <v>0.78</v>
      </c>
      <c r="E997" s="381">
        <f t="shared" si="35"/>
        <v>5.4657390514173445E-9</v>
      </c>
      <c r="G997" s="396">
        <v>44224</v>
      </c>
      <c r="H997" s="32">
        <v>2.2292299999999998</v>
      </c>
    </row>
    <row r="998" spans="2:8" x14ac:dyDescent="0.3">
      <c r="B998" s="379">
        <f t="shared" si="36"/>
        <v>261</v>
      </c>
      <c r="C998" s="380">
        <v>44140</v>
      </c>
      <c r="D998" s="4">
        <v>0.79</v>
      </c>
      <c r="E998" s="381">
        <f t="shared" si="35"/>
        <v>5.8146160121461103E-9</v>
      </c>
      <c r="G998" s="396">
        <v>44225</v>
      </c>
      <c r="H998" s="32">
        <v>2.1869100000000001</v>
      </c>
    </row>
    <row r="999" spans="2:8" x14ac:dyDescent="0.3">
      <c r="B999" s="379">
        <f t="shared" si="36"/>
        <v>260</v>
      </c>
      <c r="C999" s="380">
        <v>44141</v>
      </c>
      <c r="D999" s="4">
        <v>0.83</v>
      </c>
      <c r="E999" s="381">
        <f t="shared" si="35"/>
        <v>6.1857617150490541E-9</v>
      </c>
      <c r="G999" s="396">
        <v>44228</v>
      </c>
      <c r="H999" s="32">
        <v>2.1945999999999999</v>
      </c>
    </row>
    <row r="1000" spans="2:8" x14ac:dyDescent="0.3">
      <c r="B1000" s="379">
        <f t="shared" si="36"/>
        <v>259</v>
      </c>
      <c r="C1000" s="380">
        <v>44144</v>
      </c>
      <c r="D1000" s="4">
        <v>0.96</v>
      </c>
      <c r="E1000" s="381">
        <f t="shared" si="35"/>
        <v>6.5805975692011213E-9</v>
      </c>
      <c r="G1000" s="396">
        <v>44229</v>
      </c>
      <c r="H1000" s="32">
        <v>2.1522399999999999</v>
      </c>
    </row>
    <row r="1001" spans="2:8" x14ac:dyDescent="0.3">
      <c r="B1001" s="379">
        <f t="shared" si="36"/>
        <v>258</v>
      </c>
      <c r="C1001" s="380">
        <v>44145</v>
      </c>
      <c r="D1001" s="4">
        <v>0.98</v>
      </c>
      <c r="E1001" s="381">
        <f t="shared" si="35"/>
        <v>7.0006357119160874E-9</v>
      </c>
      <c r="G1001" s="396">
        <v>44230</v>
      </c>
      <c r="H1001" s="32">
        <v>2.1557499999999998</v>
      </c>
    </row>
    <row r="1002" spans="2:8" x14ac:dyDescent="0.3">
      <c r="B1002" s="379">
        <f t="shared" si="36"/>
        <v>257</v>
      </c>
      <c r="C1002" s="380">
        <v>44147</v>
      </c>
      <c r="D1002" s="4">
        <v>0.88</v>
      </c>
      <c r="E1002" s="381">
        <f t="shared" si="35"/>
        <v>7.447484799910731E-9</v>
      </c>
      <c r="G1002" s="396">
        <v>44231</v>
      </c>
      <c r="H1002" s="32">
        <v>2.1492200000000001</v>
      </c>
    </row>
    <row r="1003" spans="2:8" x14ac:dyDescent="0.3">
      <c r="B1003" s="379">
        <f t="shared" si="36"/>
        <v>256</v>
      </c>
      <c r="C1003" s="380">
        <v>44148</v>
      </c>
      <c r="D1003" s="4">
        <v>0.89</v>
      </c>
      <c r="E1003" s="381">
        <f t="shared" si="35"/>
        <v>7.922856170117799E-9</v>
      </c>
      <c r="G1003" s="396">
        <v>44232</v>
      </c>
      <c r="H1003" s="32">
        <v>2.1065100000000001</v>
      </c>
    </row>
    <row r="1004" spans="2:8" x14ac:dyDescent="0.3">
      <c r="B1004" s="379">
        <f t="shared" si="36"/>
        <v>255</v>
      </c>
      <c r="C1004" s="380">
        <v>44151</v>
      </c>
      <c r="D1004" s="4">
        <v>0.91</v>
      </c>
      <c r="E1004" s="381">
        <f t="shared" si="35"/>
        <v>8.4285703937423382E-9</v>
      </c>
      <c r="G1004" s="396">
        <v>44235</v>
      </c>
      <c r="H1004" s="32">
        <v>2.1128999999999998</v>
      </c>
    </row>
    <row r="1005" spans="2:8" x14ac:dyDescent="0.3">
      <c r="B1005" s="379">
        <f t="shared" si="36"/>
        <v>254</v>
      </c>
      <c r="C1005" s="380">
        <v>44152</v>
      </c>
      <c r="D1005" s="4">
        <v>0.87</v>
      </c>
      <c r="E1005" s="381">
        <f t="shared" si="35"/>
        <v>8.9665642486620629E-9</v>
      </c>
      <c r="G1005" s="396">
        <v>44236</v>
      </c>
      <c r="H1005" s="32">
        <v>2.1079699999999999</v>
      </c>
    </row>
    <row r="1006" spans="2:8" x14ac:dyDescent="0.3">
      <c r="B1006" s="379">
        <f t="shared" si="36"/>
        <v>253</v>
      </c>
      <c r="C1006" s="380">
        <v>44153</v>
      </c>
      <c r="D1006" s="4">
        <v>0.88</v>
      </c>
      <c r="E1006" s="381">
        <f t="shared" si="35"/>
        <v>9.5388981368745347E-9</v>
      </c>
      <c r="G1006" s="396">
        <v>44237</v>
      </c>
      <c r="H1006" s="32">
        <v>2.1150000000000002</v>
      </c>
    </row>
    <row r="1007" spans="2:8" x14ac:dyDescent="0.3">
      <c r="B1007" s="379">
        <f t="shared" si="36"/>
        <v>252</v>
      </c>
      <c r="C1007" s="380">
        <v>44154</v>
      </c>
      <c r="D1007" s="4">
        <v>0.86</v>
      </c>
      <c r="E1007" s="381">
        <f t="shared" si="35"/>
        <v>1.0147763975398443E-8</v>
      </c>
      <c r="G1007" s="396">
        <v>44238</v>
      </c>
      <c r="H1007" s="32">
        <v>2.0845400000000001</v>
      </c>
    </row>
    <row r="1008" spans="2:8" x14ac:dyDescent="0.3">
      <c r="B1008" s="379">
        <f t="shared" si="36"/>
        <v>251</v>
      </c>
      <c r="C1008" s="380">
        <v>44155</v>
      </c>
      <c r="D1008" s="4">
        <v>0.83</v>
      </c>
      <c r="E1008" s="381">
        <f t="shared" si="35"/>
        <v>1.0795493590849407E-8</v>
      </c>
      <c r="G1008" s="396">
        <v>44239</v>
      </c>
      <c r="H1008" s="32">
        <v>2.06941</v>
      </c>
    </row>
    <row r="1009" spans="2:8" x14ac:dyDescent="0.3">
      <c r="B1009" s="379">
        <f t="shared" si="36"/>
        <v>250</v>
      </c>
      <c r="C1009" s="380">
        <v>44158</v>
      </c>
      <c r="D1009" s="4">
        <v>0.86</v>
      </c>
      <c r="E1009" s="381">
        <f t="shared" si="35"/>
        <v>1.1484567649839795E-8</v>
      </c>
      <c r="G1009" s="396">
        <v>44243</v>
      </c>
      <c r="H1009" s="32">
        <v>2.0810499999999998</v>
      </c>
    </row>
    <row r="1010" spans="2:8" x14ac:dyDescent="0.3">
      <c r="B1010" s="379">
        <f t="shared" si="36"/>
        <v>249</v>
      </c>
      <c r="C1010" s="380">
        <v>44159</v>
      </c>
      <c r="D1010" s="4">
        <v>0.88</v>
      </c>
      <c r="E1010" s="381">
        <f t="shared" si="35"/>
        <v>1.2217625159404037E-8</v>
      </c>
      <c r="G1010" s="396">
        <v>44244</v>
      </c>
      <c r="H1010" s="32">
        <v>2.0977199999999998</v>
      </c>
    </row>
    <row r="1011" spans="2:8" x14ac:dyDescent="0.3">
      <c r="B1011" s="379">
        <f t="shared" si="36"/>
        <v>248</v>
      </c>
      <c r="C1011" s="380">
        <v>44160</v>
      </c>
      <c r="D1011" s="4">
        <v>0.88</v>
      </c>
      <c r="E1011" s="381">
        <f t="shared" si="35"/>
        <v>1.2997473573834084E-8</v>
      </c>
      <c r="G1011" s="396">
        <v>44245</v>
      </c>
      <c r="H1011" s="32">
        <v>2.0982599999999998</v>
      </c>
    </row>
    <row r="1012" spans="2:8" x14ac:dyDescent="0.3">
      <c r="B1012" s="379">
        <f t="shared" si="36"/>
        <v>247</v>
      </c>
      <c r="C1012" s="380">
        <v>44162</v>
      </c>
      <c r="D1012" s="4">
        <v>0.84</v>
      </c>
      <c r="E1012" s="381">
        <f t="shared" si="35"/>
        <v>1.3827099546632002E-8</v>
      </c>
      <c r="G1012" s="396">
        <v>44246</v>
      </c>
      <c r="H1012" s="32">
        <v>2.10487</v>
      </c>
    </row>
    <row r="1013" spans="2:8" x14ac:dyDescent="0.3">
      <c r="B1013" s="379">
        <f t="shared" si="36"/>
        <v>246</v>
      </c>
      <c r="C1013" s="380">
        <v>44165</v>
      </c>
      <c r="D1013" s="4">
        <v>0.84</v>
      </c>
      <c r="E1013" s="381">
        <f t="shared" si="35"/>
        <v>1.4709680368757451E-8</v>
      </c>
      <c r="G1013" s="396">
        <v>44249</v>
      </c>
      <c r="H1013" s="32">
        <v>2.15578</v>
      </c>
    </row>
    <row r="1014" spans="2:8" x14ac:dyDescent="0.3">
      <c r="B1014" s="379">
        <f t="shared" si="36"/>
        <v>245</v>
      </c>
      <c r="C1014" s="380">
        <v>44166</v>
      </c>
      <c r="D1014" s="4">
        <v>0.92</v>
      </c>
      <c r="E1014" s="381">
        <f t="shared" si="35"/>
        <v>1.5648596136976011E-8</v>
      </c>
      <c r="G1014" s="396">
        <v>44250</v>
      </c>
      <c r="H1014" s="32">
        <v>2.1884199999999998</v>
      </c>
    </row>
    <row r="1015" spans="2:8" x14ac:dyDescent="0.3">
      <c r="B1015" s="379">
        <f t="shared" si="36"/>
        <v>244</v>
      </c>
      <c r="C1015" s="380">
        <v>44167</v>
      </c>
      <c r="D1015" s="4">
        <v>0.95</v>
      </c>
      <c r="E1015" s="381">
        <f t="shared" si="35"/>
        <v>1.664744269891065E-8</v>
      </c>
      <c r="G1015" s="396">
        <v>44251</v>
      </c>
      <c r="H1015" s="32">
        <v>2.1587499999999999</v>
      </c>
    </row>
    <row r="1016" spans="2:8" x14ac:dyDescent="0.3">
      <c r="B1016" s="379">
        <f t="shared" si="36"/>
        <v>243</v>
      </c>
      <c r="C1016" s="380">
        <v>44168</v>
      </c>
      <c r="D1016" s="4">
        <v>0.92</v>
      </c>
      <c r="E1016" s="381">
        <f t="shared" si="35"/>
        <v>1.7710045424373028E-8</v>
      </c>
      <c r="G1016" s="396">
        <v>44252</v>
      </c>
      <c r="H1016" s="32">
        <v>2.2307800000000002</v>
      </c>
    </row>
    <row r="1017" spans="2:8" x14ac:dyDescent="0.3">
      <c r="B1017" s="379">
        <f t="shared" si="36"/>
        <v>242</v>
      </c>
      <c r="C1017" s="380">
        <v>44169</v>
      </c>
      <c r="D1017" s="4">
        <v>0.97</v>
      </c>
      <c r="E1017" s="381">
        <f t="shared" si="35"/>
        <v>1.8840473855715992E-8</v>
      </c>
      <c r="G1017" s="396">
        <v>44253</v>
      </c>
      <c r="H1017" s="32">
        <v>2.3226800000000001</v>
      </c>
    </row>
    <row r="1018" spans="2:8" x14ac:dyDescent="0.3">
      <c r="B1018" s="379">
        <f t="shared" si="36"/>
        <v>241</v>
      </c>
      <c r="C1018" s="380">
        <v>44172</v>
      </c>
      <c r="D1018" s="4">
        <v>0.94</v>
      </c>
      <c r="E1018" s="381">
        <f t="shared" si="35"/>
        <v>2.0043057293314888E-8</v>
      </c>
      <c r="G1018" s="396">
        <v>44256</v>
      </c>
      <c r="H1018" s="32">
        <v>2.2507299999999999</v>
      </c>
    </row>
    <row r="1019" spans="2:8" x14ac:dyDescent="0.3">
      <c r="B1019" s="379">
        <f t="shared" si="36"/>
        <v>240</v>
      </c>
      <c r="C1019" s="380">
        <v>44173</v>
      </c>
      <c r="D1019" s="4">
        <v>0.92</v>
      </c>
      <c r="E1019" s="381">
        <f t="shared" si="35"/>
        <v>2.1322401375866899E-8</v>
      </c>
      <c r="G1019" s="396">
        <v>44257</v>
      </c>
      <c r="H1019" s="32">
        <v>2.2584900000000001</v>
      </c>
    </row>
    <row r="1020" spans="2:8" x14ac:dyDescent="0.3">
      <c r="B1020" s="379">
        <f t="shared" si="36"/>
        <v>239</v>
      </c>
      <c r="C1020" s="380">
        <v>44174</v>
      </c>
      <c r="D1020" s="4">
        <v>0.95</v>
      </c>
      <c r="E1020" s="381">
        <f t="shared" si="35"/>
        <v>2.2683405719007341E-8</v>
      </c>
      <c r="G1020" s="396">
        <v>44258</v>
      </c>
      <c r="H1020" s="32">
        <v>2.2361800000000001</v>
      </c>
    </row>
    <row r="1021" spans="2:8" x14ac:dyDescent="0.3">
      <c r="B1021" s="379">
        <f t="shared" si="36"/>
        <v>238</v>
      </c>
      <c r="C1021" s="380">
        <v>44175</v>
      </c>
      <c r="D1021" s="4">
        <v>0.92</v>
      </c>
      <c r="E1021" s="381">
        <f t="shared" si="35"/>
        <v>2.4131282679795043E-8</v>
      </c>
      <c r="G1021" s="396">
        <v>44259</v>
      </c>
      <c r="H1021" s="32">
        <v>2.2315999999999998</v>
      </c>
    </row>
    <row r="1022" spans="2:8" x14ac:dyDescent="0.3">
      <c r="B1022" s="379">
        <f t="shared" si="36"/>
        <v>237</v>
      </c>
      <c r="C1022" s="380">
        <v>44176</v>
      </c>
      <c r="D1022" s="4">
        <v>0.9</v>
      </c>
      <c r="E1022" s="381">
        <f t="shared" si="35"/>
        <v>2.5671577318930894E-8</v>
      </c>
      <c r="G1022" s="396">
        <v>44260</v>
      </c>
      <c r="H1022" s="32">
        <v>2.37846</v>
      </c>
    </row>
    <row r="1023" spans="2:8" x14ac:dyDescent="0.3">
      <c r="B1023" s="379">
        <f t="shared" si="36"/>
        <v>236</v>
      </c>
      <c r="C1023" s="380">
        <v>44179</v>
      </c>
      <c r="D1023" s="4">
        <v>0.9</v>
      </c>
      <c r="E1023" s="381">
        <f t="shared" si="35"/>
        <v>2.7310188637160531E-8</v>
      </c>
      <c r="G1023" s="396">
        <v>44263</v>
      </c>
      <c r="H1023" s="32">
        <v>2.50047</v>
      </c>
    </row>
    <row r="1024" spans="2:8" x14ac:dyDescent="0.3">
      <c r="B1024" s="379">
        <f t="shared" si="36"/>
        <v>235</v>
      </c>
      <c r="C1024" s="380">
        <v>44180</v>
      </c>
      <c r="D1024" s="4">
        <v>0.92</v>
      </c>
      <c r="E1024" s="381">
        <f t="shared" si="35"/>
        <v>2.9053392167192053E-8</v>
      </c>
      <c r="G1024" s="396">
        <v>44264</v>
      </c>
      <c r="H1024" s="32">
        <v>2.4684400000000002</v>
      </c>
    </row>
    <row r="1025" spans="2:8" x14ac:dyDescent="0.3">
      <c r="B1025" s="379">
        <f t="shared" si="36"/>
        <v>234</v>
      </c>
      <c r="C1025" s="380">
        <v>44181</v>
      </c>
      <c r="D1025" s="4">
        <v>0.92</v>
      </c>
      <c r="E1025" s="381">
        <f t="shared" si="35"/>
        <v>3.0907864007651127E-8</v>
      </c>
      <c r="G1025" s="396">
        <v>44265</v>
      </c>
      <c r="H1025" s="32">
        <v>2.3409499999999999</v>
      </c>
    </row>
    <row r="1026" spans="2:8" x14ac:dyDescent="0.3">
      <c r="B1026" s="379">
        <f t="shared" si="36"/>
        <v>233</v>
      </c>
      <c r="C1026" s="380">
        <v>44182</v>
      </c>
      <c r="D1026" s="4">
        <v>0.94</v>
      </c>
      <c r="E1026" s="381">
        <f t="shared" si="35"/>
        <v>3.2880706391118212E-8</v>
      </c>
      <c r="G1026" s="396">
        <v>44266</v>
      </c>
      <c r="H1026" s="32">
        <v>2.2768600000000001</v>
      </c>
    </row>
    <row r="1027" spans="2:8" x14ac:dyDescent="0.3">
      <c r="B1027" s="379">
        <f t="shared" si="36"/>
        <v>232</v>
      </c>
      <c r="C1027" s="380">
        <v>44183</v>
      </c>
      <c r="D1027" s="4">
        <v>0.95</v>
      </c>
      <c r="E1027" s="381">
        <f t="shared" si="35"/>
        <v>3.4979474884168318E-8</v>
      </c>
      <c r="G1027" s="396">
        <v>44267</v>
      </c>
      <c r="H1027" s="32">
        <v>2.2240500000000001</v>
      </c>
    </row>
    <row r="1028" spans="2:8" x14ac:dyDescent="0.3">
      <c r="B1028" s="379">
        <f t="shared" si="36"/>
        <v>231</v>
      </c>
      <c r="C1028" s="380">
        <v>44186</v>
      </c>
      <c r="D1028" s="4">
        <v>0.95</v>
      </c>
      <c r="E1028" s="381">
        <f t="shared" si="35"/>
        <v>3.7212207323583314E-8</v>
      </c>
      <c r="G1028" s="396">
        <v>44270</v>
      </c>
      <c r="H1028" s="32">
        <v>2.2181899999999999</v>
      </c>
    </row>
    <row r="1029" spans="2:8" x14ac:dyDescent="0.3">
      <c r="B1029" s="379">
        <f t="shared" si="36"/>
        <v>230</v>
      </c>
      <c r="C1029" s="380">
        <v>44187</v>
      </c>
      <c r="D1029" s="4">
        <v>0.93</v>
      </c>
      <c r="E1029" s="381">
        <f t="shared" si="35"/>
        <v>3.9587454599556722E-8</v>
      </c>
      <c r="G1029" s="396">
        <v>44271</v>
      </c>
      <c r="H1029" s="32">
        <v>2.1519499999999998</v>
      </c>
    </row>
    <row r="1030" spans="2:8" x14ac:dyDescent="0.3">
      <c r="B1030" s="379">
        <f t="shared" si="36"/>
        <v>229</v>
      </c>
      <c r="C1030" s="380">
        <v>44188</v>
      </c>
      <c r="D1030" s="4">
        <v>0.96</v>
      </c>
      <c r="E1030" s="381">
        <f t="shared" si="35"/>
        <v>4.2114313403783736E-8</v>
      </c>
      <c r="G1030" s="396">
        <v>44272</v>
      </c>
      <c r="H1030" s="32">
        <v>2.1386699999999998</v>
      </c>
    </row>
    <row r="1031" spans="2:8" x14ac:dyDescent="0.3">
      <c r="B1031" s="379">
        <f t="shared" si="36"/>
        <v>228</v>
      </c>
      <c r="C1031" s="380">
        <v>44189</v>
      </c>
      <c r="D1031" s="4">
        <v>0.94</v>
      </c>
      <c r="E1031" s="381">
        <f t="shared" si="35"/>
        <v>4.4802461067855046E-8</v>
      </c>
      <c r="G1031" s="396">
        <v>44273</v>
      </c>
      <c r="H1031" s="32">
        <v>2.1268799999999999</v>
      </c>
    </row>
    <row r="1032" spans="2:8" x14ac:dyDescent="0.3">
      <c r="B1032" s="379">
        <f t="shared" si="36"/>
        <v>227</v>
      </c>
      <c r="C1032" s="380">
        <v>44193</v>
      </c>
      <c r="D1032" s="4">
        <v>0.94</v>
      </c>
      <c r="E1032" s="381">
        <f t="shared" si="35"/>
        <v>4.7662192625377701E-8</v>
      </c>
      <c r="G1032" s="396">
        <v>44274</v>
      </c>
      <c r="H1032" s="32">
        <v>2.1114600000000001</v>
      </c>
    </row>
    <row r="1033" spans="2:8" x14ac:dyDescent="0.3">
      <c r="B1033" s="379">
        <f t="shared" si="36"/>
        <v>226</v>
      </c>
      <c r="C1033" s="380">
        <v>44194</v>
      </c>
      <c r="D1033" s="4">
        <v>0.94</v>
      </c>
      <c r="E1033" s="381">
        <f t="shared" ref="E1033:E1096" si="37">+(1-$C$4)*$C$4^B1033</f>
        <v>5.0704460239763518E-8</v>
      </c>
      <c r="G1033" s="396">
        <v>44277</v>
      </c>
      <c r="H1033" s="32">
        <v>2.1356799999999998</v>
      </c>
    </row>
    <row r="1034" spans="2:8" x14ac:dyDescent="0.3">
      <c r="B1034" s="379">
        <f t="shared" si="36"/>
        <v>225</v>
      </c>
      <c r="C1034" s="380">
        <v>44195</v>
      </c>
      <c r="D1034" s="4">
        <v>0.93</v>
      </c>
      <c r="E1034" s="381">
        <f t="shared" si="37"/>
        <v>5.3940915148684606E-8</v>
      </c>
      <c r="G1034" s="396">
        <v>44278</v>
      </c>
      <c r="H1034" s="32">
        <v>2.12907</v>
      </c>
    </row>
    <row r="1035" spans="2:8" x14ac:dyDescent="0.3">
      <c r="B1035" s="379">
        <f t="shared" ref="B1035:B1098" si="38">+B1034-1</f>
        <v>224</v>
      </c>
      <c r="C1035" s="380">
        <v>44196</v>
      </c>
      <c r="D1035" s="4">
        <v>0.93</v>
      </c>
      <c r="E1035" s="381">
        <f t="shared" si="37"/>
        <v>5.7383952285834687E-8</v>
      </c>
      <c r="G1035" s="396">
        <v>44279</v>
      </c>
      <c r="H1035" s="32">
        <v>2.1680600000000001</v>
      </c>
    </row>
    <row r="1036" spans="2:8" x14ac:dyDescent="0.3">
      <c r="B1036" s="379">
        <f t="shared" si="38"/>
        <v>223</v>
      </c>
      <c r="C1036" s="380">
        <v>44200</v>
      </c>
      <c r="D1036" s="4">
        <v>0.93</v>
      </c>
      <c r="E1036" s="381">
        <f t="shared" si="37"/>
        <v>6.1046757750887967E-8</v>
      </c>
      <c r="G1036" s="396">
        <v>44280</v>
      </c>
      <c r="H1036" s="32">
        <v>2.2147899999999998</v>
      </c>
    </row>
    <row r="1037" spans="2:8" x14ac:dyDescent="0.3">
      <c r="B1037" s="379">
        <f t="shared" si="38"/>
        <v>222</v>
      </c>
      <c r="C1037" s="380">
        <v>44201</v>
      </c>
      <c r="D1037" s="4">
        <v>0.96</v>
      </c>
      <c r="E1037" s="381">
        <f t="shared" si="37"/>
        <v>6.4943359309455288E-8</v>
      </c>
      <c r="G1037" s="396">
        <v>44281</v>
      </c>
      <c r="H1037" s="32">
        <v>2.2273700000000001</v>
      </c>
    </row>
    <row r="1038" spans="2:8" x14ac:dyDescent="0.3">
      <c r="B1038" s="379">
        <f t="shared" si="38"/>
        <v>221</v>
      </c>
      <c r="C1038" s="380">
        <v>44202</v>
      </c>
      <c r="D1038" s="4">
        <v>1.04</v>
      </c>
      <c r="E1038" s="381">
        <f t="shared" si="37"/>
        <v>6.9088680116441786E-8</v>
      </c>
      <c r="G1038" s="396">
        <v>44284</v>
      </c>
      <c r="H1038" s="32">
        <v>2.2030400000000001</v>
      </c>
    </row>
    <row r="1039" spans="2:8" x14ac:dyDescent="0.3">
      <c r="B1039" s="379">
        <f t="shared" si="38"/>
        <v>220</v>
      </c>
      <c r="C1039" s="380">
        <v>44203</v>
      </c>
      <c r="D1039" s="4">
        <v>1.08</v>
      </c>
      <c r="E1039" s="381">
        <f t="shared" si="37"/>
        <v>7.3498595868555103E-8</v>
      </c>
      <c r="G1039" s="396">
        <v>44285</v>
      </c>
      <c r="H1039" s="32">
        <v>2.2429100000000002</v>
      </c>
    </row>
    <row r="1040" spans="2:8" x14ac:dyDescent="0.3">
      <c r="B1040" s="379">
        <f t="shared" si="38"/>
        <v>219</v>
      </c>
      <c r="C1040" s="380">
        <v>44204</v>
      </c>
      <c r="D1040" s="4">
        <v>1.1299999999999999</v>
      </c>
      <c r="E1040" s="381">
        <f t="shared" si="37"/>
        <v>7.8189995604845842E-8</v>
      </c>
      <c r="G1040" s="396">
        <v>44286</v>
      </c>
      <c r="H1040" s="32">
        <v>2.1630400000000001</v>
      </c>
    </row>
    <row r="1041" spans="2:8" x14ac:dyDescent="0.3">
      <c r="B1041" s="379">
        <f t="shared" si="38"/>
        <v>218</v>
      </c>
      <c r="C1041" s="380">
        <v>44207</v>
      </c>
      <c r="D1041" s="4">
        <v>1.1499999999999999</v>
      </c>
      <c r="E1041" s="381">
        <f t="shared" si="37"/>
        <v>8.3180846388133875E-8</v>
      </c>
      <c r="G1041" s="396">
        <v>44287</v>
      </c>
      <c r="H1041" s="32">
        <v>2.1149300000000002</v>
      </c>
    </row>
    <row r="1042" spans="2:8" x14ac:dyDescent="0.3">
      <c r="B1042" s="379">
        <f t="shared" si="38"/>
        <v>217</v>
      </c>
      <c r="C1042" s="380">
        <v>44208</v>
      </c>
      <c r="D1042" s="4">
        <v>1.1499999999999999</v>
      </c>
      <c r="E1042" s="381">
        <f t="shared" si="37"/>
        <v>8.8490262115036039E-8</v>
      </c>
      <c r="G1042" s="396">
        <v>44291</v>
      </c>
      <c r="H1042" s="32">
        <v>2.0823100000000001</v>
      </c>
    </row>
    <row r="1043" spans="2:8" x14ac:dyDescent="0.3">
      <c r="B1043" s="379">
        <f t="shared" si="38"/>
        <v>216</v>
      </c>
      <c r="C1043" s="380">
        <v>44209</v>
      </c>
      <c r="D1043" s="4">
        <v>1.1000000000000001</v>
      </c>
      <c r="E1043" s="381">
        <f t="shared" si="37"/>
        <v>9.4138576718123444E-8</v>
      </c>
      <c r="G1043" s="396">
        <v>44292</v>
      </c>
      <c r="H1043" s="32">
        <v>2.0937000000000001</v>
      </c>
    </row>
    <row r="1044" spans="2:8" x14ac:dyDescent="0.3">
      <c r="B1044" s="379">
        <f t="shared" si="38"/>
        <v>215</v>
      </c>
      <c r="C1044" s="380">
        <v>44210</v>
      </c>
      <c r="D1044" s="4">
        <v>1.1499999999999999</v>
      </c>
      <c r="E1044" s="381">
        <f t="shared" si="37"/>
        <v>1.0014742204055685E-7</v>
      </c>
      <c r="G1044" s="396">
        <v>44293</v>
      </c>
      <c r="H1044" s="32">
        <v>2.1278199999999998</v>
      </c>
    </row>
    <row r="1045" spans="2:8" x14ac:dyDescent="0.3">
      <c r="B1045" s="379">
        <f t="shared" si="38"/>
        <v>214</v>
      </c>
      <c r="C1045" s="380">
        <v>44211</v>
      </c>
      <c r="D1045" s="4">
        <v>1.1100000000000001</v>
      </c>
      <c r="E1045" s="381">
        <f t="shared" si="37"/>
        <v>1.0653981068144348E-7</v>
      </c>
      <c r="G1045" s="396">
        <v>44294</v>
      </c>
      <c r="H1045" s="32">
        <v>2.16208</v>
      </c>
    </row>
    <row r="1046" spans="2:8" x14ac:dyDescent="0.3">
      <c r="B1046" s="379">
        <f t="shared" si="38"/>
        <v>213</v>
      </c>
      <c r="C1046" s="380">
        <v>44215</v>
      </c>
      <c r="D1046" s="4">
        <v>1.1000000000000001</v>
      </c>
      <c r="E1046" s="381">
        <f t="shared" si="37"/>
        <v>1.1334022412919516E-7</v>
      </c>
      <c r="G1046" s="396">
        <v>44295</v>
      </c>
      <c r="H1046" s="32">
        <v>2.1332100000000001</v>
      </c>
    </row>
    <row r="1047" spans="2:8" x14ac:dyDescent="0.3">
      <c r="B1047" s="379">
        <f t="shared" si="38"/>
        <v>212</v>
      </c>
      <c r="C1047" s="380">
        <v>44216</v>
      </c>
      <c r="D1047" s="4">
        <v>1.1000000000000001</v>
      </c>
      <c r="E1047" s="381">
        <f t="shared" si="37"/>
        <v>1.205747065204204E-7</v>
      </c>
      <c r="G1047" s="396">
        <v>44298</v>
      </c>
      <c r="H1047" s="32">
        <v>2.1535700000000002</v>
      </c>
    </row>
    <row r="1048" spans="2:8" x14ac:dyDescent="0.3">
      <c r="B1048" s="379">
        <f t="shared" si="38"/>
        <v>211</v>
      </c>
      <c r="C1048" s="380">
        <v>44217</v>
      </c>
      <c r="D1048" s="4">
        <v>1.1200000000000001</v>
      </c>
      <c r="E1048" s="381">
        <f t="shared" si="37"/>
        <v>1.2827096438342598E-7</v>
      </c>
      <c r="G1048" s="396">
        <v>44299</v>
      </c>
      <c r="H1048" s="32">
        <v>2.18737</v>
      </c>
    </row>
    <row r="1049" spans="2:8" x14ac:dyDescent="0.3">
      <c r="B1049" s="379">
        <f t="shared" si="38"/>
        <v>210</v>
      </c>
      <c r="C1049" s="380">
        <v>44218</v>
      </c>
      <c r="D1049" s="4">
        <v>1.1000000000000001</v>
      </c>
      <c r="E1049" s="381">
        <f t="shared" si="37"/>
        <v>1.3645847274832551E-7</v>
      </c>
      <c r="G1049" s="396">
        <v>44300</v>
      </c>
      <c r="H1049" s="32">
        <v>2.1490200000000002</v>
      </c>
    </row>
    <row r="1050" spans="2:8" x14ac:dyDescent="0.3">
      <c r="B1050" s="379">
        <f t="shared" si="38"/>
        <v>209</v>
      </c>
      <c r="C1050" s="380">
        <v>44221</v>
      </c>
      <c r="D1050" s="4">
        <v>1.05</v>
      </c>
      <c r="E1050" s="381">
        <f t="shared" si="37"/>
        <v>1.4516858803013352E-7</v>
      </c>
      <c r="G1050" s="396">
        <v>44301</v>
      </c>
      <c r="H1050" s="32">
        <v>2.1513800000000001</v>
      </c>
    </row>
    <row r="1051" spans="2:8" x14ac:dyDescent="0.3">
      <c r="B1051" s="379">
        <f t="shared" si="38"/>
        <v>208</v>
      </c>
      <c r="C1051" s="380">
        <v>44222</v>
      </c>
      <c r="D1051" s="4">
        <v>1.05</v>
      </c>
      <c r="E1051" s="381">
        <f t="shared" si="37"/>
        <v>1.5443466811716332E-7</v>
      </c>
      <c r="G1051" s="396">
        <v>44302</v>
      </c>
      <c r="H1051" s="32">
        <v>2.1167400000000001</v>
      </c>
    </row>
    <row r="1052" spans="2:8" x14ac:dyDescent="0.3">
      <c r="B1052" s="379">
        <f t="shared" si="38"/>
        <v>207</v>
      </c>
      <c r="C1052" s="380">
        <v>44223</v>
      </c>
      <c r="D1052" s="4">
        <v>1.04</v>
      </c>
      <c r="E1052" s="381">
        <f t="shared" si="37"/>
        <v>1.6429220012464181E-7</v>
      </c>
      <c r="G1052" s="396">
        <v>44305</v>
      </c>
      <c r="H1052" s="32">
        <v>2.1620699999999999</v>
      </c>
    </row>
    <row r="1053" spans="2:8" x14ac:dyDescent="0.3">
      <c r="B1053" s="379">
        <f t="shared" si="38"/>
        <v>206</v>
      </c>
      <c r="C1053" s="380">
        <v>44224</v>
      </c>
      <c r="D1053" s="4">
        <v>1.07</v>
      </c>
      <c r="E1053" s="381">
        <f t="shared" si="37"/>
        <v>1.7477893630281048E-7</v>
      </c>
      <c r="G1053" s="396">
        <v>44306</v>
      </c>
      <c r="H1053" s="32">
        <v>2.2527400000000002</v>
      </c>
    </row>
    <row r="1054" spans="2:8" x14ac:dyDescent="0.3">
      <c r="B1054" s="379">
        <f t="shared" si="38"/>
        <v>205</v>
      </c>
      <c r="C1054" s="380">
        <v>44225</v>
      </c>
      <c r="D1054" s="4">
        <v>1.1100000000000001</v>
      </c>
      <c r="E1054" s="381">
        <f t="shared" si="37"/>
        <v>1.8593503862001111E-7</v>
      </c>
      <c r="G1054" s="396">
        <v>44307</v>
      </c>
      <c r="H1054" s="32">
        <v>2.2394500000000002</v>
      </c>
    </row>
    <row r="1055" spans="2:8" x14ac:dyDescent="0.3">
      <c r="B1055" s="379">
        <f t="shared" si="38"/>
        <v>204</v>
      </c>
      <c r="C1055" s="380">
        <v>44228</v>
      </c>
      <c r="D1055" s="4">
        <v>1.0900000000000001</v>
      </c>
      <c r="E1055" s="381">
        <f t="shared" si="37"/>
        <v>1.9780323257447996E-7</v>
      </c>
      <c r="G1055" s="396">
        <v>44308</v>
      </c>
      <c r="H1055" s="32">
        <v>2.2907299999999999</v>
      </c>
    </row>
    <row r="1056" spans="2:8" x14ac:dyDescent="0.3">
      <c r="B1056" s="379">
        <f t="shared" si="38"/>
        <v>203</v>
      </c>
      <c r="C1056" s="380">
        <v>44229</v>
      </c>
      <c r="D1056" s="4">
        <v>1.1200000000000001</v>
      </c>
      <c r="E1056" s="381">
        <f t="shared" si="37"/>
        <v>2.1042897082391481E-7</v>
      </c>
      <c r="G1056" s="396">
        <v>44309</v>
      </c>
      <c r="H1056" s="32">
        <v>2.2837000000000001</v>
      </c>
    </row>
    <row r="1057" spans="2:8" x14ac:dyDescent="0.3">
      <c r="B1057" s="379">
        <f t="shared" si="38"/>
        <v>202</v>
      </c>
      <c r="C1057" s="380">
        <v>44230</v>
      </c>
      <c r="D1057" s="4">
        <v>1.1499999999999999</v>
      </c>
      <c r="E1057" s="381">
        <f t="shared" si="37"/>
        <v>2.2386060725948386E-7</v>
      </c>
      <c r="G1057" s="396">
        <v>44312</v>
      </c>
      <c r="H1057" s="32">
        <v>2.32863</v>
      </c>
    </row>
    <row r="1058" spans="2:8" x14ac:dyDescent="0.3">
      <c r="B1058" s="379">
        <f t="shared" si="38"/>
        <v>201</v>
      </c>
      <c r="C1058" s="380">
        <v>44231</v>
      </c>
      <c r="D1058" s="4">
        <v>1.1499999999999999</v>
      </c>
      <c r="E1058" s="381">
        <f t="shared" si="37"/>
        <v>2.3814958219094025E-7</v>
      </c>
      <c r="G1058" s="396">
        <v>44313</v>
      </c>
      <c r="H1058" s="32">
        <v>2.3732799999999998</v>
      </c>
    </row>
    <row r="1059" spans="2:8" x14ac:dyDescent="0.3">
      <c r="B1059" s="379">
        <f t="shared" si="38"/>
        <v>200</v>
      </c>
      <c r="C1059" s="380">
        <v>44232</v>
      </c>
      <c r="D1059" s="4">
        <v>1.19</v>
      </c>
      <c r="E1059" s="381">
        <f t="shared" si="37"/>
        <v>2.5335061935206416E-7</v>
      </c>
      <c r="G1059" s="396">
        <v>44314</v>
      </c>
      <c r="H1059" s="32">
        <v>2.3595700000000002</v>
      </c>
    </row>
    <row r="1060" spans="2:8" x14ac:dyDescent="0.3">
      <c r="B1060" s="379">
        <f t="shared" si="38"/>
        <v>199</v>
      </c>
      <c r="C1060" s="380">
        <v>44235</v>
      </c>
      <c r="D1060" s="4">
        <v>1.19</v>
      </c>
      <c r="E1060" s="381">
        <f t="shared" si="37"/>
        <v>2.6952193548091929E-7</v>
      </c>
      <c r="G1060" s="396">
        <v>44315</v>
      </c>
      <c r="H1060" s="32">
        <v>2.3193800000000002</v>
      </c>
    </row>
    <row r="1061" spans="2:8" x14ac:dyDescent="0.3">
      <c r="B1061" s="379">
        <f t="shared" si="38"/>
        <v>198</v>
      </c>
      <c r="C1061" s="380">
        <v>44236</v>
      </c>
      <c r="D1061" s="4">
        <v>1.18</v>
      </c>
      <c r="E1061" s="381">
        <f t="shared" si="37"/>
        <v>2.8672546327757374E-7</v>
      </c>
      <c r="G1061" s="396">
        <v>44316</v>
      </c>
      <c r="H1061" s="32">
        <v>2.25983</v>
      </c>
    </row>
    <row r="1062" spans="2:8" x14ac:dyDescent="0.3">
      <c r="B1062" s="379">
        <f t="shared" si="38"/>
        <v>197</v>
      </c>
      <c r="C1062" s="380">
        <v>44237</v>
      </c>
      <c r="D1062" s="4">
        <v>1.1499999999999999</v>
      </c>
      <c r="E1062" s="381">
        <f t="shared" si="37"/>
        <v>3.0502708859316351E-7</v>
      </c>
      <c r="G1062" s="396">
        <v>44319</v>
      </c>
      <c r="H1062" s="32">
        <v>2.3661500000000002</v>
      </c>
    </row>
    <row r="1063" spans="2:8" x14ac:dyDescent="0.3">
      <c r="B1063" s="379">
        <f t="shared" si="38"/>
        <v>196</v>
      </c>
      <c r="C1063" s="380">
        <v>44238</v>
      </c>
      <c r="D1063" s="4">
        <v>1.1599999999999999</v>
      </c>
      <c r="E1063" s="381">
        <f t="shared" si="37"/>
        <v>3.2449690275868467E-7</v>
      </c>
      <c r="G1063" s="396">
        <v>44320</v>
      </c>
      <c r="H1063" s="32">
        <v>2.39459</v>
      </c>
    </row>
    <row r="1064" spans="2:8" x14ac:dyDescent="0.3">
      <c r="B1064" s="379">
        <f t="shared" si="38"/>
        <v>195</v>
      </c>
      <c r="C1064" s="380">
        <v>44239</v>
      </c>
      <c r="D1064" s="4">
        <v>1.2</v>
      </c>
      <c r="E1064" s="381">
        <f t="shared" si="37"/>
        <v>3.4520947101987721E-7</v>
      </c>
      <c r="G1064" s="396">
        <v>44321</v>
      </c>
      <c r="H1064" s="32">
        <v>2.42028</v>
      </c>
    </row>
    <row r="1065" spans="2:8" x14ac:dyDescent="0.3">
      <c r="B1065" s="379">
        <f t="shared" si="38"/>
        <v>194</v>
      </c>
      <c r="C1065" s="380">
        <v>44243</v>
      </c>
      <c r="D1065" s="4">
        <v>1.3</v>
      </c>
      <c r="E1065" s="381">
        <f t="shared" si="37"/>
        <v>3.6724411810625235E-7</v>
      </c>
      <c r="G1065" s="396">
        <v>44322</v>
      </c>
      <c r="H1065" s="32">
        <v>2.3657599999999999</v>
      </c>
    </row>
    <row r="1066" spans="2:8" x14ac:dyDescent="0.3">
      <c r="B1066" s="379">
        <f t="shared" si="38"/>
        <v>193</v>
      </c>
      <c r="C1066" s="380">
        <v>44244</v>
      </c>
      <c r="D1066" s="4">
        <v>1.29</v>
      </c>
      <c r="E1066" s="381">
        <f t="shared" si="37"/>
        <v>3.9068523202792808E-7</v>
      </c>
      <c r="G1066" s="396">
        <v>44323</v>
      </c>
      <c r="H1066" s="32">
        <v>2.24526</v>
      </c>
    </row>
    <row r="1067" spans="2:8" x14ac:dyDescent="0.3">
      <c r="B1067" s="379">
        <f t="shared" si="38"/>
        <v>192</v>
      </c>
      <c r="C1067" s="380">
        <v>44245</v>
      </c>
      <c r="D1067" s="4">
        <v>1.29</v>
      </c>
      <c r="E1067" s="381">
        <f t="shared" si="37"/>
        <v>4.1562258726375333E-7</v>
      </c>
      <c r="G1067" s="396">
        <v>44326</v>
      </c>
      <c r="H1067" s="32">
        <v>2.1951000000000001</v>
      </c>
    </row>
    <row r="1068" spans="2:8" x14ac:dyDescent="0.3">
      <c r="B1068" s="379">
        <f t="shared" si="38"/>
        <v>191</v>
      </c>
      <c r="C1068" s="380">
        <v>44246</v>
      </c>
      <c r="D1068" s="4">
        <v>1.34</v>
      </c>
      <c r="E1068" s="381">
        <f t="shared" si="37"/>
        <v>4.4215168857846099E-7</v>
      </c>
      <c r="G1068" s="396">
        <v>44327</v>
      </c>
      <c r="H1068" s="32">
        <v>2.23291</v>
      </c>
    </row>
    <row r="1069" spans="2:8" x14ac:dyDescent="0.3">
      <c r="B1069" s="379">
        <f t="shared" si="38"/>
        <v>190</v>
      </c>
      <c r="C1069" s="380">
        <v>44249</v>
      </c>
      <c r="D1069" s="4">
        <v>1.37</v>
      </c>
      <c r="E1069" s="381">
        <f t="shared" si="37"/>
        <v>4.7037413678559682E-7</v>
      </c>
      <c r="G1069" s="396">
        <v>44328</v>
      </c>
      <c r="H1069" s="32">
        <v>2.2631800000000002</v>
      </c>
    </row>
    <row r="1070" spans="2:8" x14ac:dyDescent="0.3">
      <c r="B1070" s="379">
        <f t="shared" si="38"/>
        <v>189</v>
      </c>
      <c r="C1070" s="380">
        <v>44250</v>
      </c>
      <c r="D1070" s="4">
        <v>1.37</v>
      </c>
      <c r="E1070" s="381">
        <f t="shared" si="37"/>
        <v>5.0039801785701779E-7</v>
      </c>
      <c r="G1070" s="396">
        <v>44329</v>
      </c>
      <c r="H1070" s="32">
        <v>2.27156</v>
      </c>
    </row>
    <row r="1071" spans="2:8" x14ac:dyDescent="0.3">
      <c r="B1071" s="379">
        <f t="shared" si="38"/>
        <v>188</v>
      </c>
      <c r="C1071" s="380">
        <v>44251</v>
      </c>
      <c r="D1071" s="4">
        <v>1.38</v>
      </c>
      <c r="E1071" s="381">
        <f t="shared" si="37"/>
        <v>5.3233831686916798E-7</v>
      </c>
      <c r="G1071" s="396">
        <v>44330</v>
      </c>
      <c r="H1071" s="32">
        <v>2.29833</v>
      </c>
    </row>
    <row r="1072" spans="2:8" x14ac:dyDescent="0.3">
      <c r="B1072" s="379">
        <f t="shared" si="38"/>
        <v>187</v>
      </c>
      <c r="C1072" s="380">
        <v>44252</v>
      </c>
      <c r="D1072" s="4">
        <v>1.54</v>
      </c>
      <c r="E1072" s="381">
        <f t="shared" si="37"/>
        <v>5.6631735837145524E-7</v>
      </c>
      <c r="G1072" s="396">
        <v>44333</v>
      </c>
      <c r="H1072" s="32">
        <v>2.3101400000000001</v>
      </c>
    </row>
    <row r="1073" spans="2:8" x14ac:dyDescent="0.3">
      <c r="B1073" s="379">
        <f t="shared" si="38"/>
        <v>186</v>
      </c>
      <c r="C1073" s="380">
        <v>44253</v>
      </c>
      <c r="D1073" s="4">
        <v>1.44</v>
      </c>
      <c r="E1073" s="381">
        <f t="shared" si="37"/>
        <v>6.0246527486325032E-7</v>
      </c>
      <c r="G1073" s="396">
        <v>44334</v>
      </c>
      <c r="H1073" s="32">
        <v>2.28749</v>
      </c>
    </row>
    <row r="1074" spans="2:8" x14ac:dyDescent="0.3">
      <c r="B1074" s="379">
        <f t="shared" si="38"/>
        <v>185</v>
      </c>
      <c r="C1074" s="380">
        <v>44256</v>
      </c>
      <c r="D1074" s="4">
        <v>1.45</v>
      </c>
      <c r="E1074" s="381">
        <f t="shared" si="37"/>
        <v>6.4092050517367048E-7</v>
      </c>
      <c r="G1074" s="396">
        <v>44335</v>
      </c>
      <c r="H1074" s="32">
        <v>2.3012700000000001</v>
      </c>
    </row>
    <row r="1075" spans="2:8" x14ac:dyDescent="0.3">
      <c r="B1075" s="379">
        <f t="shared" si="38"/>
        <v>184</v>
      </c>
      <c r="C1075" s="380">
        <v>44257</v>
      </c>
      <c r="D1075" s="4">
        <v>1.42</v>
      </c>
      <c r="E1075" s="381">
        <f t="shared" si="37"/>
        <v>6.8183032465284108E-7</v>
      </c>
      <c r="G1075" s="396">
        <v>44336</v>
      </c>
      <c r="H1075" s="32">
        <v>2.4029799999999999</v>
      </c>
    </row>
    <row r="1076" spans="2:8" x14ac:dyDescent="0.3">
      <c r="B1076" s="379">
        <f t="shared" si="38"/>
        <v>183</v>
      </c>
      <c r="C1076" s="380">
        <v>44258</v>
      </c>
      <c r="D1076" s="4">
        <v>1.47</v>
      </c>
      <c r="E1076" s="381">
        <f t="shared" si="37"/>
        <v>7.2535140920515E-7</v>
      </c>
      <c r="G1076" s="396">
        <v>44337</v>
      </c>
      <c r="H1076" s="32">
        <v>2.4107099999999999</v>
      </c>
    </row>
    <row r="1077" spans="2:8" x14ac:dyDescent="0.3">
      <c r="B1077" s="379">
        <f t="shared" si="38"/>
        <v>182</v>
      </c>
      <c r="C1077" s="380">
        <v>44259</v>
      </c>
      <c r="D1077" s="4">
        <v>1.54</v>
      </c>
      <c r="E1077" s="381">
        <f t="shared" si="37"/>
        <v>7.7165043532462775E-7</v>
      </c>
      <c r="G1077" s="396">
        <v>44340</v>
      </c>
      <c r="H1077" s="32">
        <v>2.4458099999999998</v>
      </c>
    </row>
    <row r="1078" spans="2:8" x14ac:dyDescent="0.3">
      <c r="B1078" s="379">
        <f t="shared" si="38"/>
        <v>181</v>
      </c>
      <c r="C1078" s="380">
        <v>44260</v>
      </c>
      <c r="D1078" s="4">
        <v>1.56</v>
      </c>
      <c r="E1078" s="381">
        <f t="shared" si="37"/>
        <v>8.2090471843045496E-7</v>
      </c>
      <c r="G1078" s="396">
        <v>44341</v>
      </c>
      <c r="H1078" s="32">
        <v>2.5418099999999999</v>
      </c>
    </row>
    <row r="1079" spans="2:8" x14ac:dyDescent="0.3">
      <c r="B1079" s="379">
        <f t="shared" si="38"/>
        <v>180</v>
      </c>
      <c r="C1079" s="380">
        <v>44263</v>
      </c>
      <c r="D1079" s="4">
        <v>1.59</v>
      </c>
      <c r="E1079" s="381">
        <f t="shared" si="37"/>
        <v>8.7330289194729261E-7</v>
      </c>
      <c r="G1079" s="396">
        <v>44342</v>
      </c>
      <c r="H1079" s="32">
        <v>2.51858</v>
      </c>
    </row>
    <row r="1080" spans="2:8" x14ac:dyDescent="0.3">
      <c r="B1080" s="379">
        <f t="shared" si="38"/>
        <v>179</v>
      </c>
      <c r="C1080" s="380">
        <v>44264</v>
      </c>
      <c r="D1080" s="4">
        <v>1.55</v>
      </c>
      <c r="E1080" s="381">
        <f t="shared" si="37"/>
        <v>9.2904562973116228E-7</v>
      </c>
      <c r="G1080" s="396">
        <v>44343</v>
      </c>
      <c r="H1080" s="32">
        <v>2.5044900000000001</v>
      </c>
    </row>
    <row r="1081" spans="2:8" x14ac:dyDescent="0.3">
      <c r="B1081" s="379">
        <f t="shared" si="38"/>
        <v>178</v>
      </c>
      <c r="C1081" s="380">
        <v>44265</v>
      </c>
      <c r="D1081" s="4">
        <v>1.53</v>
      </c>
      <c r="E1081" s="381">
        <f t="shared" si="37"/>
        <v>9.8834641460761966E-7</v>
      </c>
      <c r="G1081" s="396">
        <v>44344</v>
      </c>
      <c r="H1081" s="32">
        <v>2.4764200000000001</v>
      </c>
    </row>
    <row r="1082" spans="2:8" x14ac:dyDescent="0.3">
      <c r="B1082" s="379">
        <f t="shared" si="38"/>
        <v>177</v>
      </c>
      <c r="C1082" s="380">
        <v>44266</v>
      </c>
      <c r="D1082" s="4">
        <v>1.54</v>
      </c>
      <c r="E1082" s="381">
        <f t="shared" si="37"/>
        <v>1.0514323559655527E-6</v>
      </c>
      <c r="G1082" s="396">
        <v>44348</v>
      </c>
      <c r="H1082" s="32">
        <v>2.4603100000000002</v>
      </c>
    </row>
    <row r="1083" spans="2:8" x14ac:dyDescent="0.3">
      <c r="B1083" s="379">
        <f t="shared" si="38"/>
        <v>176</v>
      </c>
      <c r="C1083" s="380">
        <v>44267</v>
      </c>
      <c r="D1083" s="4">
        <v>1.64</v>
      </c>
      <c r="E1083" s="381">
        <f t="shared" si="37"/>
        <v>1.1185450595378219E-6</v>
      </c>
      <c r="G1083" s="396">
        <v>44349</v>
      </c>
      <c r="H1083" s="32">
        <v>2.4518300000000002</v>
      </c>
    </row>
    <row r="1084" spans="2:8" x14ac:dyDescent="0.3">
      <c r="B1084" s="379">
        <f t="shared" si="38"/>
        <v>175</v>
      </c>
      <c r="C1084" s="380">
        <v>44270</v>
      </c>
      <c r="D1084" s="4">
        <v>1.62</v>
      </c>
      <c r="E1084" s="381">
        <f t="shared" si="37"/>
        <v>1.1899415526998106E-6</v>
      </c>
      <c r="G1084" s="396">
        <v>44350</v>
      </c>
      <c r="H1084" s="32">
        <v>2.44767</v>
      </c>
    </row>
    <row r="1085" spans="2:8" x14ac:dyDescent="0.3">
      <c r="B1085" s="379">
        <f t="shared" si="38"/>
        <v>174</v>
      </c>
      <c r="C1085" s="380">
        <v>44271</v>
      </c>
      <c r="D1085" s="4">
        <v>1.62</v>
      </c>
      <c r="E1085" s="381">
        <f t="shared" si="37"/>
        <v>1.265895268829586E-6</v>
      </c>
      <c r="G1085" s="396">
        <v>44351</v>
      </c>
      <c r="H1085" s="32">
        <v>2.4327200000000002</v>
      </c>
    </row>
    <row r="1086" spans="2:8" x14ac:dyDescent="0.3">
      <c r="B1086" s="379">
        <f t="shared" si="38"/>
        <v>173</v>
      </c>
      <c r="C1086" s="380">
        <v>44272</v>
      </c>
      <c r="D1086" s="4">
        <v>1.63</v>
      </c>
      <c r="E1086" s="381">
        <f t="shared" si="37"/>
        <v>1.3466970944995593E-6</v>
      </c>
      <c r="G1086" s="396">
        <v>44354</v>
      </c>
      <c r="H1086" s="32">
        <v>2.3940100000000002</v>
      </c>
    </row>
    <row r="1087" spans="2:8" x14ac:dyDescent="0.3">
      <c r="B1087" s="379">
        <f t="shared" si="38"/>
        <v>172</v>
      </c>
      <c r="C1087" s="380">
        <v>44273</v>
      </c>
      <c r="D1087" s="4">
        <v>1.71</v>
      </c>
      <c r="E1087" s="381">
        <f t="shared" si="37"/>
        <v>1.4326564835101697E-6</v>
      </c>
      <c r="G1087" s="396">
        <v>44355</v>
      </c>
      <c r="H1087" s="32">
        <v>2.37642</v>
      </c>
    </row>
    <row r="1088" spans="2:8" x14ac:dyDescent="0.3">
      <c r="B1088" s="379">
        <f t="shared" si="38"/>
        <v>171</v>
      </c>
      <c r="C1088" s="380">
        <v>44274</v>
      </c>
      <c r="D1088" s="4">
        <v>1.74</v>
      </c>
      <c r="E1088" s="381">
        <f t="shared" si="37"/>
        <v>1.5241026420320956E-6</v>
      </c>
      <c r="G1088" s="396">
        <v>44356</v>
      </c>
      <c r="H1088" s="32">
        <v>2.3482599999999998</v>
      </c>
    </row>
    <row r="1089" spans="2:8" x14ac:dyDescent="0.3">
      <c r="B1089" s="379">
        <f t="shared" si="38"/>
        <v>170</v>
      </c>
      <c r="C1089" s="380">
        <v>44277</v>
      </c>
      <c r="D1089" s="4">
        <v>1.69</v>
      </c>
      <c r="E1089" s="381">
        <f t="shared" si="37"/>
        <v>1.6213857893958463E-6</v>
      </c>
      <c r="G1089" s="396">
        <v>44357</v>
      </c>
      <c r="H1089" s="32">
        <v>2.3523800000000001</v>
      </c>
    </row>
    <row r="1090" spans="2:8" x14ac:dyDescent="0.3">
      <c r="B1090" s="379">
        <f t="shared" si="38"/>
        <v>169</v>
      </c>
      <c r="C1090" s="380">
        <v>44278</v>
      </c>
      <c r="D1090" s="4">
        <v>1.63</v>
      </c>
      <c r="E1090" s="381">
        <f t="shared" si="37"/>
        <v>1.7248784993572834E-6</v>
      </c>
      <c r="G1090" s="396">
        <v>44358</v>
      </c>
      <c r="H1090" s="32">
        <v>2.3352499999999998</v>
      </c>
    </row>
    <row r="1091" spans="2:8" x14ac:dyDescent="0.3">
      <c r="B1091" s="379">
        <f t="shared" si="38"/>
        <v>168</v>
      </c>
      <c r="C1091" s="380">
        <v>44279</v>
      </c>
      <c r="D1091" s="4">
        <v>1.62</v>
      </c>
      <c r="E1091" s="381">
        <f t="shared" si="37"/>
        <v>1.8349771269758332E-6</v>
      </c>
      <c r="G1091" s="396">
        <v>44361</v>
      </c>
      <c r="H1091" s="32">
        <v>2.36964</v>
      </c>
    </row>
    <row r="1092" spans="2:8" x14ac:dyDescent="0.3">
      <c r="B1092" s="379">
        <f t="shared" si="38"/>
        <v>167</v>
      </c>
      <c r="C1092" s="380">
        <v>44280</v>
      </c>
      <c r="D1092" s="4">
        <v>1.63</v>
      </c>
      <c r="E1092" s="381">
        <f t="shared" si="37"/>
        <v>1.9521033265700357E-6</v>
      </c>
      <c r="G1092" s="396">
        <v>44362</v>
      </c>
      <c r="H1092" s="32">
        <v>2.4029199999999999</v>
      </c>
    </row>
    <row r="1093" spans="2:8" x14ac:dyDescent="0.3">
      <c r="B1093" s="379">
        <f t="shared" si="38"/>
        <v>166</v>
      </c>
      <c r="C1093" s="380">
        <v>44281</v>
      </c>
      <c r="D1093" s="4">
        <v>1.67</v>
      </c>
      <c r="E1093" s="381">
        <f t="shared" si="37"/>
        <v>2.0767056665638677E-6</v>
      </c>
      <c r="G1093" s="396">
        <v>44363</v>
      </c>
      <c r="H1093" s="32">
        <v>2.3973100000000001</v>
      </c>
    </row>
    <row r="1094" spans="2:8" x14ac:dyDescent="0.3">
      <c r="B1094" s="379">
        <f t="shared" si="38"/>
        <v>165</v>
      </c>
      <c r="C1094" s="380">
        <v>44284</v>
      </c>
      <c r="D1094" s="4">
        <v>1.73</v>
      </c>
      <c r="E1094" s="381">
        <f t="shared" si="37"/>
        <v>2.2092613474083697E-6</v>
      </c>
      <c r="G1094" s="396">
        <v>44364</v>
      </c>
      <c r="H1094" s="32">
        <v>2.4277600000000001</v>
      </c>
    </row>
    <row r="1095" spans="2:8" x14ac:dyDescent="0.3">
      <c r="B1095" s="379">
        <f t="shared" si="38"/>
        <v>164</v>
      </c>
      <c r="C1095" s="380">
        <v>44285</v>
      </c>
      <c r="D1095" s="4">
        <v>1.73</v>
      </c>
      <c r="E1095" s="381">
        <f t="shared" si="37"/>
        <v>2.3502780291578404E-6</v>
      </c>
      <c r="G1095" s="396">
        <v>44365</v>
      </c>
      <c r="H1095" s="32">
        <v>2.52285</v>
      </c>
    </row>
    <row r="1096" spans="2:8" x14ac:dyDescent="0.3">
      <c r="B1096" s="379">
        <f t="shared" si="38"/>
        <v>163</v>
      </c>
      <c r="C1096" s="380">
        <v>44286</v>
      </c>
      <c r="D1096" s="4">
        <v>1.74</v>
      </c>
      <c r="E1096" s="381">
        <f t="shared" si="37"/>
        <v>2.5002957756998301E-6</v>
      </c>
      <c r="G1096" s="396">
        <v>44368</v>
      </c>
      <c r="H1096" s="32">
        <v>2.5020699999999998</v>
      </c>
    </row>
    <row r="1097" spans="2:8" x14ac:dyDescent="0.3">
      <c r="B1097" s="379">
        <f t="shared" si="38"/>
        <v>162</v>
      </c>
      <c r="C1097" s="380">
        <v>44287</v>
      </c>
      <c r="D1097" s="4">
        <v>1.69</v>
      </c>
      <c r="E1097" s="381">
        <f t="shared" ref="E1097:E1160" si="39">+(1-$C$4)*$C$4^B1097</f>
        <v>2.6598891230849258E-6</v>
      </c>
      <c r="G1097" s="396">
        <v>44369</v>
      </c>
      <c r="H1097" s="32">
        <v>2.53152</v>
      </c>
    </row>
    <row r="1098" spans="2:8" x14ac:dyDescent="0.3">
      <c r="B1098" s="379">
        <f t="shared" si="38"/>
        <v>161</v>
      </c>
      <c r="C1098" s="380">
        <v>44288</v>
      </c>
      <c r="D1098" s="4">
        <v>1.72</v>
      </c>
      <c r="E1098" s="381">
        <f t="shared" si="39"/>
        <v>2.829669279877581E-6</v>
      </c>
      <c r="G1098" s="396">
        <v>44370</v>
      </c>
      <c r="H1098" s="32">
        <v>2.51444</v>
      </c>
    </row>
    <row r="1099" spans="2:8" x14ac:dyDescent="0.3">
      <c r="B1099" s="379">
        <f t="shared" ref="B1099:B1162" si="40">+B1098-1</f>
        <v>160</v>
      </c>
      <c r="C1099" s="380">
        <v>44291</v>
      </c>
      <c r="D1099" s="4">
        <v>1.73</v>
      </c>
      <c r="E1099" s="381">
        <f t="shared" si="39"/>
        <v>3.0102864679548729E-6</v>
      </c>
      <c r="G1099" s="396">
        <v>44371</v>
      </c>
      <c r="H1099" s="32">
        <v>2.49857</v>
      </c>
    </row>
    <row r="1100" spans="2:8" x14ac:dyDescent="0.3">
      <c r="B1100" s="379">
        <f t="shared" si="40"/>
        <v>159</v>
      </c>
      <c r="C1100" s="380">
        <v>44292</v>
      </c>
      <c r="D1100" s="4">
        <v>1.67</v>
      </c>
      <c r="E1100" s="381">
        <f t="shared" si="39"/>
        <v>3.2024324127179497E-6</v>
      </c>
      <c r="G1100" s="396">
        <v>44372</v>
      </c>
      <c r="H1100" s="32">
        <v>2.4405000000000001</v>
      </c>
    </row>
    <row r="1101" spans="2:8" x14ac:dyDescent="0.3">
      <c r="B1101" s="379">
        <f t="shared" si="40"/>
        <v>158</v>
      </c>
      <c r="C1101" s="380">
        <v>44293</v>
      </c>
      <c r="D1101" s="4">
        <v>1.68</v>
      </c>
      <c r="E1101" s="381">
        <f t="shared" si="39"/>
        <v>3.4068429922531386E-6</v>
      </c>
      <c r="G1101" s="396">
        <v>44375</v>
      </c>
      <c r="H1101" s="32">
        <v>2.4441099999999998</v>
      </c>
    </row>
    <row r="1102" spans="2:8" x14ac:dyDescent="0.3">
      <c r="B1102" s="379">
        <f t="shared" si="40"/>
        <v>157</v>
      </c>
      <c r="C1102" s="380">
        <v>44294</v>
      </c>
      <c r="D1102" s="4">
        <v>1.64</v>
      </c>
      <c r="E1102" s="381">
        <f t="shared" si="39"/>
        <v>3.6243010555884447E-6</v>
      </c>
      <c r="G1102" s="396">
        <v>44376</v>
      </c>
      <c r="H1102" s="32">
        <v>2.4529200000000002</v>
      </c>
    </row>
    <row r="1103" spans="2:8" x14ac:dyDescent="0.3">
      <c r="B1103" s="379">
        <f t="shared" si="40"/>
        <v>156</v>
      </c>
      <c r="C1103" s="380">
        <v>44295</v>
      </c>
      <c r="D1103" s="4">
        <v>1.67</v>
      </c>
      <c r="E1103" s="381">
        <f t="shared" si="39"/>
        <v>3.8556394208387721E-6</v>
      </c>
      <c r="G1103" s="396">
        <v>44377</v>
      </c>
      <c r="H1103" s="32">
        <v>2.4704799999999998</v>
      </c>
    </row>
    <row r="1104" spans="2:8" x14ac:dyDescent="0.3">
      <c r="B1104" s="379">
        <f t="shared" si="40"/>
        <v>155</v>
      </c>
      <c r="C1104" s="380">
        <v>44298</v>
      </c>
      <c r="D1104" s="4">
        <v>1.69</v>
      </c>
      <c r="E1104" s="381">
        <f t="shared" si="39"/>
        <v>4.1017440647220971E-6</v>
      </c>
      <c r="G1104" s="396">
        <v>44378</v>
      </c>
      <c r="H1104" s="32">
        <v>2.4901800000000001</v>
      </c>
    </row>
    <row r="1105" spans="2:8" x14ac:dyDescent="0.3">
      <c r="B1105" s="379">
        <f t="shared" si="40"/>
        <v>154</v>
      </c>
      <c r="C1105" s="380">
        <v>44299</v>
      </c>
      <c r="D1105" s="4">
        <v>1.64</v>
      </c>
      <c r="E1105" s="381">
        <f t="shared" si="39"/>
        <v>4.3635575156618065E-6</v>
      </c>
      <c r="G1105" s="396">
        <v>44379</v>
      </c>
      <c r="H1105" s="32">
        <v>2.5560499999999999</v>
      </c>
    </row>
    <row r="1106" spans="2:8" x14ac:dyDescent="0.3">
      <c r="B1106" s="379">
        <f t="shared" si="40"/>
        <v>153</v>
      </c>
      <c r="C1106" s="380">
        <v>44300</v>
      </c>
      <c r="D1106" s="4">
        <v>1.64</v>
      </c>
      <c r="E1106" s="381">
        <f t="shared" si="39"/>
        <v>4.6420824634700063E-6</v>
      </c>
      <c r="G1106" s="396">
        <v>44383</v>
      </c>
      <c r="H1106" s="32">
        <v>2.5870500000000001</v>
      </c>
    </row>
    <row r="1107" spans="2:8" x14ac:dyDescent="0.3">
      <c r="B1107" s="379">
        <f t="shared" si="40"/>
        <v>152</v>
      </c>
      <c r="C1107" s="380">
        <v>44301</v>
      </c>
      <c r="D1107" s="4">
        <v>1.56</v>
      </c>
      <c r="E1107" s="381">
        <f t="shared" si="39"/>
        <v>4.9383855994361771E-6</v>
      </c>
      <c r="G1107" s="396">
        <v>44384</v>
      </c>
      <c r="H1107" s="32">
        <v>2.5950099999999998</v>
      </c>
    </row>
    <row r="1108" spans="2:8" x14ac:dyDescent="0.3">
      <c r="B1108" s="379">
        <f t="shared" si="40"/>
        <v>151</v>
      </c>
      <c r="C1108" s="380">
        <v>44302</v>
      </c>
      <c r="D1108" s="4">
        <v>1.59</v>
      </c>
      <c r="E1108" s="381">
        <f t="shared" si="39"/>
        <v>5.2536017015278482E-6</v>
      </c>
      <c r="G1108" s="396">
        <v>44385</v>
      </c>
      <c r="H1108" s="32">
        <v>2.6171899999999999</v>
      </c>
    </row>
    <row r="1109" spans="2:8" x14ac:dyDescent="0.3">
      <c r="B1109" s="379">
        <f t="shared" si="40"/>
        <v>150</v>
      </c>
      <c r="C1109" s="380">
        <v>44305</v>
      </c>
      <c r="D1109" s="4">
        <v>1.61</v>
      </c>
      <c r="E1109" s="381">
        <f t="shared" si="39"/>
        <v>5.5889379803487744E-6</v>
      </c>
      <c r="G1109" s="396">
        <v>44386</v>
      </c>
      <c r="H1109" s="32">
        <v>2.6086</v>
      </c>
    </row>
    <row r="1110" spans="2:8" x14ac:dyDescent="0.3">
      <c r="B1110" s="379">
        <f t="shared" si="40"/>
        <v>149</v>
      </c>
      <c r="C1110" s="380">
        <v>44306</v>
      </c>
      <c r="D1110" s="4">
        <v>1.58</v>
      </c>
      <c r="E1110" s="381">
        <f t="shared" si="39"/>
        <v>5.9456787024986963E-6</v>
      </c>
      <c r="G1110" s="396">
        <v>44389</v>
      </c>
      <c r="H1110" s="32">
        <v>2.6415000000000002</v>
      </c>
    </row>
    <row r="1111" spans="2:8" x14ac:dyDescent="0.3">
      <c r="B1111" s="379">
        <f t="shared" si="40"/>
        <v>148</v>
      </c>
      <c r="C1111" s="380">
        <v>44307</v>
      </c>
      <c r="D1111" s="4">
        <v>1.57</v>
      </c>
      <c r="E1111" s="381">
        <f t="shared" si="39"/>
        <v>6.3251901090411671E-6</v>
      </c>
      <c r="G1111" s="396">
        <v>44390</v>
      </c>
      <c r="H1111" s="32">
        <v>2.6662300000000001</v>
      </c>
    </row>
    <row r="1112" spans="2:8" x14ac:dyDescent="0.3">
      <c r="B1112" s="379">
        <f t="shared" si="40"/>
        <v>147</v>
      </c>
      <c r="C1112" s="380">
        <v>44308</v>
      </c>
      <c r="D1112" s="4">
        <v>1.57</v>
      </c>
      <c r="E1112" s="381">
        <f t="shared" si="39"/>
        <v>6.7289256479161344E-6</v>
      </c>
      <c r="G1112" s="396">
        <v>44391</v>
      </c>
      <c r="H1112" s="32">
        <v>2.6804700000000001</v>
      </c>
    </row>
    <row r="1113" spans="2:8" x14ac:dyDescent="0.3">
      <c r="B1113" s="379">
        <f t="shared" si="40"/>
        <v>146</v>
      </c>
      <c r="C1113" s="380">
        <v>44309</v>
      </c>
      <c r="D1113" s="4">
        <v>1.58</v>
      </c>
      <c r="E1113" s="381">
        <f t="shared" si="39"/>
        <v>7.158431540336314E-6</v>
      </c>
      <c r="G1113" s="396">
        <v>44392</v>
      </c>
      <c r="H1113" s="32">
        <v>2.68512</v>
      </c>
    </row>
    <row r="1114" spans="2:8" x14ac:dyDescent="0.3">
      <c r="B1114" s="379">
        <f t="shared" si="40"/>
        <v>145</v>
      </c>
      <c r="C1114" s="380">
        <v>44312</v>
      </c>
      <c r="D1114" s="4">
        <v>1.58</v>
      </c>
      <c r="E1114" s="381">
        <f t="shared" si="39"/>
        <v>7.6153527024854411E-6</v>
      </c>
      <c r="G1114" s="396">
        <v>44393</v>
      </c>
      <c r="H1114" s="32">
        <v>2.6294300000000002</v>
      </c>
    </row>
    <row r="1115" spans="2:8" x14ac:dyDescent="0.3">
      <c r="B1115" s="379">
        <f t="shared" si="40"/>
        <v>144</v>
      </c>
      <c r="C1115" s="380">
        <v>44313</v>
      </c>
      <c r="D1115" s="4">
        <v>1.63</v>
      </c>
      <c r="E1115" s="381">
        <f t="shared" si="39"/>
        <v>8.1014390451972783E-6</v>
      </c>
      <c r="G1115" s="396">
        <v>44396</v>
      </c>
      <c r="H1115" s="32">
        <v>2.6961499999999998</v>
      </c>
    </row>
    <row r="1116" spans="2:8" x14ac:dyDescent="0.3">
      <c r="B1116" s="379">
        <f t="shared" si="40"/>
        <v>143</v>
      </c>
      <c r="C1116" s="380">
        <v>44314</v>
      </c>
      <c r="D1116" s="4">
        <v>1.63</v>
      </c>
      <c r="E1116" s="381">
        <f t="shared" si="39"/>
        <v>8.6185521757417821E-6</v>
      </c>
      <c r="G1116" s="396">
        <v>44397</v>
      </c>
      <c r="H1116" s="32">
        <v>2.6798099999999998</v>
      </c>
    </row>
    <row r="1117" spans="2:8" x14ac:dyDescent="0.3">
      <c r="B1117" s="379">
        <f t="shared" si="40"/>
        <v>142</v>
      </c>
      <c r="C1117" s="380">
        <v>44315</v>
      </c>
      <c r="D1117" s="4">
        <v>1.65</v>
      </c>
      <c r="E1117" s="381">
        <f t="shared" si="39"/>
        <v>9.1686725273848773E-6</v>
      </c>
      <c r="G1117" s="396">
        <v>44398</v>
      </c>
      <c r="H1117" s="32">
        <v>2.6819000000000002</v>
      </c>
    </row>
    <row r="1118" spans="2:8" x14ac:dyDescent="0.3">
      <c r="B1118" s="379">
        <f t="shared" si="40"/>
        <v>141</v>
      </c>
      <c r="C1118" s="380">
        <v>44316</v>
      </c>
      <c r="D1118" s="4">
        <v>1.65</v>
      </c>
      <c r="E1118" s="381">
        <f t="shared" si="39"/>
        <v>9.7539069440264644E-6</v>
      </c>
      <c r="G1118" s="396">
        <v>44399</v>
      </c>
      <c r="H1118" s="32">
        <v>2.7269800000000002</v>
      </c>
    </row>
    <row r="1119" spans="2:8" x14ac:dyDescent="0.3">
      <c r="B1119" s="379">
        <f t="shared" si="40"/>
        <v>140</v>
      </c>
      <c r="C1119" s="380">
        <v>44319</v>
      </c>
      <c r="D1119" s="4">
        <v>1.63</v>
      </c>
      <c r="E1119" s="381">
        <f t="shared" si="39"/>
        <v>1.0376496748964325E-5</v>
      </c>
      <c r="G1119" s="396">
        <v>44400</v>
      </c>
      <c r="H1119" s="32">
        <v>2.7251400000000001</v>
      </c>
    </row>
    <row r="1120" spans="2:8" x14ac:dyDescent="0.3">
      <c r="B1120" s="379">
        <f t="shared" si="40"/>
        <v>139</v>
      </c>
      <c r="C1120" s="380">
        <v>44320</v>
      </c>
      <c r="D1120" s="4">
        <v>1.61</v>
      </c>
      <c r="E1120" s="381">
        <f t="shared" si="39"/>
        <v>1.1038826328685451E-5</v>
      </c>
      <c r="G1120" s="396">
        <v>44403</v>
      </c>
      <c r="H1120" s="32">
        <v>2.7625199999999999</v>
      </c>
    </row>
    <row r="1121" spans="2:8" x14ac:dyDescent="0.3">
      <c r="B1121" s="379">
        <f t="shared" si="40"/>
        <v>138</v>
      </c>
      <c r="C1121" s="380">
        <v>44321</v>
      </c>
      <c r="D1121" s="4">
        <v>1.59</v>
      </c>
      <c r="E1121" s="381">
        <f t="shared" si="39"/>
        <v>1.1743432264558992E-5</v>
      </c>
      <c r="G1121" s="396">
        <v>44404</v>
      </c>
      <c r="H1121" s="32">
        <v>2.8266300000000002</v>
      </c>
    </row>
    <row r="1122" spans="2:8" x14ac:dyDescent="0.3">
      <c r="B1122" s="379">
        <f t="shared" si="40"/>
        <v>137</v>
      </c>
      <c r="C1122" s="380">
        <v>44322</v>
      </c>
      <c r="D1122" s="4">
        <v>1.58</v>
      </c>
      <c r="E1122" s="381">
        <f t="shared" si="39"/>
        <v>1.2493013047403182E-5</v>
      </c>
      <c r="G1122" s="396">
        <v>44405</v>
      </c>
      <c r="H1122" s="32">
        <v>2.8339699999999999</v>
      </c>
    </row>
    <row r="1123" spans="2:8" x14ac:dyDescent="0.3">
      <c r="B1123" s="379">
        <f t="shared" si="40"/>
        <v>136</v>
      </c>
      <c r="C1123" s="380">
        <v>44323</v>
      </c>
      <c r="D1123" s="4">
        <v>1.6</v>
      </c>
      <c r="E1123" s="381">
        <f t="shared" si="39"/>
        <v>1.3290439412131047E-5</v>
      </c>
      <c r="G1123" s="396">
        <v>44406</v>
      </c>
      <c r="H1123" s="32">
        <v>2.7671399999999999</v>
      </c>
    </row>
    <row r="1124" spans="2:8" x14ac:dyDescent="0.3">
      <c r="B1124" s="379">
        <f t="shared" si="40"/>
        <v>135</v>
      </c>
      <c r="C1124" s="380">
        <v>44326</v>
      </c>
      <c r="D1124" s="4">
        <v>1.63</v>
      </c>
      <c r="E1124" s="381">
        <f t="shared" si="39"/>
        <v>1.4138765332054303E-5</v>
      </c>
      <c r="G1124" s="396">
        <v>44407</v>
      </c>
      <c r="H1124" s="32">
        <v>2.7589800000000002</v>
      </c>
    </row>
    <row r="1125" spans="2:8" x14ac:dyDescent="0.3">
      <c r="B1125" s="379">
        <f t="shared" si="40"/>
        <v>134</v>
      </c>
      <c r="C1125" s="380">
        <v>44327</v>
      </c>
      <c r="D1125" s="4">
        <v>1.64</v>
      </c>
      <c r="E1125" s="381">
        <f t="shared" si="39"/>
        <v>1.5041239714951389E-5</v>
      </c>
      <c r="G1125" s="396">
        <v>44410</v>
      </c>
      <c r="H1125" s="32">
        <v>2.7585999999999999</v>
      </c>
    </row>
    <row r="1126" spans="2:8" x14ac:dyDescent="0.3">
      <c r="B1126" s="379">
        <f t="shared" si="40"/>
        <v>133</v>
      </c>
      <c r="C1126" s="380">
        <v>44328</v>
      </c>
      <c r="D1126" s="4">
        <v>1.69</v>
      </c>
      <c r="E1126" s="381">
        <f t="shared" si="39"/>
        <v>1.6001318845692966E-5</v>
      </c>
      <c r="G1126" s="396">
        <v>44411</v>
      </c>
      <c r="H1126" s="32">
        <v>2.7648899999999998</v>
      </c>
    </row>
    <row r="1127" spans="2:8" x14ac:dyDescent="0.3">
      <c r="B1127" s="379">
        <f t="shared" si="40"/>
        <v>132</v>
      </c>
      <c r="C1127" s="380">
        <v>44329</v>
      </c>
      <c r="D1127" s="4">
        <v>1.66</v>
      </c>
      <c r="E1127" s="381">
        <f t="shared" si="39"/>
        <v>1.7022679623077624E-5</v>
      </c>
      <c r="G1127" s="396">
        <v>44412</v>
      </c>
      <c r="H1127" s="32">
        <v>2.7748499999999998</v>
      </c>
    </row>
    <row r="1128" spans="2:8" x14ac:dyDescent="0.3">
      <c r="B1128" s="379">
        <f t="shared" si="40"/>
        <v>131</v>
      </c>
      <c r="C1128" s="380">
        <v>44330</v>
      </c>
      <c r="D1128" s="4">
        <v>1.63</v>
      </c>
      <c r="E1128" s="381">
        <f t="shared" si="39"/>
        <v>1.8109233641571939E-5</v>
      </c>
      <c r="G1128" s="396">
        <v>44413</v>
      </c>
      <c r="H1128" s="32">
        <v>2.75983</v>
      </c>
    </row>
    <row r="1129" spans="2:8" x14ac:dyDescent="0.3">
      <c r="B1129" s="379">
        <f t="shared" si="40"/>
        <v>130</v>
      </c>
      <c r="C1129" s="380">
        <v>44333</v>
      </c>
      <c r="D1129" s="4">
        <v>1.64</v>
      </c>
      <c r="E1129" s="381">
        <f t="shared" si="39"/>
        <v>1.9265142171885043E-5</v>
      </c>
      <c r="G1129" s="396">
        <v>44414</v>
      </c>
      <c r="H1129" s="32">
        <v>2.73597</v>
      </c>
    </row>
    <row r="1130" spans="2:8" x14ac:dyDescent="0.3">
      <c r="B1130" s="379">
        <f t="shared" si="40"/>
        <v>129</v>
      </c>
      <c r="C1130" s="380">
        <v>44334</v>
      </c>
      <c r="D1130" s="4">
        <v>1.64</v>
      </c>
      <c r="E1130" s="381">
        <f t="shared" si="39"/>
        <v>2.0494832097750048E-5</v>
      </c>
      <c r="G1130" s="396">
        <v>44417</v>
      </c>
      <c r="H1130" s="32">
        <v>2.75312</v>
      </c>
    </row>
    <row r="1131" spans="2:8" x14ac:dyDescent="0.3">
      <c r="B1131" s="379">
        <f t="shared" si="40"/>
        <v>128</v>
      </c>
      <c r="C1131" s="380">
        <v>44335</v>
      </c>
      <c r="D1131" s="4">
        <v>1.68</v>
      </c>
      <c r="E1131" s="381">
        <f t="shared" si="39"/>
        <v>2.1803012869946859E-5</v>
      </c>
      <c r="G1131" s="396">
        <v>44418</v>
      </c>
      <c r="H1131" s="32">
        <v>2.7672400000000001</v>
      </c>
    </row>
    <row r="1132" spans="2:8" x14ac:dyDescent="0.3">
      <c r="B1132" s="379">
        <f t="shared" si="40"/>
        <v>127</v>
      </c>
      <c r="C1132" s="380">
        <v>44336</v>
      </c>
      <c r="D1132" s="4">
        <v>1.63</v>
      </c>
      <c r="E1132" s="381">
        <f t="shared" si="39"/>
        <v>2.3194694542496658E-5</v>
      </c>
      <c r="G1132" s="396">
        <v>44419</v>
      </c>
      <c r="H1132" s="32">
        <v>2.7877100000000001</v>
      </c>
    </row>
    <row r="1133" spans="2:8" x14ac:dyDescent="0.3">
      <c r="B1133" s="379">
        <f t="shared" si="40"/>
        <v>126</v>
      </c>
      <c r="C1133" s="380">
        <v>44337</v>
      </c>
      <c r="D1133" s="4">
        <v>1.63</v>
      </c>
      <c r="E1133" s="381">
        <f t="shared" si="39"/>
        <v>2.467520696010283E-5</v>
      </c>
      <c r="G1133" s="396">
        <v>44420</v>
      </c>
      <c r="H1133" s="32">
        <v>2.7721</v>
      </c>
    </row>
    <row r="1134" spans="2:8" x14ac:dyDescent="0.3">
      <c r="B1134" s="379">
        <f t="shared" si="40"/>
        <v>125</v>
      </c>
      <c r="C1134" s="380">
        <v>44340</v>
      </c>
      <c r="D1134" s="4">
        <v>1.61</v>
      </c>
      <c r="E1134" s="381">
        <f t="shared" si="39"/>
        <v>2.6250220170322154E-5</v>
      </c>
      <c r="G1134" s="396">
        <v>44421</v>
      </c>
      <c r="H1134" s="32">
        <v>2.79053</v>
      </c>
    </row>
    <row r="1135" spans="2:8" x14ac:dyDescent="0.3">
      <c r="B1135" s="379">
        <f t="shared" si="40"/>
        <v>124</v>
      </c>
      <c r="C1135" s="380">
        <v>44341</v>
      </c>
      <c r="D1135" s="4">
        <v>1.56</v>
      </c>
      <c r="E1135" s="381">
        <f t="shared" si="39"/>
        <v>2.7925766138640598E-5</v>
      </c>
      <c r="G1135" s="396">
        <v>44424</v>
      </c>
      <c r="H1135" s="32">
        <v>2.8063899999999999</v>
      </c>
    </row>
    <row r="1136" spans="2:8" x14ac:dyDescent="0.3">
      <c r="B1136" s="379">
        <f t="shared" si="40"/>
        <v>123</v>
      </c>
      <c r="C1136" s="380">
        <v>44342</v>
      </c>
      <c r="D1136" s="4">
        <v>1.58</v>
      </c>
      <c r="E1136" s="381">
        <f t="shared" si="39"/>
        <v>2.9708261849617656E-5</v>
      </c>
      <c r="G1136" s="396">
        <v>44425</v>
      </c>
      <c r="H1136" s="32">
        <v>2.8026599999999999</v>
      </c>
    </row>
    <row r="1137" spans="2:8" x14ac:dyDescent="0.3">
      <c r="B1137" s="379">
        <f t="shared" si="40"/>
        <v>122</v>
      </c>
      <c r="C1137" s="380">
        <v>44343</v>
      </c>
      <c r="D1137" s="4">
        <v>1.61</v>
      </c>
      <c r="E1137" s="381">
        <f t="shared" si="39"/>
        <v>3.1604533882571972E-5</v>
      </c>
      <c r="G1137" s="396">
        <v>44426</v>
      </c>
      <c r="H1137" s="32">
        <v>2.8025799999999998</v>
      </c>
    </row>
    <row r="1138" spans="2:8" x14ac:dyDescent="0.3">
      <c r="B1138" s="379">
        <f t="shared" si="40"/>
        <v>121</v>
      </c>
      <c r="C1138" s="380">
        <v>44344</v>
      </c>
      <c r="D1138" s="4">
        <v>1.58</v>
      </c>
      <c r="E1138" s="381">
        <f t="shared" si="39"/>
        <v>3.3621844555927636E-5</v>
      </c>
      <c r="G1138" s="396">
        <v>44427</v>
      </c>
      <c r="H1138" s="32">
        <v>2.8535300000000001</v>
      </c>
    </row>
    <row r="1139" spans="2:8" x14ac:dyDescent="0.3">
      <c r="B1139" s="379">
        <f t="shared" si="40"/>
        <v>120</v>
      </c>
      <c r="C1139" s="380">
        <v>44348</v>
      </c>
      <c r="D1139" s="4">
        <v>1.62</v>
      </c>
      <c r="E1139" s="381">
        <f t="shared" si="39"/>
        <v>3.576791974034855E-5</v>
      </c>
      <c r="G1139" s="396">
        <v>44428</v>
      </c>
      <c r="H1139" s="32">
        <v>2.85608</v>
      </c>
    </row>
    <row r="1140" spans="2:8" x14ac:dyDescent="0.3">
      <c r="B1140" s="379">
        <f t="shared" si="40"/>
        <v>119</v>
      </c>
      <c r="C1140" s="380">
        <v>44349</v>
      </c>
      <c r="D1140" s="4">
        <v>1.59</v>
      </c>
      <c r="E1140" s="381">
        <f t="shared" si="39"/>
        <v>3.80509784471793E-5</v>
      </c>
      <c r="G1140" s="396">
        <v>44431</v>
      </c>
      <c r="H1140" s="32">
        <v>2.8551099999999998</v>
      </c>
    </row>
    <row r="1141" spans="2:8" x14ac:dyDescent="0.3">
      <c r="B1141" s="379">
        <f t="shared" si="40"/>
        <v>118</v>
      </c>
      <c r="C1141" s="380">
        <v>44350</v>
      </c>
      <c r="D1141" s="4">
        <v>1.63</v>
      </c>
      <c r="E1141" s="381">
        <f t="shared" si="39"/>
        <v>4.0479764305509896E-5</v>
      </c>
      <c r="G1141" s="396">
        <v>44432</v>
      </c>
      <c r="H1141" s="32">
        <v>2.8143699999999998</v>
      </c>
    </row>
    <row r="1142" spans="2:8" x14ac:dyDescent="0.3">
      <c r="B1142" s="379">
        <f t="shared" si="40"/>
        <v>117</v>
      </c>
      <c r="C1142" s="380">
        <v>44351</v>
      </c>
      <c r="D1142" s="4">
        <v>1.56</v>
      </c>
      <c r="E1142" s="381">
        <f t="shared" si="39"/>
        <v>4.3063579048414778E-5</v>
      </c>
      <c r="G1142" s="396">
        <v>44433</v>
      </c>
      <c r="H1142" s="32">
        <v>2.72682</v>
      </c>
    </row>
    <row r="1143" spans="2:8" x14ac:dyDescent="0.3">
      <c r="B1143" s="379">
        <f t="shared" si="40"/>
        <v>116</v>
      </c>
      <c r="C1143" s="380">
        <v>44354</v>
      </c>
      <c r="D1143" s="4">
        <v>1.57</v>
      </c>
      <c r="E1143" s="381">
        <f t="shared" si="39"/>
        <v>4.5812318136611477E-5</v>
      </c>
      <c r="G1143" s="396">
        <v>44434</v>
      </c>
      <c r="H1143" s="32">
        <v>2.7261500000000001</v>
      </c>
    </row>
    <row r="1144" spans="2:8" x14ac:dyDescent="0.3">
      <c r="B1144" s="379">
        <f t="shared" si="40"/>
        <v>115</v>
      </c>
      <c r="C1144" s="380">
        <v>44355</v>
      </c>
      <c r="D1144" s="4">
        <v>1.53</v>
      </c>
      <c r="E1144" s="381">
        <f t="shared" si="39"/>
        <v>4.8736508655969648E-5</v>
      </c>
      <c r="G1144" s="396">
        <v>44435</v>
      </c>
      <c r="H1144" s="32">
        <v>2.7079599999999999</v>
      </c>
    </row>
    <row r="1145" spans="2:8" x14ac:dyDescent="0.3">
      <c r="B1145" s="379">
        <f t="shared" si="40"/>
        <v>114</v>
      </c>
      <c r="C1145" s="380">
        <v>44356</v>
      </c>
      <c r="D1145" s="4">
        <v>1.5</v>
      </c>
      <c r="E1145" s="381">
        <f t="shared" si="39"/>
        <v>5.1847349634010275E-5</v>
      </c>
      <c r="G1145" s="396">
        <v>44438</v>
      </c>
      <c r="H1145" s="32">
        <v>2.6895500000000001</v>
      </c>
    </row>
    <row r="1146" spans="2:8" x14ac:dyDescent="0.3">
      <c r="B1146" s="379">
        <f t="shared" si="40"/>
        <v>113</v>
      </c>
      <c r="C1146" s="380">
        <v>44357</v>
      </c>
      <c r="D1146" s="4">
        <v>1.45</v>
      </c>
      <c r="E1146" s="381">
        <f t="shared" si="39"/>
        <v>5.5156754929798164E-5</v>
      </c>
      <c r="G1146" s="396">
        <v>44439</v>
      </c>
      <c r="H1146" s="32">
        <v>2.7239</v>
      </c>
    </row>
    <row r="1147" spans="2:8" x14ac:dyDescent="0.3">
      <c r="B1147" s="379">
        <f t="shared" si="40"/>
        <v>112</v>
      </c>
      <c r="C1147" s="380">
        <v>44358</v>
      </c>
      <c r="D1147" s="4">
        <v>1.47</v>
      </c>
      <c r="E1147" s="381">
        <f t="shared" si="39"/>
        <v>5.8677398861487405E-5</v>
      </c>
      <c r="G1147" s="396">
        <v>44440</v>
      </c>
      <c r="H1147" s="32">
        <v>2.71265</v>
      </c>
    </row>
    <row r="1148" spans="2:8" x14ac:dyDescent="0.3">
      <c r="B1148" s="379">
        <f t="shared" si="40"/>
        <v>111</v>
      </c>
      <c r="C1148" s="380">
        <v>44361</v>
      </c>
      <c r="D1148" s="4">
        <v>1.51</v>
      </c>
      <c r="E1148" s="381">
        <f t="shared" si="39"/>
        <v>6.2422764746263202E-5</v>
      </c>
      <c r="G1148" s="396">
        <v>44441</v>
      </c>
      <c r="H1148" s="32">
        <v>2.7051099999999999</v>
      </c>
    </row>
    <row r="1149" spans="2:8" x14ac:dyDescent="0.3">
      <c r="B1149" s="379">
        <f t="shared" si="40"/>
        <v>110</v>
      </c>
      <c r="C1149" s="380">
        <v>44362</v>
      </c>
      <c r="D1149" s="4">
        <v>1.51</v>
      </c>
      <c r="E1149" s="381">
        <f t="shared" si="39"/>
        <v>6.6407196538577869E-5</v>
      </c>
      <c r="G1149" s="396">
        <v>44442</v>
      </c>
      <c r="H1149" s="32">
        <v>2.7013099999999999</v>
      </c>
    </row>
    <row r="1150" spans="2:8" x14ac:dyDescent="0.3">
      <c r="B1150" s="379">
        <f t="shared" si="40"/>
        <v>109</v>
      </c>
      <c r="C1150" s="380">
        <v>44363</v>
      </c>
      <c r="D1150" s="4">
        <v>1.57</v>
      </c>
      <c r="E1150" s="381">
        <f t="shared" si="39"/>
        <v>7.0645953764444537E-5</v>
      </c>
      <c r="G1150" s="396">
        <v>44446</v>
      </c>
      <c r="H1150" s="32">
        <v>2.6947199999999998</v>
      </c>
    </row>
    <row r="1151" spans="2:8" x14ac:dyDescent="0.3">
      <c r="B1151" s="379">
        <f t="shared" si="40"/>
        <v>108</v>
      </c>
      <c r="C1151" s="380">
        <v>44364</v>
      </c>
      <c r="D1151" s="4">
        <v>1.52</v>
      </c>
      <c r="E1151" s="381">
        <f t="shared" si="39"/>
        <v>7.5155269962175059E-5</v>
      </c>
      <c r="G1151" s="396">
        <v>44447</v>
      </c>
      <c r="H1151" s="32">
        <v>2.72214</v>
      </c>
    </row>
    <row r="1152" spans="2:8" x14ac:dyDescent="0.3">
      <c r="B1152" s="379">
        <f t="shared" si="40"/>
        <v>107</v>
      </c>
      <c r="C1152" s="380">
        <v>44365</v>
      </c>
      <c r="D1152" s="4">
        <v>1.45</v>
      </c>
      <c r="E1152" s="381">
        <f t="shared" si="39"/>
        <v>7.9952414853377721E-5</v>
      </c>
      <c r="G1152" s="396">
        <v>44448</v>
      </c>
      <c r="H1152" s="32">
        <v>2.7446700000000002</v>
      </c>
    </row>
    <row r="1153" spans="2:8" x14ac:dyDescent="0.3">
      <c r="B1153" s="379">
        <f t="shared" si="40"/>
        <v>106</v>
      </c>
      <c r="C1153" s="380">
        <v>44368</v>
      </c>
      <c r="D1153" s="4">
        <v>1.5</v>
      </c>
      <c r="E1153" s="381">
        <f t="shared" si="39"/>
        <v>8.5055760482316732E-5</v>
      </c>
      <c r="G1153" s="396">
        <v>44449</v>
      </c>
      <c r="H1153" s="32">
        <v>2.72804</v>
      </c>
    </row>
    <row r="1154" spans="2:8" x14ac:dyDescent="0.3">
      <c r="B1154" s="379">
        <f t="shared" si="40"/>
        <v>105</v>
      </c>
      <c r="C1154" s="380">
        <v>44369</v>
      </c>
      <c r="D1154" s="4">
        <v>1.48</v>
      </c>
      <c r="E1154" s="381">
        <f t="shared" si="39"/>
        <v>9.0484851576932691E-5</v>
      </c>
      <c r="G1154" s="396">
        <v>44452</v>
      </c>
      <c r="H1154" s="32">
        <v>2.7762699999999998</v>
      </c>
    </row>
    <row r="1155" spans="2:8" x14ac:dyDescent="0.3">
      <c r="B1155" s="379">
        <f t="shared" si="40"/>
        <v>104</v>
      </c>
      <c r="C1155" s="380">
        <v>44370</v>
      </c>
      <c r="D1155" s="4">
        <v>1.5</v>
      </c>
      <c r="E1155" s="381">
        <f t="shared" si="39"/>
        <v>9.6260480400992224E-5</v>
      </c>
      <c r="G1155" s="396">
        <v>44453</v>
      </c>
      <c r="H1155" s="32">
        <v>2.8088700000000002</v>
      </c>
    </row>
    <row r="1156" spans="2:8" x14ac:dyDescent="0.3">
      <c r="B1156" s="379">
        <f t="shared" si="40"/>
        <v>103</v>
      </c>
      <c r="C1156" s="380">
        <v>44371</v>
      </c>
      <c r="D1156" s="4">
        <v>1.49</v>
      </c>
      <c r="E1156" s="381">
        <f t="shared" si="39"/>
        <v>1.0240476638403427E-4</v>
      </c>
      <c r="G1156" s="396">
        <v>44454</v>
      </c>
      <c r="H1156" s="32">
        <v>2.7717499999999999</v>
      </c>
    </row>
    <row r="1157" spans="2:8" x14ac:dyDescent="0.3">
      <c r="B1157" s="379">
        <f t="shared" si="40"/>
        <v>102</v>
      </c>
      <c r="C1157" s="380">
        <v>44372</v>
      </c>
      <c r="D1157" s="4">
        <v>1.54</v>
      </c>
      <c r="E1157" s="381">
        <f t="shared" si="39"/>
        <v>1.0894124083407902E-4</v>
      </c>
      <c r="G1157" s="396">
        <v>44455</v>
      </c>
      <c r="H1157" s="32">
        <v>2.7878500000000002</v>
      </c>
    </row>
    <row r="1158" spans="2:8" x14ac:dyDescent="0.3">
      <c r="B1158" s="379">
        <f t="shared" si="40"/>
        <v>101</v>
      </c>
      <c r="C1158" s="380">
        <v>44375</v>
      </c>
      <c r="D1158" s="4">
        <v>1.49</v>
      </c>
      <c r="E1158" s="381">
        <f t="shared" si="39"/>
        <v>1.1589493705753087E-4</v>
      </c>
      <c r="G1158" s="396">
        <v>44456</v>
      </c>
      <c r="H1158" s="32">
        <v>2.7880400000000001</v>
      </c>
    </row>
    <row r="1159" spans="2:8" x14ac:dyDescent="0.3">
      <c r="B1159" s="379">
        <f t="shared" si="40"/>
        <v>100</v>
      </c>
      <c r="C1159" s="380">
        <v>44376</v>
      </c>
      <c r="D1159" s="4">
        <v>1.49</v>
      </c>
      <c r="E1159" s="381">
        <f t="shared" si="39"/>
        <v>1.2329248623141583E-4</v>
      </c>
      <c r="G1159" s="396">
        <v>44459</v>
      </c>
      <c r="H1159" s="32">
        <v>2.91188</v>
      </c>
    </row>
    <row r="1160" spans="2:8" x14ac:dyDescent="0.3">
      <c r="B1160" s="379">
        <f t="shared" si="40"/>
        <v>99</v>
      </c>
      <c r="C1160" s="380">
        <v>44377</v>
      </c>
      <c r="D1160" s="4">
        <v>1.45</v>
      </c>
      <c r="E1160" s="381">
        <f t="shared" si="39"/>
        <v>1.3116221939512321E-4</v>
      </c>
      <c r="G1160" s="396">
        <v>44460</v>
      </c>
      <c r="H1160" s="32">
        <v>2.8825599999999998</v>
      </c>
    </row>
    <row r="1161" spans="2:8" x14ac:dyDescent="0.3">
      <c r="B1161" s="379">
        <f t="shared" si="40"/>
        <v>98</v>
      </c>
      <c r="C1161" s="380">
        <v>44378</v>
      </c>
      <c r="D1161" s="4">
        <v>1.48</v>
      </c>
      <c r="E1161" s="381">
        <f t="shared" ref="E1161:E1224" si="41">+(1-$C$4)*$C$4^B1161</f>
        <v>1.3953427595225873E-4</v>
      </c>
      <c r="G1161" s="396">
        <v>44461</v>
      </c>
      <c r="H1161" s="32">
        <v>2.8978899999999999</v>
      </c>
    </row>
    <row r="1162" spans="2:8" x14ac:dyDescent="0.3">
      <c r="B1162" s="379">
        <f t="shared" si="40"/>
        <v>97</v>
      </c>
      <c r="C1162" s="380">
        <v>44379</v>
      </c>
      <c r="D1162" s="4">
        <v>1.44</v>
      </c>
      <c r="E1162" s="381">
        <f t="shared" si="41"/>
        <v>1.4844071909814763E-4</v>
      </c>
      <c r="G1162" s="396">
        <v>44462</v>
      </c>
      <c r="H1162" s="32">
        <v>2.8552</v>
      </c>
    </row>
    <row r="1163" spans="2:8" x14ac:dyDescent="0.3">
      <c r="B1163" s="379">
        <f t="shared" ref="B1163:B1226" si="42">+B1162-1</f>
        <v>96</v>
      </c>
      <c r="C1163" s="380">
        <v>44383</v>
      </c>
      <c r="D1163" s="4">
        <v>1.37</v>
      </c>
      <c r="E1163" s="381">
        <f t="shared" si="41"/>
        <v>1.5791565861505066E-4</v>
      </c>
      <c r="G1163" s="396">
        <v>44463</v>
      </c>
      <c r="H1163" s="32">
        <v>2.8933900000000001</v>
      </c>
    </row>
    <row r="1164" spans="2:8" x14ac:dyDescent="0.3">
      <c r="B1164" s="379">
        <f t="shared" si="42"/>
        <v>95</v>
      </c>
      <c r="C1164" s="380">
        <v>44384</v>
      </c>
      <c r="D1164" s="4">
        <v>1.33</v>
      </c>
      <c r="E1164" s="381">
        <f t="shared" si="41"/>
        <v>1.6799538150537305E-4</v>
      </c>
      <c r="G1164" s="396">
        <v>44466</v>
      </c>
      <c r="H1164" s="32">
        <v>2.9336099999999998</v>
      </c>
    </row>
    <row r="1165" spans="2:8" x14ac:dyDescent="0.3">
      <c r="B1165" s="379">
        <f t="shared" si="42"/>
        <v>94</v>
      </c>
      <c r="C1165" s="380">
        <v>44385</v>
      </c>
      <c r="D1165" s="4">
        <v>1.3</v>
      </c>
      <c r="E1165" s="381">
        <f t="shared" si="41"/>
        <v>1.7871849096316283E-4</v>
      </c>
      <c r="G1165" s="396">
        <v>44467</v>
      </c>
      <c r="H1165" s="32">
        <v>2.98386</v>
      </c>
    </row>
    <row r="1166" spans="2:8" x14ac:dyDescent="0.3">
      <c r="B1166" s="379">
        <f t="shared" si="42"/>
        <v>93</v>
      </c>
      <c r="C1166" s="380">
        <v>44386</v>
      </c>
      <c r="D1166" s="4">
        <v>1.37</v>
      </c>
      <c r="E1166" s="381">
        <f t="shared" si="41"/>
        <v>1.9012605421613062E-4</v>
      </c>
      <c r="G1166" s="396">
        <v>44468</v>
      </c>
      <c r="H1166" s="32">
        <v>2.9914999999999998</v>
      </c>
    </row>
    <row r="1167" spans="2:8" x14ac:dyDescent="0.3">
      <c r="B1167" s="379">
        <f t="shared" si="42"/>
        <v>92</v>
      </c>
      <c r="C1167" s="380">
        <v>44389</v>
      </c>
      <c r="D1167" s="4">
        <v>1.38</v>
      </c>
      <c r="E1167" s="381">
        <f t="shared" si="41"/>
        <v>2.0226175980439434E-4</v>
      </c>
      <c r="G1167" s="396">
        <v>44469</v>
      </c>
      <c r="H1167" s="32">
        <v>3.0137100000000001</v>
      </c>
    </row>
    <row r="1168" spans="2:8" x14ac:dyDescent="0.3">
      <c r="B1168" s="379">
        <f t="shared" si="42"/>
        <v>91</v>
      </c>
      <c r="C1168" s="380">
        <v>44390</v>
      </c>
      <c r="D1168" s="4">
        <v>1.42</v>
      </c>
      <c r="E1168" s="381">
        <f t="shared" si="41"/>
        <v>2.1517208489829181E-4</v>
      </c>
      <c r="G1168" s="396">
        <v>44470</v>
      </c>
      <c r="H1168" s="32">
        <v>3.0184600000000001</v>
      </c>
    </row>
    <row r="1169" spans="2:8" x14ac:dyDescent="0.3">
      <c r="B1169" s="379">
        <f t="shared" si="42"/>
        <v>90</v>
      </c>
      <c r="C1169" s="380">
        <v>44391</v>
      </c>
      <c r="D1169" s="4">
        <v>1.37</v>
      </c>
      <c r="E1169" s="381">
        <f t="shared" si="41"/>
        <v>2.2890647329605515E-4</v>
      </c>
      <c r="G1169" s="396">
        <v>44473</v>
      </c>
      <c r="H1169" s="32">
        <v>3.0148899999999998</v>
      </c>
    </row>
    <row r="1170" spans="2:8" x14ac:dyDescent="0.3">
      <c r="B1170" s="379">
        <f t="shared" si="42"/>
        <v>89</v>
      </c>
      <c r="C1170" s="380">
        <v>44392</v>
      </c>
      <c r="D1170" s="4">
        <v>1.31</v>
      </c>
      <c r="E1170" s="381">
        <f t="shared" si="41"/>
        <v>2.4351752478303737E-4</v>
      </c>
      <c r="G1170" s="396">
        <v>44474</v>
      </c>
      <c r="H1170" s="32">
        <v>2.9718900000000001</v>
      </c>
    </row>
    <row r="1171" spans="2:8" x14ac:dyDescent="0.3">
      <c r="B1171" s="379">
        <f t="shared" si="42"/>
        <v>88</v>
      </c>
      <c r="C1171" s="380">
        <v>44393</v>
      </c>
      <c r="D1171" s="4">
        <v>1.31</v>
      </c>
      <c r="E1171" s="381">
        <f t="shared" si="41"/>
        <v>2.5906119657769937E-4</v>
      </c>
      <c r="G1171" s="396">
        <v>44475</v>
      </c>
      <c r="H1171" s="32">
        <v>2.9804900000000001</v>
      </c>
    </row>
    <row r="1172" spans="2:8" x14ac:dyDescent="0.3">
      <c r="B1172" s="379">
        <f t="shared" si="42"/>
        <v>87</v>
      </c>
      <c r="C1172" s="380">
        <v>44396</v>
      </c>
      <c r="D1172" s="4">
        <v>1.19</v>
      </c>
      <c r="E1172" s="381">
        <f t="shared" si="41"/>
        <v>2.7559701763585034E-4</v>
      </c>
      <c r="G1172" s="396">
        <v>44476</v>
      </c>
      <c r="H1172" s="32">
        <v>2.8887700000000001</v>
      </c>
    </row>
    <row r="1173" spans="2:8" x14ac:dyDescent="0.3">
      <c r="B1173" s="379">
        <f t="shared" si="42"/>
        <v>86</v>
      </c>
      <c r="C1173" s="380">
        <v>44397</v>
      </c>
      <c r="D1173" s="4">
        <v>1.23</v>
      </c>
      <c r="E1173" s="381">
        <f t="shared" si="41"/>
        <v>2.9318831663388339E-4</v>
      </c>
      <c r="G1173" s="396">
        <v>44477</v>
      </c>
      <c r="H1173" s="32">
        <v>2.8608500000000001</v>
      </c>
    </row>
    <row r="1174" spans="2:8" x14ac:dyDescent="0.3">
      <c r="B1174" s="379">
        <f t="shared" si="42"/>
        <v>85</v>
      </c>
      <c r="C1174" s="380">
        <v>44398</v>
      </c>
      <c r="D1174" s="4">
        <v>1.3</v>
      </c>
      <c r="E1174" s="381">
        <f t="shared" si="41"/>
        <v>3.119024645041312E-4</v>
      </c>
      <c r="G1174" s="396">
        <v>44481</v>
      </c>
      <c r="H1174" s="32">
        <v>2.88741</v>
      </c>
    </row>
    <row r="1175" spans="2:8" x14ac:dyDescent="0.3">
      <c r="B1175" s="379">
        <f t="shared" si="42"/>
        <v>84</v>
      </c>
      <c r="C1175" s="380">
        <v>44399</v>
      </c>
      <c r="D1175" s="4">
        <v>1.27</v>
      </c>
      <c r="E1175" s="381">
        <f t="shared" si="41"/>
        <v>3.3181113245120349E-4</v>
      </c>
      <c r="G1175" s="396">
        <v>44482</v>
      </c>
      <c r="H1175" s="32">
        <v>2.8797000000000001</v>
      </c>
    </row>
    <row r="1176" spans="2:8" x14ac:dyDescent="0.3">
      <c r="B1176" s="379">
        <f t="shared" si="42"/>
        <v>83</v>
      </c>
      <c r="C1176" s="380">
        <v>44400</v>
      </c>
      <c r="D1176" s="4">
        <v>1.3</v>
      </c>
      <c r="E1176" s="381">
        <f t="shared" si="41"/>
        <v>3.5299056643745051E-4</v>
      </c>
      <c r="G1176" s="396">
        <v>44483</v>
      </c>
      <c r="H1176" s="32">
        <v>2.8753600000000001</v>
      </c>
    </row>
    <row r="1177" spans="2:8" x14ac:dyDescent="0.3">
      <c r="B1177" s="379">
        <f t="shared" si="42"/>
        <v>82</v>
      </c>
      <c r="C1177" s="380">
        <v>44403</v>
      </c>
      <c r="D1177" s="4">
        <v>1.29</v>
      </c>
      <c r="E1177" s="381">
        <f t="shared" si="41"/>
        <v>3.7552187918877714E-4</v>
      </c>
      <c r="G1177" s="396">
        <v>44484</v>
      </c>
      <c r="H1177" s="32">
        <v>2.8681999999999999</v>
      </c>
    </row>
    <row r="1178" spans="2:8" x14ac:dyDescent="0.3">
      <c r="B1178" s="379">
        <f t="shared" si="42"/>
        <v>81</v>
      </c>
      <c r="C1178" s="380">
        <v>44404</v>
      </c>
      <c r="D1178" s="4">
        <v>1.25</v>
      </c>
      <c r="E1178" s="381">
        <f t="shared" si="41"/>
        <v>3.9949136083912467E-4</v>
      </c>
      <c r="G1178" s="396">
        <v>44487</v>
      </c>
      <c r="H1178" s="32">
        <v>2.9051100000000001</v>
      </c>
    </row>
    <row r="1179" spans="2:8" x14ac:dyDescent="0.3">
      <c r="B1179" s="379">
        <f t="shared" si="42"/>
        <v>80</v>
      </c>
      <c r="C1179" s="380">
        <v>44405</v>
      </c>
      <c r="D1179" s="4">
        <v>1.26</v>
      </c>
      <c r="E1179" s="381">
        <f t="shared" si="41"/>
        <v>4.2499080940332408E-4</v>
      </c>
      <c r="G1179" s="396">
        <v>44488</v>
      </c>
      <c r="H1179" s="32">
        <v>2.8448099999999998</v>
      </c>
    </row>
    <row r="1180" spans="2:8" x14ac:dyDescent="0.3">
      <c r="B1180" s="379">
        <f t="shared" si="42"/>
        <v>79</v>
      </c>
      <c r="C1180" s="380">
        <v>44406</v>
      </c>
      <c r="D1180" s="4">
        <v>1.28</v>
      </c>
      <c r="E1180" s="381">
        <f t="shared" si="41"/>
        <v>4.5211788234396176E-4</v>
      </c>
      <c r="G1180" s="396">
        <v>44489</v>
      </c>
      <c r="H1180" s="32">
        <v>2.8446099999999999</v>
      </c>
    </row>
    <row r="1181" spans="2:8" x14ac:dyDescent="0.3">
      <c r="B1181" s="379">
        <f t="shared" si="42"/>
        <v>78</v>
      </c>
      <c r="C1181" s="380">
        <v>44407</v>
      </c>
      <c r="D1181" s="4">
        <v>1.24</v>
      </c>
      <c r="E1181" s="381">
        <f t="shared" si="41"/>
        <v>4.8097647057868283E-4</v>
      </c>
      <c r="G1181" s="396">
        <v>44490</v>
      </c>
      <c r="H1181" s="32">
        <v>2.8349500000000001</v>
      </c>
    </row>
    <row r="1182" spans="2:8" x14ac:dyDescent="0.3">
      <c r="B1182" s="379">
        <f t="shared" si="42"/>
        <v>77</v>
      </c>
      <c r="C1182" s="380">
        <v>44410</v>
      </c>
      <c r="D1182" s="4">
        <v>1.2</v>
      </c>
      <c r="E1182" s="381">
        <f t="shared" si="41"/>
        <v>5.116770963603008E-4</v>
      </c>
      <c r="G1182" s="396">
        <v>44491</v>
      </c>
      <c r="H1182" s="32">
        <v>2.8711099999999998</v>
      </c>
    </row>
    <row r="1183" spans="2:8" x14ac:dyDescent="0.3">
      <c r="B1183" s="379">
        <f t="shared" si="42"/>
        <v>76</v>
      </c>
      <c r="C1183" s="380">
        <v>44411</v>
      </c>
      <c r="D1183" s="4">
        <v>1.19</v>
      </c>
      <c r="E1183" s="381">
        <f t="shared" si="41"/>
        <v>5.4433733655351161E-4</v>
      </c>
      <c r="G1183" s="396">
        <v>44494</v>
      </c>
      <c r="H1183" s="32">
        <v>2.8841999999999999</v>
      </c>
    </row>
    <row r="1184" spans="2:8" x14ac:dyDescent="0.3">
      <c r="B1184" s="379">
        <f t="shared" si="42"/>
        <v>75</v>
      </c>
      <c r="C1184" s="380">
        <v>44412</v>
      </c>
      <c r="D1184" s="4">
        <v>1.19</v>
      </c>
      <c r="E1184" s="381">
        <f t="shared" si="41"/>
        <v>5.7908227292926759E-4</v>
      </c>
      <c r="G1184" s="396">
        <v>44495</v>
      </c>
      <c r="H1184" s="32">
        <v>2.87798</v>
      </c>
    </row>
    <row r="1185" spans="2:8" x14ac:dyDescent="0.3">
      <c r="B1185" s="379">
        <f t="shared" si="42"/>
        <v>74</v>
      </c>
      <c r="C1185" s="380">
        <v>44413</v>
      </c>
      <c r="D1185" s="4">
        <v>1.23</v>
      </c>
      <c r="E1185" s="381">
        <f t="shared" si="41"/>
        <v>6.1604497120134845E-4</v>
      </c>
      <c r="G1185" s="396">
        <v>44496</v>
      </c>
      <c r="H1185" s="32">
        <v>2.9124400000000001</v>
      </c>
    </row>
    <row r="1186" spans="2:8" x14ac:dyDescent="0.3">
      <c r="B1186" s="379">
        <f t="shared" si="42"/>
        <v>73</v>
      </c>
      <c r="C1186" s="380">
        <v>44414</v>
      </c>
      <c r="D1186" s="4">
        <v>1.31</v>
      </c>
      <c r="E1186" s="381">
        <f t="shared" si="41"/>
        <v>6.5536699063973235E-4</v>
      </c>
      <c r="G1186" s="396">
        <v>44497</v>
      </c>
      <c r="H1186" s="32">
        <v>2.9392499999999999</v>
      </c>
    </row>
    <row r="1187" spans="2:8" x14ac:dyDescent="0.3">
      <c r="B1187" s="379">
        <f t="shared" si="42"/>
        <v>72</v>
      </c>
      <c r="C1187" s="380">
        <v>44417</v>
      </c>
      <c r="D1187" s="4">
        <v>1.33</v>
      </c>
      <c r="E1187" s="381">
        <f t="shared" si="41"/>
        <v>6.9719892621248139E-4</v>
      </c>
      <c r="G1187" s="397">
        <v>44498</v>
      </c>
      <c r="H1187" s="37">
        <v>3.0186500000000001</v>
      </c>
    </row>
    <row r="1188" spans="2:8" x14ac:dyDescent="0.3">
      <c r="B1188" s="379">
        <f t="shared" si="42"/>
        <v>71</v>
      </c>
      <c r="C1188" s="380">
        <v>44418</v>
      </c>
      <c r="D1188" s="4">
        <v>1.36</v>
      </c>
      <c r="E1188" s="381">
        <f t="shared" si="41"/>
        <v>7.4170098533242696E-4</v>
      </c>
      <c r="G1188" s="380"/>
    </row>
    <row r="1189" spans="2:8" x14ac:dyDescent="0.3">
      <c r="B1189" s="379">
        <f t="shared" si="42"/>
        <v>70</v>
      </c>
      <c r="C1189" s="380">
        <v>44419</v>
      </c>
      <c r="D1189" s="4">
        <v>1.35</v>
      </c>
      <c r="E1189" s="381">
        <f t="shared" si="41"/>
        <v>7.8904360141747551E-4</v>
      </c>
      <c r="G1189" s="380"/>
    </row>
    <row r="1190" spans="2:8" x14ac:dyDescent="0.3">
      <c r="B1190" s="379">
        <f t="shared" si="42"/>
        <v>69</v>
      </c>
      <c r="C1190" s="380">
        <v>44420</v>
      </c>
      <c r="D1190" s="4">
        <v>1.36</v>
      </c>
      <c r="E1190" s="381">
        <f t="shared" si="41"/>
        <v>8.3940808661433564E-4</v>
      </c>
      <c r="G1190" s="380"/>
    </row>
    <row r="1191" spans="2:8" x14ac:dyDescent="0.3">
      <c r="B1191" s="379">
        <f t="shared" si="42"/>
        <v>68</v>
      </c>
      <c r="C1191" s="380">
        <v>44421</v>
      </c>
      <c r="D1191" s="4">
        <v>1.29</v>
      </c>
      <c r="E1191" s="381">
        <f t="shared" si="41"/>
        <v>8.9298732618546355E-4</v>
      </c>
      <c r="G1191" s="380"/>
    </row>
    <row r="1192" spans="2:8" x14ac:dyDescent="0.3">
      <c r="B1192" s="379">
        <f t="shared" si="42"/>
        <v>67</v>
      </c>
      <c r="C1192" s="380">
        <v>44424</v>
      </c>
      <c r="D1192" s="4">
        <v>1.26</v>
      </c>
      <c r="E1192" s="381">
        <f t="shared" si="41"/>
        <v>9.4998651721857818E-4</v>
      </c>
      <c r="G1192" s="380"/>
    </row>
    <row r="1193" spans="2:8" x14ac:dyDescent="0.3">
      <c r="B1193" s="379">
        <f t="shared" si="42"/>
        <v>66</v>
      </c>
      <c r="C1193" s="380">
        <v>44425</v>
      </c>
      <c r="D1193" s="4">
        <v>1.26</v>
      </c>
      <c r="E1193" s="381">
        <f t="shared" si="41"/>
        <v>1.0106239544878492E-3</v>
      </c>
      <c r="G1193" s="380"/>
    </row>
    <row r="1194" spans="2:8" x14ac:dyDescent="0.3">
      <c r="B1194" s="379">
        <f t="shared" si="42"/>
        <v>65</v>
      </c>
      <c r="C1194" s="380">
        <v>44426</v>
      </c>
      <c r="D1194" s="4">
        <v>1.27</v>
      </c>
      <c r="E1194" s="381">
        <f t="shared" si="41"/>
        <v>1.0751318664764353E-3</v>
      </c>
      <c r="G1194" s="380"/>
    </row>
    <row r="1195" spans="2:8" x14ac:dyDescent="0.3">
      <c r="B1195" s="379">
        <f t="shared" si="42"/>
        <v>64</v>
      </c>
      <c r="C1195" s="380">
        <v>44427</v>
      </c>
      <c r="D1195" s="4">
        <v>1.24</v>
      </c>
      <c r="E1195" s="381">
        <f t="shared" si="41"/>
        <v>1.1437573047621654E-3</v>
      </c>
      <c r="G1195" s="380"/>
    </row>
    <row r="1196" spans="2:8" x14ac:dyDescent="0.3">
      <c r="B1196" s="379">
        <f t="shared" si="42"/>
        <v>63</v>
      </c>
      <c r="C1196" s="380">
        <v>44428</v>
      </c>
      <c r="D1196" s="4">
        <v>1.26</v>
      </c>
      <c r="E1196" s="381">
        <f t="shared" si="41"/>
        <v>1.2167630901725162E-3</v>
      </c>
      <c r="G1196" s="380"/>
    </row>
    <row r="1197" spans="2:8" x14ac:dyDescent="0.3">
      <c r="B1197" s="379">
        <f t="shared" si="42"/>
        <v>62</v>
      </c>
      <c r="C1197" s="380">
        <v>44431</v>
      </c>
      <c r="D1197" s="4">
        <v>1.25</v>
      </c>
      <c r="E1197" s="381">
        <f t="shared" si="41"/>
        <v>1.2944288193324643E-3</v>
      </c>
      <c r="G1197" s="380"/>
    </row>
    <row r="1198" spans="2:8" x14ac:dyDescent="0.3">
      <c r="B1198" s="379">
        <f t="shared" si="42"/>
        <v>61</v>
      </c>
      <c r="C1198" s="380">
        <v>44432</v>
      </c>
      <c r="D1198" s="4">
        <v>1.29</v>
      </c>
      <c r="E1198" s="381">
        <f t="shared" si="41"/>
        <v>1.3770519354600679E-3</v>
      </c>
      <c r="G1198" s="380"/>
    </row>
    <row r="1199" spans="2:8" x14ac:dyDescent="0.3">
      <c r="B1199" s="379">
        <f t="shared" si="42"/>
        <v>60</v>
      </c>
      <c r="C1199" s="380">
        <v>44433</v>
      </c>
      <c r="D1199" s="4">
        <v>1.35</v>
      </c>
      <c r="E1199" s="381">
        <f t="shared" si="41"/>
        <v>1.464948867510711E-3</v>
      </c>
      <c r="G1199" s="380"/>
    </row>
    <row r="1200" spans="2:8" x14ac:dyDescent="0.3">
      <c r="B1200" s="379">
        <f t="shared" si="42"/>
        <v>59</v>
      </c>
      <c r="C1200" s="380">
        <v>44434</v>
      </c>
      <c r="D1200" s="4">
        <v>1.34</v>
      </c>
      <c r="E1200" s="381">
        <f t="shared" si="41"/>
        <v>1.5584562420326712E-3</v>
      </c>
      <c r="G1200" s="380"/>
    </row>
    <row r="1201" spans="2:7" x14ac:dyDescent="0.3">
      <c r="B1201" s="379">
        <f t="shared" si="42"/>
        <v>58</v>
      </c>
      <c r="C1201" s="380">
        <v>44435</v>
      </c>
      <c r="D1201" s="4">
        <v>1.31</v>
      </c>
      <c r="E1201" s="381">
        <f t="shared" si="41"/>
        <v>1.6579321723751823E-3</v>
      </c>
      <c r="G1201" s="380"/>
    </row>
    <row r="1202" spans="2:7" x14ac:dyDescent="0.3">
      <c r="B1202" s="379">
        <f t="shared" si="42"/>
        <v>57</v>
      </c>
      <c r="C1202" s="380">
        <v>44438</v>
      </c>
      <c r="D1202" s="4">
        <v>1.29</v>
      </c>
      <c r="E1202" s="381">
        <f t="shared" si="41"/>
        <v>1.7637576301863642E-3</v>
      </c>
      <c r="G1202" s="380"/>
    </row>
    <row r="1203" spans="2:7" x14ac:dyDescent="0.3">
      <c r="B1203" s="379">
        <f t="shared" si="42"/>
        <v>56</v>
      </c>
      <c r="C1203" s="380">
        <v>44439</v>
      </c>
      <c r="D1203" s="4">
        <v>1.3</v>
      </c>
      <c r="E1203" s="381">
        <f t="shared" si="41"/>
        <v>1.8763379044535789E-3</v>
      </c>
      <c r="G1203" s="380"/>
    </row>
    <row r="1204" spans="2:7" x14ac:dyDescent="0.3">
      <c r="B1204" s="379">
        <f t="shared" si="42"/>
        <v>55</v>
      </c>
      <c r="C1204" s="380">
        <v>44440</v>
      </c>
      <c r="D1204" s="4">
        <v>1.31</v>
      </c>
      <c r="E1204" s="381">
        <f t="shared" si="41"/>
        <v>1.99610415367402E-3</v>
      </c>
      <c r="G1204" s="380"/>
    </row>
    <row r="1205" spans="2:7" x14ac:dyDescent="0.3">
      <c r="B1205" s="379">
        <f t="shared" si="42"/>
        <v>54</v>
      </c>
      <c r="C1205" s="380">
        <v>44441</v>
      </c>
      <c r="D1205" s="4">
        <v>1.29</v>
      </c>
      <c r="E1205" s="381">
        <f t="shared" si="41"/>
        <v>2.1235150571000212E-3</v>
      </c>
      <c r="G1205" s="380"/>
    </row>
    <row r="1206" spans="2:7" x14ac:dyDescent="0.3">
      <c r="B1206" s="379">
        <f t="shared" si="42"/>
        <v>53</v>
      </c>
      <c r="C1206" s="380">
        <v>44442</v>
      </c>
      <c r="D1206" s="4">
        <v>1.33</v>
      </c>
      <c r="E1206" s="381">
        <f t="shared" si="41"/>
        <v>2.2590585713830012E-3</v>
      </c>
      <c r="G1206" s="380"/>
    </row>
    <row r="1207" spans="2:7" x14ac:dyDescent="0.3">
      <c r="B1207" s="379">
        <f t="shared" si="42"/>
        <v>52</v>
      </c>
      <c r="C1207" s="380">
        <v>44446</v>
      </c>
      <c r="D1207" s="4">
        <v>1.38</v>
      </c>
      <c r="E1207" s="381">
        <f t="shared" si="41"/>
        <v>2.4032537993436188E-3</v>
      </c>
      <c r="G1207" s="380"/>
    </row>
    <row r="1208" spans="2:7" x14ac:dyDescent="0.3">
      <c r="B1208" s="379">
        <f t="shared" si="42"/>
        <v>51</v>
      </c>
      <c r="C1208" s="380">
        <v>44447</v>
      </c>
      <c r="D1208" s="4">
        <v>1.35</v>
      </c>
      <c r="E1208" s="381">
        <f t="shared" si="41"/>
        <v>2.5566529780251257E-3</v>
      </c>
      <c r="G1208" s="380"/>
    </row>
    <row r="1209" spans="2:7" x14ac:dyDescent="0.3">
      <c r="B1209" s="379">
        <f t="shared" si="42"/>
        <v>50</v>
      </c>
      <c r="C1209" s="380">
        <v>44448</v>
      </c>
      <c r="D1209" s="4">
        <v>1.3</v>
      </c>
      <c r="E1209" s="381">
        <f t="shared" si="41"/>
        <v>2.7198435936437513E-3</v>
      </c>
      <c r="G1209" s="380"/>
    </row>
    <row r="1210" spans="2:7" x14ac:dyDescent="0.3">
      <c r="B1210" s="379">
        <f t="shared" si="42"/>
        <v>49</v>
      </c>
      <c r="C1210" s="380">
        <v>44449</v>
      </c>
      <c r="D1210" s="4">
        <v>1.35</v>
      </c>
      <c r="E1210" s="381">
        <f t="shared" si="41"/>
        <v>2.8934506315359061E-3</v>
      </c>
      <c r="G1210" s="380"/>
    </row>
    <row r="1211" spans="2:7" x14ac:dyDescent="0.3">
      <c r="B1211" s="379">
        <f t="shared" si="42"/>
        <v>48</v>
      </c>
      <c r="C1211" s="380">
        <v>44452</v>
      </c>
      <c r="D1211" s="4">
        <v>1.33</v>
      </c>
      <c r="E1211" s="381">
        <f t="shared" si="41"/>
        <v>3.0781389697190488E-3</v>
      </c>
      <c r="G1211" s="380"/>
    </row>
    <row r="1212" spans="2:7" x14ac:dyDescent="0.3">
      <c r="B1212" s="379">
        <f t="shared" si="42"/>
        <v>47</v>
      </c>
      <c r="C1212" s="380">
        <v>44453</v>
      </c>
      <c r="D1212" s="4">
        <v>1.28</v>
      </c>
      <c r="E1212" s="381">
        <f t="shared" si="41"/>
        <v>3.2746159252330302E-3</v>
      </c>
      <c r="G1212" s="380"/>
    </row>
    <row r="1213" spans="2:7" x14ac:dyDescent="0.3">
      <c r="B1213" s="379">
        <f t="shared" si="42"/>
        <v>46</v>
      </c>
      <c r="C1213" s="380">
        <v>44454</v>
      </c>
      <c r="D1213" s="4">
        <v>1.31</v>
      </c>
      <c r="E1213" s="381">
        <f t="shared" si="41"/>
        <v>3.4836339630138625E-3</v>
      </c>
      <c r="G1213" s="380"/>
    </row>
    <row r="1214" spans="2:7" x14ac:dyDescent="0.3">
      <c r="B1214" s="379">
        <f t="shared" si="42"/>
        <v>45</v>
      </c>
      <c r="C1214" s="380">
        <v>44455</v>
      </c>
      <c r="D1214" s="4">
        <v>1.34</v>
      </c>
      <c r="E1214" s="381">
        <f t="shared" si="41"/>
        <v>3.7059935776743214E-3</v>
      </c>
      <c r="G1214" s="380"/>
    </row>
    <row r="1215" spans="2:7" x14ac:dyDescent="0.3">
      <c r="B1215" s="379">
        <f t="shared" si="42"/>
        <v>44</v>
      </c>
      <c r="C1215" s="380">
        <v>44456</v>
      </c>
      <c r="D1215" s="4">
        <v>1.37</v>
      </c>
      <c r="E1215" s="381">
        <f t="shared" si="41"/>
        <v>3.9425463592280023E-3</v>
      </c>
      <c r="G1215" s="380"/>
    </row>
    <row r="1216" spans="2:7" x14ac:dyDescent="0.3">
      <c r="B1216" s="379">
        <f t="shared" si="42"/>
        <v>43</v>
      </c>
      <c r="C1216" s="380">
        <v>44459</v>
      </c>
      <c r="D1216" s="4">
        <v>1.31</v>
      </c>
      <c r="E1216" s="381">
        <f t="shared" si="41"/>
        <v>4.1941982544978747E-3</v>
      </c>
      <c r="G1216" s="380"/>
    </row>
    <row r="1217" spans="2:7" x14ac:dyDescent="0.3">
      <c r="B1217" s="379">
        <f t="shared" si="42"/>
        <v>42</v>
      </c>
      <c r="C1217" s="380">
        <v>44460</v>
      </c>
      <c r="D1217" s="4">
        <v>1.33</v>
      </c>
      <c r="E1217" s="381">
        <f t="shared" si="41"/>
        <v>4.4619130366998667E-3</v>
      </c>
      <c r="G1217" s="380"/>
    </row>
    <row r="1218" spans="2:7" x14ac:dyDescent="0.3">
      <c r="B1218" s="379">
        <f t="shared" si="42"/>
        <v>41</v>
      </c>
      <c r="C1218" s="380">
        <v>44461</v>
      </c>
      <c r="D1218" s="4">
        <v>1.32</v>
      </c>
      <c r="E1218" s="381">
        <f t="shared" si="41"/>
        <v>4.7467159964892196E-3</v>
      </c>
      <c r="G1218" s="380"/>
    </row>
    <row r="1219" spans="2:7" x14ac:dyDescent="0.3">
      <c r="B1219" s="379">
        <f t="shared" si="42"/>
        <v>40</v>
      </c>
      <c r="C1219" s="380">
        <v>44462</v>
      </c>
      <c r="D1219" s="4">
        <v>1.41</v>
      </c>
      <c r="E1219" s="381">
        <f t="shared" si="41"/>
        <v>5.0496978686055535E-3</v>
      </c>
      <c r="G1219" s="380"/>
    </row>
    <row r="1220" spans="2:7" x14ac:dyDescent="0.3">
      <c r="B1220" s="379">
        <f t="shared" si="42"/>
        <v>39</v>
      </c>
      <c r="C1220" s="380">
        <v>44463</v>
      </c>
      <c r="D1220" s="4">
        <v>1.47</v>
      </c>
      <c r="E1220" s="381">
        <f t="shared" si="41"/>
        <v>5.372019009154844E-3</v>
      </c>
      <c r="G1220" s="380"/>
    </row>
    <row r="1221" spans="2:7" x14ac:dyDescent="0.3">
      <c r="B1221" s="379">
        <f t="shared" si="42"/>
        <v>38</v>
      </c>
      <c r="C1221" s="380">
        <v>44466</v>
      </c>
      <c r="D1221" s="4">
        <v>1.48</v>
      </c>
      <c r="E1221" s="381">
        <f t="shared" si="41"/>
        <v>5.7149138395264304E-3</v>
      </c>
      <c r="G1221" s="380"/>
    </row>
    <row r="1222" spans="2:7" x14ac:dyDescent="0.3">
      <c r="B1222" s="379">
        <f t="shared" si="42"/>
        <v>37</v>
      </c>
      <c r="C1222" s="380">
        <v>44467</v>
      </c>
      <c r="D1222" s="4">
        <v>1.54</v>
      </c>
      <c r="E1222" s="381">
        <f t="shared" si="41"/>
        <v>6.0796955739642871E-3</v>
      </c>
      <c r="G1222" s="380"/>
    </row>
    <row r="1223" spans="2:7" x14ac:dyDescent="0.3">
      <c r="B1223" s="379">
        <f t="shared" si="42"/>
        <v>36</v>
      </c>
      <c r="C1223" s="380">
        <v>44468</v>
      </c>
      <c r="D1223" s="4">
        <v>1.55</v>
      </c>
      <c r="E1223" s="381">
        <f t="shared" si="41"/>
        <v>6.4677612488981779E-3</v>
      </c>
      <c r="G1223" s="380"/>
    </row>
    <row r="1224" spans="2:7" x14ac:dyDescent="0.3">
      <c r="B1224" s="379">
        <f t="shared" si="42"/>
        <v>35</v>
      </c>
      <c r="C1224" s="380">
        <v>44469</v>
      </c>
      <c r="D1224" s="4">
        <v>1.52</v>
      </c>
      <c r="E1224" s="381">
        <f t="shared" si="41"/>
        <v>6.8805970732959331E-3</v>
      </c>
      <c r="G1224" s="380"/>
    </row>
    <row r="1225" spans="2:7" x14ac:dyDescent="0.3">
      <c r="B1225" s="379">
        <f t="shared" si="42"/>
        <v>34</v>
      </c>
      <c r="C1225" s="380">
        <v>44470</v>
      </c>
      <c r="D1225" s="4">
        <v>1.48</v>
      </c>
      <c r="E1225" s="381">
        <f t="shared" ref="E1225:E1259" si="43">+(1-$C$4)*$C$4^B1225</f>
        <v>7.3197841205275898E-3</v>
      </c>
      <c r="G1225" s="380"/>
    </row>
    <row r="1226" spans="2:7" x14ac:dyDescent="0.3">
      <c r="B1226" s="379">
        <f t="shared" si="42"/>
        <v>33</v>
      </c>
      <c r="C1226" s="380">
        <v>44473</v>
      </c>
      <c r="D1226" s="4">
        <v>1.49</v>
      </c>
      <c r="E1226" s="381">
        <f t="shared" si="43"/>
        <v>7.7870043835399898E-3</v>
      </c>
      <c r="G1226" s="380"/>
    </row>
    <row r="1227" spans="2:7" x14ac:dyDescent="0.3">
      <c r="B1227" s="379">
        <f t="shared" ref="B1227:B1259" si="44">+B1226-1</f>
        <v>32</v>
      </c>
      <c r="C1227" s="380">
        <v>44474</v>
      </c>
      <c r="D1227" s="4">
        <v>1.54</v>
      </c>
      <c r="E1227" s="381">
        <f t="shared" si="43"/>
        <v>8.2840472165319028E-3</v>
      </c>
      <c r="G1227" s="380"/>
    </row>
    <row r="1228" spans="2:7" x14ac:dyDescent="0.3">
      <c r="B1228" s="379">
        <f t="shared" si="44"/>
        <v>31</v>
      </c>
      <c r="C1228" s="380">
        <v>44475</v>
      </c>
      <c r="D1228" s="4">
        <v>1.53</v>
      </c>
      <c r="E1228" s="381">
        <f t="shared" si="43"/>
        <v>8.8128161877998965E-3</v>
      </c>
      <c r="G1228" s="380"/>
    </row>
    <row r="1229" spans="2:7" x14ac:dyDescent="0.3">
      <c r="B1229" s="379">
        <f t="shared" si="44"/>
        <v>30</v>
      </c>
      <c r="C1229" s="380">
        <v>44476</v>
      </c>
      <c r="D1229" s="4">
        <v>1.58</v>
      </c>
      <c r="E1229" s="381">
        <f t="shared" si="43"/>
        <v>9.3753363699998916E-3</v>
      </c>
      <c r="G1229" s="380"/>
    </row>
    <row r="1230" spans="2:7" x14ac:dyDescent="0.3">
      <c r="B1230" s="379">
        <f t="shared" si="44"/>
        <v>29</v>
      </c>
      <c r="C1230" s="380">
        <v>44477</v>
      </c>
      <c r="D1230" s="4">
        <v>1.61</v>
      </c>
      <c r="E1230" s="381">
        <f t="shared" si="43"/>
        <v>9.9737620957445639E-3</v>
      </c>
      <c r="G1230" s="380"/>
    </row>
    <row r="1231" spans="2:7" x14ac:dyDescent="0.3">
      <c r="B1231" s="379">
        <f t="shared" si="44"/>
        <v>28</v>
      </c>
      <c r="C1231" s="380">
        <v>44481</v>
      </c>
      <c r="D1231" s="4">
        <v>1.59</v>
      </c>
      <c r="E1231" s="381">
        <f t="shared" si="43"/>
        <v>1.06103852082389E-2</v>
      </c>
      <c r="G1231" s="380"/>
    </row>
    <row r="1232" spans="2:7" x14ac:dyDescent="0.3">
      <c r="B1232" s="379">
        <f t="shared" si="44"/>
        <v>27</v>
      </c>
      <c r="C1232" s="380">
        <v>44482</v>
      </c>
      <c r="D1232" s="4">
        <v>1.56</v>
      </c>
      <c r="E1232" s="381">
        <f t="shared" si="43"/>
        <v>1.1287643838552019E-2</v>
      </c>
      <c r="G1232" s="380"/>
    </row>
    <row r="1233" spans="2:7" x14ac:dyDescent="0.3">
      <c r="B1233" s="379">
        <f t="shared" si="44"/>
        <v>26</v>
      </c>
      <c r="C1233" s="380">
        <v>44483</v>
      </c>
      <c r="D1233" s="4">
        <v>1.52</v>
      </c>
      <c r="E1233" s="381">
        <f t="shared" si="43"/>
        <v>1.2008131743140447E-2</v>
      </c>
      <c r="G1233" s="380"/>
    </row>
    <row r="1234" spans="2:7" x14ac:dyDescent="0.3">
      <c r="B1234" s="379">
        <f t="shared" si="44"/>
        <v>25</v>
      </c>
      <c r="C1234" s="380">
        <v>44484</v>
      </c>
      <c r="D1234" s="4">
        <v>1.59</v>
      </c>
      <c r="E1234" s="381">
        <f t="shared" si="43"/>
        <v>1.2774608237383455E-2</v>
      </c>
      <c r="G1234" s="380"/>
    </row>
    <row r="1235" spans="2:7" x14ac:dyDescent="0.3">
      <c r="B1235" s="379">
        <f t="shared" si="44"/>
        <v>24</v>
      </c>
      <c r="C1235" s="380">
        <v>44487</v>
      </c>
      <c r="D1235" s="4">
        <v>1.59</v>
      </c>
      <c r="E1235" s="381">
        <f t="shared" si="43"/>
        <v>1.3590008763173889E-2</v>
      </c>
      <c r="G1235" s="380"/>
    </row>
    <row r="1236" spans="2:7" x14ac:dyDescent="0.3">
      <c r="B1236" s="379">
        <f t="shared" si="44"/>
        <v>23</v>
      </c>
      <c r="C1236" s="380">
        <v>44488</v>
      </c>
      <c r="D1236" s="4">
        <v>1.65</v>
      </c>
      <c r="E1236" s="381">
        <f t="shared" si="43"/>
        <v>1.4457456131036051E-2</v>
      </c>
      <c r="G1236" s="380"/>
    </row>
    <row r="1237" spans="2:7" x14ac:dyDescent="0.3">
      <c r="B1237" s="379">
        <f t="shared" si="44"/>
        <v>22</v>
      </c>
      <c r="C1237" s="380">
        <v>44489</v>
      </c>
      <c r="D1237" s="4">
        <v>1.65</v>
      </c>
      <c r="E1237" s="381">
        <f t="shared" si="43"/>
        <v>1.5380272479825588E-2</v>
      </c>
      <c r="G1237" s="380"/>
    </row>
    <row r="1238" spans="2:7" x14ac:dyDescent="0.3">
      <c r="B1238" s="379">
        <f t="shared" si="44"/>
        <v>21</v>
      </c>
      <c r="C1238" s="380">
        <v>44490</v>
      </c>
      <c r="D1238" s="4">
        <v>1.68</v>
      </c>
      <c r="E1238" s="381">
        <f t="shared" si="43"/>
        <v>1.6361991999814453E-2</v>
      </c>
      <c r="G1238" s="380"/>
    </row>
    <row r="1239" spans="2:7" x14ac:dyDescent="0.3">
      <c r="B1239" s="379">
        <f t="shared" si="44"/>
        <v>20</v>
      </c>
      <c r="C1239" s="380">
        <v>44491</v>
      </c>
      <c r="D1239" s="4">
        <v>1.66</v>
      </c>
      <c r="E1239" s="381">
        <f t="shared" si="43"/>
        <v>1.7406374467887717E-2</v>
      </c>
      <c r="G1239" s="380"/>
    </row>
    <row r="1240" spans="2:7" x14ac:dyDescent="0.3">
      <c r="B1240" s="379">
        <f t="shared" si="44"/>
        <v>19</v>
      </c>
      <c r="C1240" s="380">
        <v>44494</v>
      </c>
      <c r="D1240" s="4">
        <v>1.64</v>
      </c>
      <c r="E1240" s="381">
        <f t="shared" si="43"/>
        <v>1.851741964668906E-2</v>
      </c>
      <c r="G1240" s="380"/>
    </row>
    <row r="1241" spans="2:7" x14ac:dyDescent="0.3">
      <c r="B1241" s="379">
        <f t="shared" si="44"/>
        <v>18</v>
      </c>
      <c r="C1241" s="380">
        <v>44495</v>
      </c>
      <c r="D1241" s="4">
        <v>1.63</v>
      </c>
      <c r="E1241" s="381">
        <f t="shared" si="43"/>
        <v>1.9699382602860707E-2</v>
      </c>
      <c r="G1241" s="380"/>
    </row>
    <row r="1242" spans="2:7" x14ac:dyDescent="0.3">
      <c r="B1242" s="379">
        <f t="shared" si="44"/>
        <v>17</v>
      </c>
      <c r="C1242" s="380">
        <v>44496</v>
      </c>
      <c r="D1242" s="4">
        <v>1.54</v>
      </c>
      <c r="E1242" s="381">
        <f t="shared" si="43"/>
        <v>2.0956790003043305E-2</v>
      </c>
      <c r="G1242" s="380"/>
    </row>
    <row r="1243" spans="2:7" x14ac:dyDescent="0.3">
      <c r="B1243" s="379">
        <f t="shared" si="44"/>
        <v>16</v>
      </c>
      <c r="C1243" s="380">
        <v>44497</v>
      </c>
      <c r="D1243" s="4">
        <v>1.57</v>
      </c>
      <c r="E1243" s="381">
        <f t="shared" si="43"/>
        <v>2.229445745004607E-2</v>
      </c>
      <c r="G1243" s="380"/>
    </row>
    <row r="1244" spans="2:7" x14ac:dyDescent="0.3">
      <c r="B1244" s="379">
        <f t="shared" si="44"/>
        <v>15</v>
      </c>
      <c r="C1244" s="380">
        <v>44498</v>
      </c>
      <c r="D1244" s="4">
        <v>1.55</v>
      </c>
      <c r="E1244" s="381">
        <f t="shared" si="43"/>
        <v>2.3717507925580923E-2</v>
      </c>
      <c r="G1244" s="380"/>
    </row>
    <row r="1245" spans="2:7" x14ac:dyDescent="0.3">
      <c r="B1245" s="379">
        <f t="shared" si="44"/>
        <v>14</v>
      </c>
      <c r="C1245" s="380">
        <v>44501</v>
      </c>
      <c r="D1245" s="4">
        <v>1.58</v>
      </c>
      <c r="E1245" s="381">
        <f t="shared" si="43"/>
        <v>2.5231391410192476E-2</v>
      </c>
      <c r="G1245" s="380"/>
    </row>
    <row r="1246" spans="2:7" x14ac:dyDescent="0.3">
      <c r="B1246" s="379">
        <f t="shared" si="44"/>
        <v>13</v>
      </c>
      <c r="C1246" s="380">
        <v>44502</v>
      </c>
      <c r="D1246" s="4">
        <v>1.56</v>
      </c>
      <c r="E1246" s="381">
        <f t="shared" si="43"/>
        <v>2.6841905755523907E-2</v>
      </c>
      <c r="G1246" s="380"/>
    </row>
    <row r="1247" spans="2:7" x14ac:dyDescent="0.3">
      <c r="B1247" s="379">
        <f t="shared" si="44"/>
        <v>12</v>
      </c>
      <c r="C1247" s="380">
        <v>44503</v>
      </c>
      <c r="D1247" s="4">
        <v>1.6</v>
      </c>
      <c r="E1247" s="381">
        <f t="shared" si="43"/>
        <v>2.8555218888855222E-2</v>
      </c>
      <c r="G1247" s="380"/>
    </row>
    <row r="1248" spans="2:7" x14ac:dyDescent="0.3">
      <c r="B1248" s="379">
        <f t="shared" si="44"/>
        <v>11</v>
      </c>
      <c r="C1248" s="380">
        <v>44504</v>
      </c>
      <c r="D1248" s="4">
        <v>1.53</v>
      </c>
      <c r="E1248" s="381">
        <f t="shared" si="43"/>
        <v>3.0377892434952362E-2</v>
      </c>
      <c r="G1248" s="380"/>
    </row>
    <row r="1249" spans="2:8" x14ac:dyDescent="0.3">
      <c r="B1249" s="379">
        <f t="shared" si="44"/>
        <v>10</v>
      </c>
      <c r="C1249" s="380">
        <v>44505</v>
      </c>
      <c r="D1249" s="4">
        <v>1.45</v>
      </c>
      <c r="E1249" s="381">
        <f t="shared" si="43"/>
        <v>3.2316906845694007E-2</v>
      </c>
      <c r="G1249" s="380"/>
    </row>
    <row r="1250" spans="2:8" x14ac:dyDescent="0.3">
      <c r="B1250" s="379">
        <f t="shared" si="44"/>
        <v>9</v>
      </c>
      <c r="C1250" s="380">
        <v>44508</v>
      </c>
      <c r="D1250" s="4">
        <v>1.51</v>
      </c>
      <c r="E1250" s="381">
        <f t="shared" si="43"/>
        <v>3.4379688133717022E-2</v>
      </c>
      <c r="G1250" s="380"/>
    </row>
    <row r="1251" spans="2:8" x14ac:dyDescent="0.3">
      <c r="B1251" s="379">
        <f t="shared" si="44"/>
        <v>8</v>
      </c>
      <c r="C1251" s="380">
        <v>44509</v>
      </c>
      <c r="D1251" s="4">
        <v>1.46</v>
      </c>
      <c r="E1251" s="381">
        <f t="shared" si="43"/>
        <v>3.6574136312464922E-2</v>
      </c>
      <c r="G1251" s="380"/>
    </row>
    <row r="1252" spans="2:8" x14ac:dyDescent="0.3">
      <c r="B1252" s="379">
        <f t="shared" si="44"/>
        <v>7</v>
      </c>
      <c r="C1252" s="380">
        <v>44510</v>
      </c>
      <c r="D1252" s="4">
        <v>1.56</v>
      </c>
      <c r="E1252" s="381">
        <f t="shared" si="43"/>
        <v>3.8908655651558426E-2</v>
      </c>
      <c r="G1252" s="380"/>
    </row>
    <row r="1253" spans="2:8" x14ac:dyDescent="0.3">
      <c r="B1253" s="379">
        <f t="shared" si="44"/>
        <v>6</v>
      </c>
      <c r="C1253" s="380">
        <v>44512</v>
      </c>
      <c r="D1253" s="4">
        <v>1.58</v>
      </c>
      <c r="E1253" s="381">
        <f t="shared" si="43"/>
        <v>4.1392186863360034E-2</v>
      </c>
      <c r="G1253" s="380"/>
    </row>
    <row r="1254" spans="2:8" x14ac:dyDescent="0.3">
      <c r="B1254" s="379">
        <f t="shared" si="44"/>
        <v>5</v>
      </c>
      <c r="C1254" s="380">
        <v>44515</v>
      </c>
      <c r="D1254" s="4">
        <v>1.63</v>
      </c>
      <c r="E1254" s="381">
        <f t="shared" si="43"/>
        <v>4.4034241344000032E-2</v>
      </c>
      <c r="G1254" s="380"/>
    </row>
    <row r="1255" spans="2:8" x14ac:dyDescent="0.3">
      <c r="B1255" s="379">
        <f t="shared" si="44"/>
        <v>4</v>
      </c>
      <c r="C1255" s="380">
        <v>44516</v>
      </c>
      <c r="D1255" s="4">
        <v>1.63</v>
      </c>
      <c r="E1255" s="381">
        <f t="shared" si="43"/>
        <v>4.6844937600000039E-2</v>
      </c>
      <c r="G1255" s="380"/>
    </row>
    <row r="1256" spans="2:8" x14ac:dyDescent="0.3">
      <c r="B1256" s="379">
        <f t="shared" si="44"/>
        <v>3</v>
      </c>
      <c r="C1256" s="380">
        <v>44517</v>
      </c>
      <c r="D1256" s="4">
        <v>1.6</v>
      </c>
      <c r="E1256" s="381">
        <f t="shared" si="43"/>
        <v>4.9835040000000039E-2</v>
      </c>
      <c r="G1256" s="380"/>
    </row>
    <row r="1257" spans="2:8" x14ac:dyDescent="0.3">
      <c r="B1257" s="379">
        <f t="shared" si="44"/>
        <v>2</v>
      </c>
      <c r="C1257" s="380">
        <v>44518</v>
      </c>
      <c r="D1257" s="4">
        <v>1.59</v>
      </c>
      <c r="E1257" s="381">
        <f t="shared" si="43"/>
        <v>5.3016000000000042E-2</v>
      </c>
      <c r="G1257" s="380"/>
    </row>
    <row r="1258" spans="2:8" x14ac:dyDescent="0.3">
      <c r="B1258" s="379">
        <f t="shared" si="44"/>
        <v>1</v>
      </c>
      <c r="C1258" s="380">
        <v>44519</v>
      </c>
      <c r="D1258" s="4">
        <v>1.54</v>
      </c>
      <c r="E1258" s="381">
        <f t="shared" si="43"/>
        <v>5.6400000000000047E-2</v>
      </c>
      <c r="G1258" s="380"/>
    </row>
    <row r="1259" spans="2:8" x14ac:dyDescent="0.3">
      <c r="B1259" s="382">
        <f t="shared" si="44"/>
        <v>0</v>
      </c>
      <c r="C1259" s="383">
        <v>44522</v>
      </c>
      <c r="D1259" s="36">
        <v>1.63</v>
      </c>
      <c r="E1259" s="384">
        <f t="shared" si="43"/>
        <v>6.0000000000000053E-2</v>
      </c>
      <c r="G1259" s="383"/>
      <c r="H1259" s="3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AE06-F69A-4BCE-8732-C4D29F789FAF}">
  <sheetPr>
    <tabColor theme="3" tint="0.39997558519241921"/>
  </sheetPr>
  <dimension ref="A1:U332"/>
  <sheetViews>
    <sheetView showGridLines="0" zoomScale="80" zoomScaleNormal="80" workbookViewId="0">
      <pane xSplit="2" ySplit="1" topLeftCell="C245" activePane="bottomRight" state="frozen"/>
      <selection pane="topRight" activeCell="K30" sqref="K30"/>
      <selection pane="bottomLeft" activeCell="K30" sqref="K30"/>
      <selection pane="bottomRight" activeCell="J266" sqref="J266"/>
    </sheetView>
  </sheetViews>
  <sheetFormatPr baseColWidth="10" defaultColWidth="11.453125" defaultRowHeight="13" x14ac:dyDescent="0.3"/>
  <cols>
    <col min="1" max="1" width="11.26953125" style="4" bestFit="1" customWidth="1"/>
    <col min="2" max="2" width="43.453125" style="4" bestFit="1" customWidth="1"/>
    <col min="3" max="5" width="16.1796875" style="4" bestFit="1" customWidth="1"/>
    <col min="6" max="18" width="18.81640625" style="4" bestFit="1" customWidth="1"/>
    <col min="19" max="16384" width="11.453125" style="4"/>
  </cols>
  <sheetData>
    <row r="1" spans="1:19" s="160" customFormat="1" ht="19.5" customHeight="1" x14ac:dyDescent="0.35">
      <c r="A1" s="160" t="str">
        <f>+Presentación!A1</f>
        <v>$COP</v>
      </c>
      <c r="B1" s="10" t="s">
        <v>153</v>
      </c>
      <c r="C1" s="161">
        <f>+Presentación!C1</f>
        <v>2021</v>
      </c>
      <c r="D1" s="161">
        <f>+Presentación!D1</f>
        <v>2022</v>
      </c>
      <c r="E1" s="161">
        <f>+Presentación!E1</f>
        <v>2023</v>
      </c>
      <c r="F1" s="161">
        <f>+Presentación!F1</f>
        <v>2024</v>
      </c>
      <c r="G1" s="161">
        <f>+Presentación!G1</f>
        <v>2025</v>
      </c>
      <c r="H1" s="161">
        <f>+Presentación!H1</f>
        <v>2026</v>
      </c>
      <c r="I1" s="161">
        <f>+Presentación!I1</f>
        <v>2027</v>
      </c>
      <c r="J1" s="161">
        <f>+Presentación!J1</f>
        <v>2028</v>
      </c>
      <c r="K1" s="161">
        <f>+Presentación!K1</f>
        <v>2029</v>
      </c>
      <c r="L1" s="161">
        <f>+Presentación!L1</f>
        <v>2030</v>
      </c>
      <c r="M1" s="161">
        <f>+Presentación!M1</f>
        <v>2031</v>
      </c>
      <c r="N1" s="161">
        <f>+Presentación!N1</f>
        <v>2032</v>
      </c>
      <c r="O1" s="161">
        <f>+Presentación!O1</f>
        <v>2033</v>
      </c>
      <c r="P1" s="161">
        <f>+Presentación!P1</f>
        <v>2034</v>
      </c>
      <c r="Q1" s="161">
        <f>+Presentación!Q1</f>
        <v>2035</v>
      </c>
      <c r="R1" s="161">
        <f>+Presentación!R1</f>
        <v>2036</v>
      </c>
    </row>
    <row r="3" spans="1:19" x14ac:dyDescent="0.3">
      <c r="B3" s="4" t="s">
        <v>13</v>
      </c>
      <c r="C3" s="251">
        <f>+C321/1000000</f>
        <v>0</v>
      </c>
      <c r="D3" s="251">
        <f t="shared" ref="D3:R3" si="0">+D321/1000000</f>
        <v>0</v>
      </c>
      <c r="E3" s="251">
        <f t="shared" si="0"/>
        <v>0</v>
      </c>
      <c r="F3" s="251">
        <f t="shared" si="0"/>
        <v>18098.189500467299</v>
      </c>
      <c r="G3" s="251">
        <f t="shared" si="0"/>
        <v>25666.887116016154</v>
      </c>
      <c r="H3" s="251">
        <f t="shared" si="0"/>
        <v>32771.211705955182</v>
      </c>
      <c r="I3" s="251">
        <f t="shared" si="0"/>
        <v>39432.30661169369</v>
      </c>
      <c r="J3" s="251">
        <f t="shared" si="0"/>
        <v>61716.832898903565</v>
      </c>
      <c r="K3" s="251">
        <f t="shared" si="0"/>
        <v>62988.719534515025</v>
      </c>
      <c r="L3" s="251">
        <f t="shared" si="0"/>
        <v>62512.639057639681</v>
      </c>
      <c r="M3" s="251">
        <f t="shared" si="0"/>
        <v>62010.320784250624</v>
      </c>
      <c r="N3" s="251">
        <f t="shared" si="0"/>
        <v>61483.764953345002</v>
      </c>
      <c r="O3" s="251">
        <f t="shared" si="0"/>
        <v>63683.235183396726</v>
      </c>
      <c r="P3" s="251">
        <f t="shared" si="0"/>
        <v>61801.619824485075</v>
      </c>
      <c r="Q3" s="251">
        <f t="shared" si="0"/>
        <v>59976.344395666565</v>
      </c>
      <c r="R3" s="251">
        <f t="shared" si="0"/>
        <v>56273.421731977622</v>
      </c>
    </row>
    <row r="4" spans="1:19" x14ac:dyDescent="0.3">
      <c r="B4" s="21" t="s">
        <v>154</v>
      </c>
      <c r="C4" s="418">
        <f>+PyG!C150</f>
        <v>2065.8000000000002</v>
      </c>
      <c r="D4" s="418">
        <f>+PyG!D150</f>
        <v>2169.09</v>
      </c>
      <c r="E4" s="418">
        <f>+PyG!E150</f>
        <v>2148.4320000000002</v>
      </c>
      <c r="F4" s="252">
        <f t="shared" ref="F4:R4" si="1">+F328/1000000</f>
        <v>4524.5473751168247</v>
      </c>
      <c r="G4" s="252">
        <f t="shared" si="1"/>
        <v>6416.7217790040386</v>
      </c>
      <c r="H4" s="252">
        <f t="shared" si="1"/>
        <v>8192.8029264887955</v>
      </c>
      <c r="I4" s="252">
        <f t="shared" si="1"/>
        <v>9858.0766529234224</v>
      </c>
      <c r="J4" s="252">
        <f t="shared" si="1"/>
        <v>15429.208224725891</v>
      </c>
      <c r="K4" s="252">
        <f t="shared" si="1"/>
        <v>15747.179883628756</v>
      </c>
      <c r="L4" s="252">
        <f t="shared" si="1"/>
        <v>15628.15976440992</v>
      </c>
      <c r="M4" s="252">
        <f t="shared" si="1"/>
        <v>15502.580196062656</v>
      </c>
      <c r="N4" s="252">
        <f t="shared" si="1"/>
        <v>15370.941238336251</v>
      </c>
      <c r="O4" s="252">
        <f t="shared" si="1"/>
        <v>15920.808795849181</v>
      </c>
      <c r="P4" s="252">
        <f t="shared" si="1"/>
        <v>15450.404956121269</v>
      </c>
      <c r="Q4" s="252">
        <f t="shared" si="1"/>
        <v>14994.086098916641</v>
      </c>
      <c r="R4" s="252">
        <f t="shared" si="1"/>
        <v>14068.355432994405</v>
      </c>
    </row>
    <row r="5" spans="1:19" x14ac:dyDescent="0.3">
      <c r="B5" s="8" t="s">
        <v>155</v>
      </c>
      <c r="C5" s="249">
        <f>+C3-C4</f>
        <v>-2065.8000000000002</v>
      </c>
      <c r="D5" s="249">
        <f t="shared" ref="D5:Q5" si="2">+D3-D4</f>
        <v>-2169.09</v>
      </c>
      <c r="E5" s="249">
        <f t="shared" si="2"/>
        <v>-2148.4320000000002</v>
      </c>
      <c r="F5" s="249">
        <f t="shared" si="2"/>
        <v>13573.642125350474</v>
      </c>
      <c r="G5" s="249">
        <f t="shared" si="2"/>
        <v>19250.165337012117</v>
      </c>
      <c r="H5" s="249">
        <f t="shared" si="2"/>
        <v>24578.408779466386</v>
      </c>
      <c r="I5" s="249">
        <f t="shared" si="2"/>
        <v>29574.229958770266</v>
      </c>
      <c r="J5" s="249">
        <f t="shared" si="2"/>
        <v>46287.62467417767</v>
      </c>
      <c r="K5" s="249">
        <f t="shared" si="2"/>
        <v>47241.539650886269</v>
      </c>
      <c r="L5" s="249">
        <f t="shared" si="2"/>
        <v>46884.479293229757</v>
      </c>
      <c r="M5" s="249">
        <f t="shared" si="2"/>
        <v>46507.740588187968</v>
      </c>
      <c r="N5" s="249">
        <f t="shared" si="2"/>
        <v>46112.823715008752</v>
      </c>
      <c r="O5" s="249">
        <f t="shared" si="2"/>
        <v>47762.426387547544</v>
      </c>
      <c r="P5" s="249">
        <f t="shared" si="2"/>
        <v>46351.214868363808</v>
      </c>
      <c r="Q5" s="249">
        <f t="shared" si="2"/>
        <v>44982.258296749926</v>
      </c>
      <c r="R5" s="249">
        <f>+R3-R4</f>
        <v>42205.06629898322</v>
      </c>
      <c r="S5" s="159"/>
    </row>
    <row r="6" spans="1:19" ht="6" customHeight="1" x14ac:dyDescent="0.3"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</row>
    <row r="7" spans="1:19" x14ac:dyDescent="0.3">
      <c r="B7" s="4" t="s">
        <v>156</v>
      </c>
      <c r="C7" s="253">
        <f>+PyG!C195</f>
        <v>3452.4</v>
      </c>
      <c r="D7" s="253">
        <f>+PyG!D195</f>
        <v>3625.0200000000004</v>
      </c>
      <c r="E7" s="253">
        <f>+PyG!E195</f>
        <v>3770.0208000000007</v>
      </c>
      <c r="F7" s="253">
        <f>+PyG!F195</f>
        <v>3883.1214240000008</v>
      </c>
      <c r="G7" s="253">
        <f>+PyG!G195</f>
        <v>3999.6150667200009</v>
      </c>
      <c r="H7" s="253">
        <f>+PyG!H195</f>
        <v>4119.6035187216012</v>
      </c>
      <c r="I7" s="253">
        <f>+PyG!I195</f>
        <v>4243.1916242832494</v>
      </c>
      <c r="J7" s="253">
        <f>+PyG!J195</f>
        <v>4370.487373011747</v>
      </c>
      <c r="K7" s="253">
        <f>+PyG!K195</f>
        <v>4501.6019942020994</v>
      </c>
      <c r="L7" s="253">
        <f>+PyG!L195</f>
        <v>4636.6500540281622</v>
      </c>
      <c r="M7" s="253">
        <f>+PyG!M195</f>
        <v>4775.7495556490076</v>
      </c>
      <c r="N7" s="253">
        <f>+PyG!N195</f>
        <v>4919.0220423184783</v>
      </c>
      <c r="O7" s="253">
        <f>+PyG!O195</f>
        <v>5066.5927035880331</v>
      </c>
      <c r="P7" s="253">
        <f>+PyG!P195</f>
        <v>5218.5904846956746</v>
      </c>
      <c r="Q7" s="253">
        <f>+PyG!Q195</f>
        <v>5375.1481992365452</v>
      </c>
      <c r="R7" s="253">
        <f>+PyG!R195</f>
        <v>5536.4026452136413</v>
      </c>
    </row>
    <row r="8" spans="1:19" x14ac:dyDescent="0.3">
      <c r="B8" s="4" t="s">
        <v>157</v>
      </c>
      <c r="C8" s="250">
        <f>+PyG!C215+(C332/1000000)</f>
        <v>10.5</v>
      </c>
      <c r="D8" s="250">
        <f>+PyG!D215+(D332/1000000)</f>
        <v>11.025</v>
      </c>
      <c r="E8" s="250">
        <f>+PyG!E215+(E332/1000000)</f>
        <v>11.466000000000001</v>
      </c>
      <c r="F8" s="250">
        <f>+PyG!F215+(F332/1000000)</f>
        <v>192.79187500467299</v>
      </c>
      <c r="G8" s="250">
        <f>+PyG!G215+(G332/1000000)</f>
        <v>268.83315056016153</v>
      </c>
      <c r="H8" s="250">
        <f>+PyG!H215+(H332/1000000)</f>
        <v>340.24132484155183</v>
      </c>
      <c r="I8" s="250">
        <f>+PyG!I215+(I332/1000000)</f>
        <v>407.22815013239682</v>
      </c>
      <c r="J8" s="250">
        <f>+PyG!J215+(J332/1000000)</f>
        <v>630.46056552495941</v>
      </c>
      <c r="K8" s="250">
        <f>+PyG!K215+(K332/1000000)</f>
        <v>643.57819897715171</v>
      </c>
      <c r="L8" s="250">
        <f>+PyG!L215+(L332/1000000)</f>
        <v>639.22812431735838</v>
      </c>
      <c r="M8" s="250">
        <f>+PyG!M215+(M332/1000000)</f>
        <v>634.62799359569669</v>
      </c>
      <c r="N8" s="250">
        <f>+PyG!N215+(N332/1000000)</f>
        <v>629.79817885923603</v>
      </c>
      <c r="O8" s="250">
        <f>+PyG!O215+(O332/1000000)</f>
        <v>652.24169703952703</v>
      </c>
      <c r="P8" s="250">
        <f>+PyG!P215+(P332/1000000)</f>
        <v>633.88782380657733</v>
      </c>
      <c r="Q8" s="250">
        <f>+PyG!Q215+(Q332/1000000)</f>
        <v>616.11121828524392</v>
      </c>
      <c r="R8" s="250">
        <f>+PyG!R215+(R332/1000000)</f>
        <v>579.57242487821202</v>
      </c>
    </row>
    <row r="9" spans="1:19" x14ac:dyDescent="0.3">
      <c r="B9" s="4" t="s">
        <v>158</v>
      </c>
      <c r="C9" s="250">
        <f>+C224</f>
        <v>0</v>
      </c>
      <c r="D9" s="250">
        <f t="shared" ref="D9:R9" si="3">+D224</f>
        <v>0</v>
      </c>
      <c r="E9" s="250">
        <f t="shared" si="3"/>
        <v>0</v>
      </c>
      <c r="F9" s="250">
        <f t="shared" si="3"/>
        <v>542.94568501401898</v>
      </c>
      <c r="G9" s="250">
        <f t="shared" si="3"/>
        <v>770.00661348048459</v>
      </c>
      <c r="H9" s="250">
        <f t="shared" si="3"/>
        <v>983.13635117865545</v>
      </c>
      <c r="I9" s="250">
        <f t="shared" si="3"/>
        <v>1182.9691983508108</v>
      </c>
      <c r="J9" s="250">
        <f t="shared" si="3"/>
        <v>1851.5049869671068</v>
      </c>
      <c r="K9" s="250">
        <f t="shared" si="3"/>
        <v>1889.6615860354507</v>
      </c>
      <c r="L9" s="250">
        <f t="shared" si="3"/>
        <v>1875.3791717291904</v>
      </c>
      <c r="M9" s="250">
        <f t="shared" si="3"/>
        <v>1860.3096235275186</v>
      </c>
      <c r="N9" s="250">
        <f t="shared" si="3"/>
        <v>1844.51294860035</v>
      </c>
      <c r="O9" s="250">
        <f t="shared" si="3"/>
        <v>1910.4970555019017</v>
      </c>
      <c r="P9" s="250">
        <f t="shared" si="3"/>
        <v>1854.0485947345521</v>
      </c>
      <c r="Q9" s="250">
        <f t="shared" si="3"/>
        <v>1799.2903318699969</v>
      </c>
      <c r="R9" s="250">
        <f t="shared" si="3"/>
        <v>1688.2026519593285</v>
      </c>
    </row>
    <row r="10" spans="1:19" x14ac:dyDescent="0.3">
      <c r="B10" s="21" t="s">
        <v>20</v>
      </c>
      <c r="C10" s="254">
        <f>-'Capex&amp;DA'!C53</f>
        <v>394.2</v>
      </c>
      <c r="D10" s="254">
        <f>-'Capex&amp;DA'!D53</f>
        <v>394.2</v>
      </c>
      <c r="E10" s="254">
        <f>-'Capex&amp;DA'!E53</f>
        <v>394.2</v>
      </c>
      <c r="F10" s="254">
        <f>-'Capex&amp;DA'!F53</f>
        <v>394.2</v>
      </c>
      <c r="G10" s="254">
        <f>-'Capex&amp;DA'!G53</f>
        <v>394.2</v>
      </c>
      <c r="H10" s="254">
        <f>-'Capex&amp;DA'!H53</f>
        <v>394.2</v>
      </c>
      <c r="I10" s="254">
        <f>-'Capex&amp;DA'!I53</f>
        <v>394.2</v>
      </c>
      <c r="J10" s="254">
        <f>-'Capex&amp;DA'!J53</f>
        <v>394.2</v>
      </c>
      <c r="K10" s="254">
        <f>-'Capex&amp;DA'!K53</f>
        <v>394.2</v>
      </c>
      <c r="L10" s="254">
        <f>-'Capex&amp;DA'!L53</f>
        <v>394.2</v>
      </c>
      <c r="M10" s="254">
        <f>-'Capex&amp;DA'!M53</f>
        <v>394.2</v>
      </c>
      <c r="N10" s="254">
        <f>-'Capex&amp;DA'!N53</f>
        <v>394.2</v>
      </c>
      <c r="O10" s="254">
        <f>-'Capex&amp;DA'!O53</f>
        <v>394.2</v>
      </c>
      <c r="P10" s="254">
        <f>-'Capex&amp;DA'!P53</f>
        <v>394.2</v>
      </c>
      <c r="Q10" s="254">
        <f>-'Capex&amp;DA'!Q53</f>
        <v>394.2</v>
      </c>
      <c r="R10" s="254">
        <f>-'Capex&amp;DA'!R53</f>
        <v>394.2</v>
      </c>
    </row>
    <row r="11" spans="1:19" x14ac:dyDescent="0.3">
      <c r="B11" s="8" t="s">
        <v>159</v>
      </c>
      <c r="C11" s="249">
        <f>+C5-C7-C8-C10-C9</f>
        <v>-5922.9000000000005</v>
      </c>
      <c r="D11" s="249">
        <f t="shared" ref="D11:R11" si="4">+D5-D7-D8-D10-D9</f>
        <v>-6199.335</v>
      </c>
      <c r="E11" s="249">
        <f t="shared" si="4"/>
        <v>-6324.1188000000011</v>
      </c>
      <c r="F11" s="249">
        <f t="shared" si="4"/>
        <v>8560.5831413317792</v>
      </c>
      <c r="G11" s="249">
        <f t="shared" si="4"/>
        <v>13817.510506251469</v>
      </c>
      <c r="H11" s="249">
        <f t="shared" si="4"/>
        <v>18741.22758472458</v>
      </c>
      <c r="I11" s="249">
        <f t="shared" si="4"/>
        <v>23346.640986003811</v>
      </c>
      <c r="J11" s="249">
        <f t="shared" si="4"/>
        <v>39040.971748673859</v>
      </c>
      <c r="K11" s="249">
        <f t="shared" si="4"/>
        <v>39812.49787167157</v>
      </c>
      <c r="L11" s="249">
        <f t="shared" si="4"/>
        <v>39339.02194315505</v>
      </c>
      <c r="M11" s="249">
        <f t="shared" si="4"/>
        <v>38842.853415415746</v>
      </c>
      <c r="N11" s="249">
        <f t="shared" si="4"/>
        <v>38325.290545230688</v>
      </c>
      <c r="O11" s="249">
        <f t="shared" si="4"/>
        <v>39738.894931418086</v>
      </c>
      <c r="P11" s="249">
        <f t="shared" si="4"/>
        <v>38250.487965127002</v>
      </c>
      <c r="Q11" s="249">
        <f t="shared" si="4"/>
        <v>36797.508547358142</v>
      </c>
      <c r="R11" s="249">
        <f t="shared" si="4"/>
        <v>34006.688576932043</v>
      </c>
    </row>
    <row r="12" spans="1:19" ht="6" customHeight="1" x14ac:dyDescent="0.3"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</row>
    <row r="13" spans="1:19" x14ac:dyDescent="0.3">
      <c r="B13" s="8" t="s">
        <v>21</v>
      </c>
      <c r="C13" s="249">
        <f>+C11+C10</f>
        <v>-5528.7000000000007</v>
      </c>
      <c r="D13" s="249">
        <f t="shared" ref="D13:R13" si="5">+D11+D10</f>
        <v>-5805.1350000000002</v>
      </c>
      <c r="E13" s="249">
        <f t="shared" si="5"/>
        <v>-5929.9188000000013</v>
      </c>
      <c r="F13" s="249">
        <f t="shared" si="5"/>
        <v>8954.7831413317799</v>
      </c>
      <c r="G13" s="249">
        <f t="shared" si="5"/>
        <v>14211.710506251469</v>
      </c>
      <c r="H13" s="249">
        <f t="shared" si="5"/>
        <v>19135.427584724581</v>
      </c>
      <c r="I13" s="249">
        <f t="shared" si="5"/>
        <v>23740.840986003812</v>
      </c>
      <c r="J13" s="249">
        <f t="shared" si="5"/>
        <v>39435.171748673856</v>
      </c>
      <c r="K13" s="249">
        <f t="shared" si="5"/>
        <v>40206.697871671568</v>
      </c>
      <c r="L13" s="249">
        <f t="shared" si="5"/>
        <v>39733.221943155047</v>
      </c>
      <c r="M13" s="249">
        <f t="shared" si="5"/>
        <v>39237.053415415743</v>
      </c>
      <c r="N13" s="249">
        <f t="shared" si="5"/>
        <v>38719.490545230685</v>
      </c>
      <c r="O13" s="249">
        <f t="shared" si="5"/>
        <v>40133.094931418083</v>
      </c>
      <c r="P13" s="249">
        <f t="shared" si="5"/>
        <v>38644.687965126999</v>
      </c>
      <c r="Q13" s="249">
        <f t="shared" si="5"/>
        <v>37191.708547358139</v>
      </c>
      <c r="R13" s="249">
        <f t="shared" si="5"/>
        <v>34400.88857693204</v>
      </c>
    </row>
    <row r="14" spans="1:19" ht="6" customHeight="1" x14ac:dyDescent="0.3"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</row>
    <row r="15" spans="1:19" x14ac:dyDescent="0.3">
      <c r="B15" s="4" t="s">
        <v>160</v>
      </c>
      <c r="C15" s="253">
        <f ca="1">+Debt!C15</f>
        <v>0</v>
      </c>
      <c r="D15" s="253">
        <f ca="1">+Debt!D15</f>
        <v>0</v>
      </c>
      <c r="E15" s="253">
        <f ca="1">+Debt!E15</f>
        <v>0</v>
      </c>
      <c r="F15" s="253">
        <f ca="1">+Debt!F15</f>
        <v>254.60019667762253</v>
      </c>
      <c r="G15" s="253">
        <f ca="1">+Debt!G15</f>
        <v>853.95151760912097</v>
      </c>
      <c r="H15" s="253">
        <f ca="1">+Debt!H15</f>
        <v>1601.4030944153544</v>
      </c>
      <c r="I15" s="253">
        <f ca="1">+Debt!I15</f>
        <v>2462.6525719138976</v>
      </c>
      <c r="J15" s="253">
        <f ca="1">+Debt!J15</f>
        <v>3289.3356273814002</v>
      </c>
      <c r="K15" s="253">
        <f ca="1">+Debt!K15</f>
        <v>4097.0167397967352</v>
      </c>
      <c r="L15" s="253">
        <f ca="1">+Debt!L15</f>
        <v>4984.8907393420341</v>
      </c>
      <c r="M15" s="253">
        <f ca="1">+Debt!M15</f>
        <v>5885.6701439579101</v>
      </c>
      <c r="N15" s="253">
        <f ca="1">+Debt!N15</f>
        <v>6794.5628839537267</v>
      </c>
      <c r="O15" s="253">
        <f ca="1">+Debt!O15</f>
        <v>7723.6664668227104</v>
      </c>
      <c r="P15" s="253">
        <f ca="1">+Debt!P15</f>
        <v>8674.428527316486</v>
      </c>
      <c r="Q15" s="253">
        <f ca="1">+Debt!Q15</f>
        <v>9625.4687668438764</v>
      </c>
      <c r="R15" s="253">
        <f ca="1">+Debt!R15</f>
        <v>10557.74732150624</v>
      </c>
    </row>
    <row r="16" spans="1:19" x14ac:dyDescent="0.3">
      <c r="B16" s="21" t="s">
        <v>161</v>
      </c>
      <c r="C16" s="254">
        <f ca="1">+Debt!C9</f>
        <v>911.25902233340742</v>
      </c>
      <c r="D16" s="254">
        <f ca="1">+Debt!D9</f>
        <v>1397.0641149852572</v>
      </c>
      <c r="E16" s="254">
        <f ca="1">+Debt!E9</f>
        <v>522.33468858351421</v>
      </c>
      <c r="F16" s="254">
        <f ca="1">+Debt!F9</f>
        <v>36.529595931664424</v>
      </c>
      <c r="G16" s="254">
        <f ca="1">+Debt!G9</f>
        <v>0</v>
      </c>
      <c r="H16" s="254">
        <f ca="1">+Debt!H9</f>
        <v>0</v>
      </c>
      <c r="I16" s="254">
        <f ca="1">+Debt!I9</f>
        <v>0</v>
      </c>
      <c r="J16" s="254">
        <f ca="1">+Debt!J9</f>
        <v>0</v>
      </c>
      <c r="K16" s="254">
        <f ca="1">+Debt!K9</f>
        <v>0</v>
      </c>
      <c r="L16" s="254">
        <f ca="1">+Debt!L9</f>
        <v>0</v>
      </c>
      <c r="M16" s="254">
        <f ca="1">+Debt!M9</f>
        <v>0</v>
      </c>
      <c r="N16" s="254">
        <f ca="1">+Debt!N9</f>
        <v>0</v>
      </c>
      <c r="O16" s="254">
        <f ca="1">+Debt!O9</f>
        <v>0</v>
      </c>
      <c r="P16" s="254">
        <f ca="1">+Debt!P9</f>
        <v>0</v>
      </c>
      <c r="Q16" s="254">
        <f ca="1">+Debt!Q9</f>
        <v>0</v>
      </c>
      <c r="R16" s="254">
        <f ca="1">+Debt!R9</f>
        <v>0</v>
      </c>
    </row>
    <row r="17" spans="2:18" x14ac:dyDescent="0.3">
      <c r="B17" s="8" t="s">
        <v>162</v>
      </c>
      <c r="C17" s="249">
        <f t="shared" ref="C17:R17" ca="1" si="6">+C11+C15-C16</f>
        <v>-6834.1590223334078</v>
      </c>
      <c r="D17" s="249">
        <f t="shared" ca="1" si="6"/>
        <v>-7596.3991149852573</v>
      </c>
      <c r="E17" s="249">
        <f t="shared" ca="1" si="6"/>
        <v>-6846.4534885835155</v>
      </c>
      <c r="F17" s="249">
        <f t="shared" ca="1" si="6"/>
        <v>8778.6537420777368</v>
      </c>
      <c r="G17" s="249">
        <f t="shared" ca="1" si="6"/>
        <v>14671.462023860589</v>
      </c>
      <c r="H17" s="249">
        <f t="shared" ca="1" si="6"/>
        <v>20342.630679139933</v>
      </c>
      <c r="I17" s="249">
        <f t="shared" ca="1" si="6"/>
        <v>25809.29355791771</v>
      </c>
      <c r="J17" s="249">
        <f t="shared" ca="1" si="6"/>
        <v>42330.307376055258</v>
      </c>
      <c r="K17" s="249">
        <f t="shared" ca="1" si="6"/>
        <v>43909.514611468308</v>
      </c>
      <c r="L17" s="249">
        <f t="shared" ca="1" si="6"/>
        <v>44323.912682497088</v>
      </c>
      <c r="M17" s="249">
        <f t="shared" ca="1" si="6"/>
        <v>44728.523559373658</v>
      </c>
      <c r="N17" s="249">
        <f t="shared" ca="1" si="6"/>
        <v>45119.853429184412</v>
      </c>
      <c r="O17" s="249">
        <f t="shared" ca="1" si="6"/>
        <v>47462.561398240796</v>
      </c>
      <c r="P17" s="249">
        <f t="shared" ca="1" si="6"/>
        <v>46924.916492443488</v>
      </c>
      <c r="Q17" s="249">
        <f t="shared" ca="1" si="6"/>
        <v>46422.97731420202</v>
      </c>
      <c r="R17" s="249">
        <f t="shared" ca="1" si="6"/>
        <v>44564.435898438285</v>
      </c>
    </row>
    <row r="18" spans="2:18" ht="6" customHeight="1" x14ac:dyDescent="0.3"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</row>
    <row r="19" spans="2:18" ht="13.5" thickBot="1" x14ac:dyDescent="0.35">
      <c r="B19" s="26" t="s">
        <v>163</v>
      </c>
      <c r="C19" s="255">
        <f t="shared" ref="C19:R19" ca="1" si="7">+IF(C17&lt;0,0,C17*C38)</f>
        <v>0</v>
      </c>
      <c r="D19" s="255">
        <f t="shared" ca="1" si="7"/>
        <v>0</v>
      </c>
      <c r="E19" s="255">
        <f t="shared" ca="1" si="7"/>
        <v>0</v>
      </c>
      <c r="F19" s="255">
        <f t="shared" ca="1" si="7"/>
        <v>0</v>
      </c>
      <c r="G19" s="255">
        <f t="shared" ca="1" si="7"/>
        <v>0</v>
      </c>
      <c r="H19" s="255">
        <f t="shared" ca="1" si="7"/>
        <v>0</v>
      </c>
      <c r="I19" s="255">
        <f t="shared" ca="1" si="7"/>
        <v>0</v>
      </c>
      <c r="J19" s="255">
        <f t="shared" ca="1" si="7"/>
        <v>0</v>
      </c>
      <c r="K19" s="255">
        <f t="shared" ca="1" si="7"/>
        <v>0</v>
      </c>
      <c r="L19" s="255">
        <f t="shared" ca="1" si="7"/>
        <v>0</v>
      </c>
      <c r="M19" s="255">
        <f t="shared" ca="1" si="7"/>
        <v>0</v>
      </c>
      <c r="N19" s="255">
        <f t="shared" ca="1" si="7"/>
        <v>0</v>
      </c>
      <c r="O19" s="255">
        <f t="shared" ca="1" si="7"/>
        <v>0</v>
      </c>
      <c r="P19" s="255">
        <f t="shared" ca="1" si="7"/>
        <v>0</v>
      </c>
      <c r="Q19" s="255">
        <f t="shared" ca="1" si="7"/>
        <v>0</v>
      </c>
      <c r="R19" s="255">
        <f t="shared" ca="1" si="7"/>
        <v>0</v>
      </c>
    </row>
    <row r="20" spans="2:18" ht="13.5" customHeight="1" thickTop="1" x14ac:dyDescent="0.3"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</row>
    <row r="21" spans="2:18" ht="12.75" customHeight="1" x14ac:dyDescent="0.3">
      <c r="B21" s="256" t="s">
        <v>164</v>
      </c>
      <c r="C21" s="257">
        <f ca="1">+C17-C19</f>
        <v>-6834.1590223334078</v>
      </c>
      <c r="D21" s="257">
        <f t="shared" ref="D21:R21" ca="1" si="8">+D17-D19</f>
        <v>-7596.3991149852573</v>
      </c>
      <c r="E21" s="257">
        <f t="shared" ca="1" si="8"/>
        <v>-6846.4534885835155</v>
      </c>
      <c r="F21" s="257">
        <f t="shared" ca="1" si="8"/>
        <v>8778.6537420777368</v>
      </c>
      <c r="G21" s="257">
        <f t="shared" ca="1" si="8"/>
        <v>14671.462023860589</v>
      </c>
      <c r="H21" s="257">
        <f t="shared" ca="1" si="8"/>
        <v>20342.630679139933</v>
      </c>
      <c r="I21" s="257">
        <f t="shared" ca="1" si="8"/>
        <v>25809.29355791771</v>
      </c>
      <c r="J21" s="257">
        <f t="shared" ca="1" si="8"/>
        <v>42330.307376055258</v>
      </c>
      <c r="K21" s="257">
        <f t="shared" ca="1" si="8"/>
        <v>43909.514611468308</v>
      </c>
      <c r="L21" s="257">
        <f t="shared" ca="1" si="8"/>
        <v>44323.912682497088</v>
      </c>
      <c r="M21" s="257">
        <f t="shared" ca="1" si="8"/>
        <v>44728.523559373658</v>
      </c>
      <c r="N21" s="257">
        <f t="shared" ca="1" si="8"/>
        <v>45119.853429184412</v>
      </c>
      <c r="O21" s="257">
        <f t="shared" ca="1" si="8"/>
        <v>47462.561398240796</v>
      </c>
      <c r="P21" s="257">
        <f t="shared" ca="1" si="8"/>
        <v>46924.916492443488</v>
      </c>
      <c r="Q21" s="257">
        <f t="shared" ca="1" si="8"/>
        <v>46422.97731420202</v>
      </c>
      <c r="R21" s="257">
        <f t="shared" ca="1" si="8"/>
        <v>44564.435898438285</v>
      </c>
    </row>
    <row r="22" spans="2:18" customFormat="1" ht="14.5" x14ac:dyDescent="0.35">
      <c r="J22" s="414"/>
    </row>
    <row r="23" spans="2:18" x14ac:dyDescent="0.3"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</row>
    <row r="24" spans="2:18" x14ac:dyDescent="0.3">
      <c r="B24" s="229" t="s">
        <v>165</v>
      </c>
      <c r="C24" s="230">
        <f t="shared" ref="C24:R24" si="9">+IFERROR(C5/C3,0)</f>
        <v>0</v>
      </c>
      <c r="D24" s="230">
        <f t="shared" si="9"/>
        <v>0</v>
      </c>
      <c r="E24" s="230">
        <f t="shared" si="9"/>
        <v>0</v>
      </c>
      <c r="F24" s="230">
        <f t="shared" si="9"/>
        <v>0.75</v>
      </c>
      <c r="G24" s="230">
        <f t="shared" si="9"/>
        <v>0.75</v>
      </c>
      <c r="H24" s="230">
        <f t="shared" si="9"/>
        <v>0.75</v>
      </c>
      <c r="I24" s="230">
        <f t="shared" si="9"/>
        <v>0.75</v>
      </c>
      <c r="J24" s="230">
        <f t="shared" si="9"/>
        <v>0.74999999999999989</v>
      </c>
      <c r="K24" s="230">
        <f t="shared" si="9"/>
        <v>0.75</v>
      </c>
      <c r="L24" s="230">
        <f t="shared" si="9"/>
        <v>0.74999999999999989</v>
      </c>
      <c r="M24" s="230">
        <f t="shared" si="9"/>
        <v>0.75</v>
      </c>
      <c r="N24" s="230">
        <f t="shared" si="9"/>
        <v>0.75</v>
      </c>
      <c r="O24" s="230">
        <f t="shared" si="9"/>
        <v>0.75</v>
      </c>
      <c r="P24" s="230">
        <f t="shared" si="9"/>
        <v>0.75</v>
      </c>
      <c r="Q24" s="230">
        <f t="shared" si="9"/>
        <v>0.75</v>
      </c>
      <c r="R24" s="230">
        <f t="shared" si="9"/>
        <v>0.75000000000000011</v>
      </c>
    </row>
    <row r="25" spans="2:18" x14ac:dyDescent="0.3">
      <c r="B25" s="229" t="s">
        <v>166</v>
      </c>
      <c r="C25" s="230">
        <f t="shared" ref="C25:R25" si="10">+IFERROR(C11/C3,0)</f>
        <v>0</v>
      </c>
      <c r="D25" s="230">
        <f t="shared" si="10"/>
        <v>0</v>
      </c>
      <c r="E25" s="230">
        <f t="shared" si="10"/>
        <v>0</v>
      </c>
      <c r="F25" s="230">
        <f t="shared" si="10"/>
        <v>0.47300770837385381</v>
      </c>
      <c r="G25" s="230">
        <f t="shared" si="10"/>
        <v>0.53833994141149022</v>
      </c>
      <c r="H25" s="230">
        <f t="shared" si="10"/>
        <v>0.57188082494120673</v>
      </c>
      <c r="I25" s="230">
        <f t="shared" si="10"/>
        <v>0.59206886413995219</v>
      </c>
      <c r="J25" s="230">
        <f t="shared" si="10"/>
        <v>0.63258222943205245</v>
      </c>
      <c r="K25" s="230">
        <f t="shared" si="10"/>
        <v>0.63205758373697507</v>
      </c>
      <c r="L25" s="230">
        <f t="shared" si="10"/>
        <v>0.62929709153508251</v>
      </c>
      <c r="M25" s="230">
        <f t="shared" si="10"/>
        <v>0.62639336362344789</v>
      </c>
      <c r="N25" s="230">
        <f t="shared" si="10"/>
        <v>0.6233400081194217</v>
      </c>
      <c r="O25" s="230">
        <f t="shared" si="10"/>
        <v>0.62400873349127017</v>
      </c>
      <c r="P25" s="230">
        <f t="shared" si="10"/>
        <v>0.61892371225474918</v>
      </c>
      <c r="Q25" s="230">
        <f t="shared" si="10"/>
        <v>0.61353370096388948</v>
      </c>
      <c r="R25" s="230">
        <f t="shared" si="10"/>
        <v>0.60431172532747535</v>
      </c>
    </row>
    <row r="26" spans="2:18" x14ac:dyDescent="0.3">
      <c r="B26" s="229" t="s">
        <v>167</v>
      </c>
      <c r="C26" s="230">
        <f t="shared" ref="C26:R26" si="11">+IFERROR(C13/C3,0)</f>
        <v>0</v>
      </c>
      <c r="D26" s="230">
        <f t="shared" si="11"/>
        <v>0</v>
      </c>
      <c r="E26" s="230">
        <f t="shared" si="11"/>
        <v>0</v>
      </c>
      <c r="F26" s="230">
        <f t="shared" si="11"/>
        <v>0.49478889261826803</v>
      </c>
      <c r="G26" s="230">
        <f t="shared" si="11"/>
        <v>0.55369825105839787</v>
      </c>
      <c r="H26" s="230">
        <f t="shared" si="11"/>
        <v>0.58390967524851367</v>
      </c>
      <c r="I26" s="230">
        <f t="shared" si="11"/>
        <v>0.60206574319351236</v>
      </c>
      <c r="J26" s="230">
        <f t="shared" si="11"/>
        <v>0.63896946580637715</v>
      </c>
      <c r="K26" s="230">
        <f t="shared" si="11"/>
        <v>0.63831584716752465</v>
      </c>
      <c r="L26" s="230">
        <f t="shared" si="11"/>
        <v>0.63560301631993321</v>
      </c>
      <c r="M26" s="230">
        <f t="shared" si="11"/>
        <v>0.63275036992521361</v>
      </c>
      <c r="N26" s="230">
        <f t="shared" si="11"/>
        <v>0.62975145674003108</v>
      </c>
      <c r="O26" s="230">
        <f t="shared" si="11"/>
        <v>0.63019874564854783</v>
      </c>
      <c r="P26" s="230">
        <f t="shared" si="11"/>
        <v>0.62530218584685748</v>
      </c>
      <c r="Q26" s="230">
        <f t="shared" si="11"/>
        <v>0.62010629227421421</v>
      </c>
      <c r="R26" s="230">
        <f t="shared" si="11"/>
        <v>0.61131680850648507</v>
      </c>
    </row>
    <row r="27" spans="2:18" x14ac:dyDescent="0.3">
      <c r="B27" s="229" t="s">
        <v>37</v>
      </c>
      <c r="C27" s="230">
        <f t="shared" ref="C27:R27" ca="1" si="12">+IFERROR(C21/C3,0)</f>
        <v>0</v>
      </c>
      <c r="D27" s="230">
        <f t="shared" ca="1" si="12"/>
        <v>0</v>
      </c>
      <c r="E27" s="230">
        <f t="shared" ca="1" si="12"/>
        <v>0</v>
      </c>
      <c r="F27" s="230">
        <f t="shared" ca="1" si="12"/>
        <v>0.48505701312559857</v>
      </c>
      <c r="G27" s="230">
        <f t="shared" ca="1" si="12"/>
        <v>0.57161049400126074</v>
      </c>
      <c r="H27" s="230">
        <f t="shared" ca="1" si="12"/>
        <v>0.62074697944242541</v>
      </c>
      <c r="I27" s="230">
        <f t="shared" ca="1" si="12"/>
        <v>0.65452152754016013</v>
      </c>
      <c r="J27" s="230">
        <f t="shared" ca="1" si="12"/>
        <v>0.68587944954005053</v>
      </c>
      <c r="K27" s="230">
        <f t="shared" ca="1" si="12"/>
        <v>0.69710124187248867</v>
      </c>
      <c r="L27" s="230">
        <f t="shared" ca="1" si="12"/>
        <v>0.70903921751932908</v>
      </c>
      <c r="M27" s="230">
        <f t="shared" ca="1" si="12"/>
        <v>0.72130772738614513</v>
      </c>
      <c r="N27" s="230">
        <f t="shared" ca="1" si="12"/>
        <v>0.73384987831213944</v>
      </c>
      <c r="O27" s="230">
        <f t="shared" ca="1" si="12"/>
        <v>0.7452913040858683</v>
      </c>
      <c r="P27" s="230">
        <f t="shared" ca="1" si="12"/>
        <v>0.75928295448742245</v>
      </c>
      <c r="Q27" s="230">
        <f t="shared" ca="1" si="12"/>
        <v>0.77402145432451852</v>
      </c>
      <c r="R27" s="230">
        <f t="shared" ca="1" si="12"/>
        <v>0.79192689064994859</v>
      </c>
    </row>
    <row r="28" spans="2:18" x14ac:dyDescent="0.3"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</row>
    <row r="30" spans="2:18" x14ac:dyDescent="0.3">
      <c r="B30" s="87" t="s">
        <v>168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9"/>
    </row>
    <row r="32" spans="2:18" x14ac:dyDescent="0.3">
      <c r="B32" s="8" t="str">
        <f>+PyG!B289</f>
        <v>Kilogramos Totales Producción</v>
      </c>
      <c r="C32" s="70">
        <f>+PyG!C289</f>
        <v>0</v>
      </c>
      <c r="D32" s="70">
        <f>+PyG!D289</f>
        <v>0</v>
      </c>
      <c r="E32" s="70">
        <f>+PyG!E289</f>
        <v>0</v>
      </c>
      <c r="F32" s="71">
        <f>+PyG!F289</f>
        <v>1210123.5714285711</v>
      </c>
      <c r="G32" s="71">
        <f>+PyG!G289</f>
        <v>1680210.0357142854</v>
      </c>
      <c r="H32" s="71">
        <f>+PyG!H289</f>
        <v>2100262.5446428568</v>
      </c>
      <c r="I32" s="71">
        <f>+PyG!I289</f>
        <v>2474109.2775892853</v>
      </c>
      <c r="J32" s="71">
        <f>+PyG!J289</f>
        <v>3790973.8930803565</v>
      </c>
      <c r="K32" s="71">
        <f>+PyG!K289</f>
        <v>3787784.2284263382</v>
      </c>
      <c r="L32" s="71">
        <f>+PyG!L289</f>
        <v>3680106.2840050212</v>
      </c>
      <c r="M32" s="71">
        <f>+PyG!M289</f>
        <v>3573726.6734547704</v>
      </c>
      <c r="N32" s="71">
        <f>+PyG!N289</f>
        <v>3468784.758249532</v>
      </c>
      <c r="O32" s="71">
        <f>+PyG!O289</f>
        <v>3517193.3125601178</v>
      </c>
      <c r="P32" s="71">
        <f>+PyG!P289</f>
        <v>3341333.6469321116</v>
      </c>
      <c r="Q32" s="71">
        <f>+PyG!Q289</f>
        <v>3174266.9645855059</v>
      </c>
      <c r="R32" s="71">
        <f>+PyG!R289</f>
        <v>2915444.8001155732</v>
      </c>
    </row>
    <row r="33" spans="1:18" x14ac:dyDescent="0.3">
      <c r="B33" s="8" t="s">
        <v>169</v>
      </c>
      <c r="C33" s="158">
        <f>+PyG!C306</f>
        <v>7550.7787903750932</v>
      </c>
      <c r="D33" s="158">
        <f>+PyG!D306</f>
        <v>7928.3177298938481</v>
      </c>
      <c r="E33" s="158">
        <f>+PyG!E306</f>
        <v>8245.4504390896018</v>
      </c>
      <c r="F33" s="158">
        <f>+PyG!F306</f>
        <v>8492.8139522622896</v>
      </c>
      <c r="G33" s="158">
        <f>+PyG!G306</f>
        <v>8747.5983708301592</v>
      </c>
      <c r="H33" s="158">
        <f>+PyG!H306</f>
        <v>9010.0263219550634</v>
      </c>
      <c r="I33" s="158">
        <f>+PyG!I306</f>
        <v>9280.3271116137148</v>
      </c>
      <c r="J33" s="158">
        <f>+PyG!J306</f>
        <v>9558.7369249621261</v>
      </c>
      <c r="K33" s="158">
        <f>+PyG!K306</f>
        <v>9845.4990327109899</v>
      </c>
      <c r="L33" s="158">
        <f>+PyG!L306</f>
        <v>10140.864003692321</v>
      </c>
      <c r="M33" s="158">
        <f>+PyG!M306</f>
        <v>10445.089923803091</v>
      </c>
      <c r="N33" s="158">
        <f>+PyG!N306</f>
        <v>10758.442621517184</v>
      </c>
      <c r="O33" s="158">
        <f>+PyG!O306</f>
        <v>11081.1959001627</v>
      </c>
      <c r="P33" s="158">
        <f>+PyG!P306</f>
        <v>11413.631777167582</v>
      </c>
      <c r="Q33" s="158">
        <f>+PyG!Q306</f>
        <v>11756.040730482609</v>
      </c>
      <c r="R33" s="158">
        <f>+PyG!R306</f>
        <v>12108.721952397089</v>
      </c>
    </row>
    <row r="36" spans="1:18" x14ac:dyDescent="0.3">
      <c r="B36" s="87" t="s">
        <v>170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9"/>
    </row>
    <row r="38" spans="1:18" x14ac:dyDescent="0.3">
      <c r="B38" s="4" t="s">
        <v>171</v>
      </c>
      <c r="C38" s="84">
        <v>0</v>
      </c>
      <c r="D38" s="84">
        <f>+C38</f>
        <v>0</v>
      </c>
      <c r="E38" s="84">
        <f t="shared" ref="E38:R38" si="13">+D38</f>
        <v>0</v>
      </c>
      <c r="F38" s="84">
        <f t="shared" si="13"/>
        <v>0</v>
      </c>
      <c r="G38" s="84">
        <f t="shared" si="13"/>
        <v>0</v>
      </c>
      <c r="H38" s="84">
        <f t="shared" si="13"/>
        <v>0</v>
      </c>
      <c r="I38" s="84">
        <f t="shared" si="13"/>
        <v>0</v>
      </c>
      <c r="J38" s="84">
        <f t="shared" si="13"/>
        <v>0</v>
      </c>
      <c r="K38" s="84">
        <f t="shared" si="13"/>
        <v>0</v>
      </c>
      <c r="L38" s="84">
        <f t="shared" si="13"/>
        <v>0</v>
      </c>
      <c r="M38" s="84">
        <f t="shared" si="13"/>
        <v>0</v>
      </c>
      <c r="N38" s="84">
        <f t="shared" si="13"/>
        <v>0</v>
      </c>
      <c r="O38" s="84">
        <f t="shared" si="13"/>
        <v>0</v>
      </c>
      <c r="P38" s="84">
        <f t="shared" si="13"/>
        <v>0</v>
      </c>
      <c r="Q38" s="84">
        <f t="shared" si="13"/>
        <v>0</v>
      </c>
      <c r="R38" s="84">
        <f t="shared" si="13"/>
        <v>0</v>
      </c>
    </row>
    <row r="40" spans="1:18" x14ac:dyDescent="0.3">
      <c r="A40" s="192"/>
      <c r="B40" s="87" t="s">
        <v>172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9"/>
    </row>
    <row r="42" spans="1:18" x14ac:dyDescent="0.3">
      <c r="B42" s="141" t="s">
        <v>173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</row>
    <row r="44" spans="1:18" x14ac:dyDescent="0.3">
      <c r="B44" s="9" t="s">
        <v>174</v>
      </c>
    </row>
    <row r="45" spans="1:18" x14ac:dyDescent="0.3">
      <c r="B45" s="9"/>
    </row>
    <row r="46" spans="1:18" x14ac:dyDescent="0.3">
      <c r="A46" s="113" t="s">
        <v>175</v>
      </c>
      <c r="B46" s="188" t="s">
        <v>176</v>
      </c>
    </row>
    <row r="47" spans="1:18" x14ac:dyDescent="0.3">
      <c r="B47" s="137"/>
    </row>
    <row r="48" spans="1:18" x14ac:dyDescent="0.3">
      <c r="B48" s="139" t="s">
        <v>177</v>
      </c>
      <c r="C48" s="163" t="s">
        <v>178</v>
      </c>
    </row>
    <row r="49" spans="1:18" x14ac:dyDescent="0.3">
      <c r="A49" s="4" t="s">
        <v>179</v>
      </c>
      <c r="B49" s="185" t="s">
        <v>180</v>
      </c>
      <c r="C49" s="207">
        <v>12</v>
      </c>
      <c r="D49" s="210">
        <f t="shared" ref="D49:R49" si="14">+C49</f>
        <v>12</v>
      </c>
      <c r="E49" s="210">
        <f t="shared" si="14"/>
        <v>12</v>
      </c>
      <c r="F49" s="210">
        <f t="shared" si="14"/>
        <v>12</v>
      </c>
      <c r="G49" s="210">
        <f t="shared" si="14"/>
        <v>12</v>
      </c>
      <c r="H49" s="210">
        <f t="shared" si="14"/>
        <v>12</v>
      </c>
      <c r="I49" s="210">
        <f t="shared" si="14"/>
        <v>12</v>
      </c>
      <c r="J49" s="210">
        <f t="shared" si="14"/>
        <v>12</v>
      </c>
      <c r="K49" s="210">
        <f t="shared" si="14"/>
        <v>12</v>
      </c>
      <c r="L49" s="210">
        <f t="shared" si="14"/>
        <v>12</v>
      </c>
      <c r="M49" s="210">
        <f t="shared" si="14"/>
        <v>12</v>
      </c>
      <c r="N49" s="210">
        <f t="shared" si="14"/>
        <v>12</v>
      </c>
      <c r="O49" s="210">
        <f t="shared" si="14"/>
        <v>12</v>
      </c>
      <c r="P49" s="210">
        <f t="shared" si="14"/>
        <v>12</v>
      </c>
      <c r="Q49" s="210">
        <f t="shared" si="14"/>
        <v>12</v>
      </c>
      <c r="R49" s="211">
        <f t="shared" si="14"/>
        <v>12</v>
      </c>
    </row>
    <row r="50" spans="1:18" x14ac:dyDescent="0.3">
      <c r="A50" s="4" t="s">
        <v>179</v>
      </c>
      <c r="B50" s="186" t="s">
        <v>181</v>
      </c>
      <c r="C50" s="208">
        <v>8</v>
      </c>
      <c r="D50" s="212">
        <f t="shared" ref="D50:R50" si="15">+C50</f>
        <v>8</v>
      </c>
      <c r="E50" s="212">
        <f t="shared" si="15"/>
        <v>8</v>
      </c>
      <c r="F50" s="212">
        <f t="shared" si="15"/>
        <v>8</v>
      </c>
      <c r="G50" s="212">
        <f t="shared" si="15"/>
        <v>8</v>
      </c>
      <c r="H50" s="212">
        <f t="shared" si="15"/>
        <v>8</v>
      </c>
      <c r="I50" s="212">
        <f t="shared" si="15"/>
        <v>8</v>
      </c>
      <c r="J50" s="212">
        <f t="shared" si="15"/>
        <v>8</v>
      </c>
      <c r="K50" s="212">
        <f t="shared" si="15"/>
        <v>8</v>
      </c>
      <c r="L50" s="212">
        <f t="shared" si="15"/>
        <v>8</v>
      </c>
      <c r="M50" s="212">
        <f t="shared" si="15"/>
        <v>8</v>
      </c>
      <c r="N50" s="212">
        <f t="shared" si="15"/>
        <v>8</v>
      </c>
      <c r="O50" s="212">
        <f t="shared" si="15"/>
        <v>8</v>
      </c>
      <c r="P50" s="212">
        <f t="shared" si="15"/>
        <v>8</v>
      </c>
      <c r="Q50" s="212">
        <f t="shared" si="15"/>
        <v>8</v>
      </c>
      <c r="R50" s="213">
        <f t="shared" si="15"/>
        <v>8</v>
      </c>
    </row>
    <row r="51" spans="1:18" x14ac:dyDescent="0.3">
      <c r="A51" s="4" t="s">
        <v>179</v>
      </c>
      <c r="B51" s="186" t="s">
        <v>182</v>
      </c>
      <c r="C51" s="208">
        <v>1</v>
      </c>
      <c r="D51" s="212">
        <f t="shared" ref="D51:R51" si="16">+C51</f>
        <v>1</v>
      </c>
      <c r="E51" s="212">
        <f t="shared" si="16"/>
        <v>1</v>
      </c>
      <c r="F51" s="212">
        <f t="shared" si="16"/>
        <v>1</v>
      </c>
      <c r="G51" s="212">
        <f t="shared" si="16"/>
        <v>1</v>
      </c>
      <c r="H51" s="212">
        <f t="shared" si="16"/>
        <v>1</v>
      </c>
      <c r="I51" s="212">
        <f t="shared" si="16"/>
        <v>1</v>
      </c>
      <c r="J51" s="212">
        <f t="shared" si="16"/>
        <v>1</v>
      </c>
      <c r="K51" s="212">
        <f t="shared" si="16"/>
        <v>1</v>
      </c>
      <c r="L51" s="212">
        <f t="shared" si="16"/>
        <v>1</v>
      </c>
      <c r="M51" s="212">
        <f t="shared" si="16"/>
        <v>1</v>
      </c>
      <c r="N51" s="212">
        <f t="shared" si="16"/>
        <v>1</v>
      </c>
      <c r="O51" s="212">
        <f t="shared" si="16"/>
        <v>1</v>
      </c>
      <c r="P51" s="212">
        <f t="shared" si="16"/>
        <v>1</v>
      </c>
      <c r="Q51" s="212">
        <f t="shared" si="16"/>
        <v>1</v>
      </c>
      <c r="R51" s="213">
        <f t="shared" si="16"/>
        <v>1</v>
      </c>
    </row>
    <row r="52" spans="1:18" x14ac:dyDescent="0.3">
      <c r="A52" s="4" t="s">
        <v>179</v>
      </c>
      <c r="B52" s="186" t="s">
        <v>183</v>
      </c>
      <c r="C52" s="208">
        <v>7</v>
      </c>
      <c r="D52" s="212">
        <f t="shared" ref="D52:R52" si="17">+C52</f>
        <v>7</v>
      </c>
      <c r="E52" s="212">
        <f t="shared" si="17"/>
        <v>7</v>
      </c>
      <c r="F52" s="212">
        <f t="shared" si="17"/>
        <v>7</v>
      </c>
      <c r="G52" s="212">
        <f t="shared" si="17"/>
        <v>7</v>
      </c>
      <c r="H52" s="212">
        <f t="shared" si="17"/>
        <v>7</v>
      </c>
      <c r="I52" s="212">
        <f t="shared" si="17"/>
        <v>7</v>
      </c>
      <c r="J52" s="212">
        <f t="shared" si="17"/>
        <v>7</v>
      </c>
      <c r="K52" s="212">
        <f t="shared" si="17"/>
        <v>7</v>
      </c>
      <c r="L52" s="212">
        <f t="shared" si="17"/>
        <v>7</v>
      </c>
      <c r="M52" s="212">
        <f t="shared" si="17"/>
        <v>7</v>
      </c>
      <c r="N52" s="212">
        <f t="shared" si="17"/>
        <v>7</v>
      </c>
      <c r="O52" s="212">
        <f t="shared" si="17"/>
        <v>7</v>
      </c>
      <c r="P52" s="212">
        <f t="shared" si="17"/>
        <v>7</v>
      </c>
      <c r="Q52" s="212">
        <f t="shared" si="17"/>
        <v>7</v>
      </c>
      <c r="R52" s="213">
        <f t="shared" si="17"/>
        <v>7</v>
      </c>
    </row>
    <row r="53" spans="1:18" x14ac:dyDescent="0.3">
      <c r="A53" s="4" t="s">
        <v>179</v>
      </c>
      <c r="B53" s="186" t="s">
        <v>184</v>
      </c>
      <c r="C53" s="208">
        <v>21</v>
      </c>
      <c r="D53" s="212">
        <f t="shared" ref="D53:R53" si="18">+C53</f>
        <v>21</v>
      </c>
      <c r="E53" s="212">
        <f t="shared" si="18"/>
        <v>21</v>
      </c>
      <c r="F53" s="212">
        <f t="shared" si="18"/>
        <v>21</v>
      </c>
      <c r="G53" s="212">
        <f t="shared" si="18"/>
        <v>21</v>
      </c>
      <c r="H53" s="212">
        <f t="shared" si="18"/>
        <v>21</v>
      </c>
      <c r="I53" s="212">
        <f t="shared" si="18"/>
        <v>21</v>
      </c>
      <c r="J53" s="212">
        <f t="shared" si="18"/>
        <v>21</v>
      </c>
      <c r="K53" s="212">
        <f t="shared" si="18"/>
        <v>21</v>
      </c>
      <c r="L53" s="212">
        <f t="shared" si="18"/>
        <v>21</v>
      </c>
      <c r="M53" s="212">
        <f t="shared" si="18"/>
        <v>21</v>
      </c>
      <c r="N53" s="212">
        <f t="shared" si="18"/>
        <v>21</v>
      </c>
      <c r="O53" s="212">
        <f t="shared" si="18"/>
        <v>21</v>
      </c>
      <c r="P53" s="212">
        <f t="shared" si="18"/>
        <v>21</v>
      </c>
      <c r="Q53" s="212">
        <f t="shared" si="18"/>
        <v>21</v>
      </c>
      <c r="R53" s="213">
        <f t="shared" si="18"/>
        <v>21</v>
      </c>
    </row>
    <row r="54" spans="1:18" x14ac:dyDescent="0.3">
      <c r="A54" s="4" t="s">
        <v>179</v>
      </c>
      <c r="B54" s="186" t="s">
        <v>185</v>
      </c>
      <c r="C54" s="208">
        <v>12</v>
      </c>
      <c r="D54" s="212">
        <f t="shared" ref="D54:R54" si="19">+C54</f>
        <v>12</v>
      </c>
      <c r="E54" s="212">
        <f t="shared" si="19"/>
        <v>12</v>
      </c>
      <c r="F54" s="212">
        <f t="shared" si="19"/>
        <v>12</v>
      </c>
      <c r="G54" s="212">
        <f t="shared" si="19"/>
        <v>12</v>
      </c>
      <c r="H54" s="212">
        <f t="shared" si="19"/>
        <v>12</v>
      </c>
      <c r="I54" s="212">
        <f t="shared" si="19"/>
        <v>12</v>
      </c>
      <c r="J54" s="212">
        <f t="shared" si="19"/>
        <v>12</v>
      </c>
      <c r="K54" s="212">
        <f t="shared" si="19"/>
        <v>12</v>
      </c>
      <c r="L54" s="212">
        <f t="shared" si="19"/>
        <v>12</v>
      </c>
      <c r="M54" s="212">
        <f t="shared" si="19"/>
        <v>12</v>
      </c>
      <c r="N54" s="212">
        <f t="shared" si="19"/>
        <v>12</v>
      </c>
      <c r="O54" s="212">
        <f t="shared" si="19"/>
        <v>12</v>
      </c>
      <c r="P54" s="212">
        <f t="shared" si="19"/>
        <v>12</v>
      </c>
      <c r="Q54" s="212">
        <f t="shared" si="19"/>
        <v>12</v>
      </c>
      <c r="R54" s="213">
        <f t="shared" si="19"/>
        <v>12</v>
      </c>
    </row>
    <row r="55" spans="1:18" x14ac:dyDescent="0.3">
      <c r="A55" s="4" t="s">
        <v>179</v>
      </c>
      <c r="B55" s="186" t="s">
        <v>186</v>
      </c>
      <c r="C55" s="208">
        <v>2</v>
      </c>
      <c r="D55" s="212">
        <f t="shared" ref="D55:R55" si="20">+C55</f>
        <v>2</v>
      </c>
      <c r="E55" s="212">
        <f t="shared" si="20"/>
        <v>2</v>
      </c>
      <c r="F55" s="212">
        <f t="shared" si="20"/>
        <v>2</v>
      </c>
      <c r="G55" s="212">
        <f t="shared" si="20"/>
        <v>2</v>
      </c>
      <c r="H55" s="212">
        <f t="shared" si="20"/>
        <v>2</v>
      </c>
      <c r="I55" s="212">
        <f t="shared" si="20"/>
        <v>2</v>
      </c>
      <c r="J55" s="212">
        <f t="shared" si="20"/>
        <v>2</v>
      </c>
      <c r="K55" s="212">
        <f t="shared" si="20"/>
        <v>2</v>
      </c>
      <c r="L55" s="212">
        <f t="shared" si="20"/>
        <v>2</v>
      </c>
      <c r="M55" s="212">
        <f t="shared" si="20"/>
        <v>2</v>
      </c>
      <c r="N55" s="212">
        <f t="shared" si="20"/>
        <v>2</v>
      </c>
      <c r="O55" s="212">
        <f t="shared" si="20"/>
        <v>2</v>
      </c>
      <c r="P55" s="212">
        <f t="shared" si="20"/>
        <v>2</v>
      </c>
      <c r="Q55" s="212">
        <f t="shared" si="20"/>
        <v>2</v>
      </c>
      <c r="R55" s="213">
        <f t="shared" si="20"/>
        <v>2</v>
      </c>
    </row>
    <row r="56" spans="1:18" x14ac:dyDescent="0.3">
      <c r="A56" s="4" t="s">
        <v>179</v>
      </c>
      <c r="B56" s="186" t="s">
        <v>187</v>
      </c>
      <c r="C56" s="208">
        <v>4</v>
      </c>
      <c r="D56" s="212">
        <f t="shared" ref="D56:R56" si="21">+C56</f>
        <v>4</v>
      </c>
      <c r="E56" s="212">
        <f t="shared" si="21"/>
        <v>4</v>
      </c>
      <c r="F56" s="212">
        <f t="shared" si="21"/>
        <v>4</v>
      </c>
      <c r="G56" s="212">
        <f t="shared" si="21"/>
        <v>4</v>
      </c>
      <c r="H56" s="212">
        <f t="shared" si="21"/>
        <v>4</v>
      </c>
      <c r="I56" s="212">
        <f t="shared" si="21"/>
        <v>4</v>
      </c>
      <c r="J56" s="212">
        <f t="shared" si="21"/>
        <v>4</v>
      </c>
      <c r="K56" s="212">
        <f t="shared" si="21"/>
        <v>4</v>
      </c>
      <c r="L56" s="212">
        <f t="shared" si="21"/>
        <v>4</v>
      </c>
      <c r="M56" s="212">
        <f t="shared" si="21"/>
        <v>4</v>
      </c>
      <c r="N56" s="212">
        <f t="shared" si="21"/>
        <v>4</v>
      </c>
      <c r="O56" s="212">
        <f t="shared" si="21"/>
        <v>4</v>
      </c>
      <c r="P56" s="212">
        <f t="shared" si="21"/>
        <v>4</v>
      </c>
      <c r="Q56" s="212">
        <f t="shared" si="21"/>
        <v>4</v>
      </c>
      <c r="R56" s="213">
        <f t="shared" si="21"/>
        <v>4</v>
      </c>
    </row>
    <row r="57" spans="1:18" x14ac:dyDescent="0.3">
      <c r="A57" s="4" t="s">
        <v>179</v>
      </c>
      <c r="B57" s="186" t="s">
        <v>188</v>
      </c>
      <c r="C57" s="208">
        <v>5</v>
      </c>
      <c r="D57" s="212">
        <f t="shared" ref="D57:R57" si="22">+C57</f>
        <v>5</v>
      </c>
      <c r="E57" s="212">
        <f t="shared" si="22"/>
        <v>5</v>
      </c>
      <c r="F57" s="212">
        <f t="shared" si="22"/>
        <v>5</v>
      </c>
      <c r="G57" s="212">
        <f t="shared" si="22"/>
        <v>5</v>
      </c>
      <c r="H57" s="212">
        <f t="shared" si="22"/>
        <v>5</v>
      </c>
      <c r="I57" s="212">
        <f t="shared" si="22"/>
        <v>5</v>
      </c>
      <c r="J57" s="212">
        <f t="shared" si="22"/>
        <v>5</v>
      </c>
      <c r="K57" s="212">
        <f t="shared" si="22"/>
        <v>5</v>
      </c>
      <c r="L57" s="212">
        <f t="shared" si="22"/>
        <v>5</v>
      </c>
      <c r="M57" s="212">
        <f t="shared" si="22"/>
        <v>5</v>
      </c>
      <c r="N57" s="212">
        <f t="shared" si="22"/>
        <v>5</v>
      </c>
      <c r="O57" s="212">
        <f t="shared" si="22"/>
        <v>5</v>
      </c>
      <c r="P57" s="212">
        <f t="shared" si="22"/>
        <v>5</v>
      </c>
      <c r="Q57" s="212">
        <f t="shared" si="22"/>
        <v>5</v>
      </c>
      <c r="R57" s="213">
        <f t="shared" si="22"/>
        <v>5</v>
      </c>
    </row>
    <row r="58" spans="1:18" x14ac:dyDescent="0.3">
      <c r="A58" s="4" t="s">
        <v>179</v>
      </c>
      <c r="B58" s="186" t="s">
        <v>189</v>
      </c>
      <c r="C58" s="208">
        <v>3</v>
      </c>
      <c r="D58" s="212">
        <f t="shared" ref="D58:R58" si="23">+C58</f>
        <v>3</v>
      </c>
      <c r="E58" s="212">
        <f t="shared" si="23"/>
        <v>3</v>
      </c>
      <c r="F58" s="212">
        <f t="shared" si="23"/>
        <v>3</v>
      </c>
      <c r="G58" s="212">
        <f t="shared" si="23"/>
        <v>3</v>
      </c>
      <c r="H58" s="212">
        <f t="shared" si="23"/>
        <v>3</v>
      </c>
      <c r="I58" s="212">
        <f t="shared" si="23"/>
        <v>3</v>
      </c>
      <c r="J58" s="212">
        <f t="shared" si="23"/>
        <v>3</v>
      </c>
      <c r="K58" s="212">
        <f t="shared" si="23"/>
        <v>3</v>
      </c>
      <c r="L58" s="212">
        <f t="shared" si="23"/>
        <v>3</v>
      </c>
      <c r="M58" s="212">
        <f t="shared" si="23"/>
        <v>3</v>
      </c>
      <c r="N58" s="212">
        <f t="shared" si="23"/>
        <v>3</v>
      </c>
      <c r="O58" s="212">
        <f t="shared" si="23"/>
        <v>3</v>
      </c>
      <c r="P58" s="212">
        <f t="shared" si="23"/>
        <v>3</v>
      </c>
      <c r="Q58" s="212">
        <f t="shared" si="23"/>
        <v>3</v>
      </c>
      <c r="R58" s="213">
        <f t="shared" si="23"/>
        <v>3</v>
      </c>
    </row>
    <row r="59" spans="1:18" x14ac:dyDescent="0.3">
      <c r="A59" s="4" t="s">
        <v>179</v>
      </c>
      <c r="B59" s="186" t="s">
        <v>190</v>
      </c>
      <c r="C59" s="208">
        <v>2</v>
      </c>
      <c r="D59" s="212">
        <f t="shared" ref="D59:R59" si="24">+C59</f>
        <v>2</v>
      </c>
      <c r="E59" s="212">
        <f t="shared" si="24"/>
        <v>2</v>
      </c>
      <c r="F59" s="212">
        <f t="shared" si="24"/>
        <v>2</v>
      </c>
      <c r="G59" s="212">
        <f t="shared" si="24"/>
        <v>2</v>
      </c>
      <c r="H59" s="212">
        <f t="shared" si="24"/>
        <v>2</v>
      </c>
      <c r="I59" s="212">
        <f t="shared" si="24"/>
        <v>2</v>
      </c>
      <c r="J59" s="212">
        <f t="shared" si="24"/>
        <v>2</v>
      </c>
      <c r="K59" s="212">
        <f t="shared" si="24"/>
        <v>2</v>
      </c>
      <c r="L59" s="212">
        <f t="shared" si="24"/>
        <v>2</v>
      </c>
      <c r="M59" s="212">
        <f t="shared" si="24"/>
        <v>2</v>
      </c>
      <c r="N59" s="212">
        <f t="shared" si="24"/>
        <v>2</v>
      </c>
      <c r="O59" s="212">
        <f t="shared" si="24"/>
        <v>2</v>
      </c>
      <c r="P59" s="212">
        <f t="shared" si="24"/>
        <v>2</v>
      </c>
      <c r="Q59" s="212">
        <f t="shared" si="24"/>
        <v>2</v>
      </c>
      <c r="R59" s="213">
        <f t="shared" si="24"/>
        <v>2</v>
      </c>
    </row>
    <row r="60" spans="1:18" x14ac:dyDescent="0.3">
      <c r="A60" s="4" t="s">
        <v>179</v>
      </c>
      <c r="B60" s="186" t="s">
        <v>191</v>
      </c>
      <c r="C60" s="208">
        <v>3</v>
      </c>
      <c r="D60" s="212">
        <f t="shared" ref="D60:R60" si="25">+C60</f>
        <v>3</v>
      </c>
      <c r="E60" s="212">
        <f t="shared" si="25"/>
        <v>3</v>
      </c>
      <c r="F60" s="212">
        <f t="shared" si="25"/>
        <v>3</v>
      </c>
      <c r="G60" s="212">
        <f t="shared" si="25"/>
        <v>3</v>
      </c>
      <c r="H60" s="212">
        <f t="shared" si="25"/>
        <v>3</v>
      </c>
      <c r="I60" s="212">
        <f t="shared" si="25"/>
        <v>3</v>
      </c>
      <c r="J60" s="212">
        <f t="shared" si="25"/>
        <v>3</v>
      </c>
      <c r="K60" s="212">
        <f t="shared" si="25"/>
        <v>3</v>
      </c>
      <c r="L60" s="212">
        <f t="shared" si="25"/>
        <v>3</v>
      </c>
      <c r="M60" s="212">
        <f t="shared" si="25"/>
        <v>3</v>
      </c>
      <c r="N60" s="212">
        <f t="shared" si="25"/>
        <v>3</v>
      </c>
      <c r="O60" s="212">
        <f t="shared" si="25"/>
        <v>3</v>
      </c>
      <c r="P60" s="212">
        <f t="shared" si="25"/>
        <v>3</v>
      </c>
      <c r="Q60" s="212">
        <f t="shared" si="25"/>
        <v>3</v>
      </c>
      <c r="R60" s="213">
        <f t="shared" si="25"/>
        <v>3</v>
      </c>
    </row>
    <row r="61" spans="1:18" x14ac:dyDescent="0.3">
      <c r="A61" s="4" t="s">
        <v>192</v>
      </c>
      <c r="B61" s="187" t="s">
        <v>193</v>
      </c>
      <c r="C61" s="206">
        <f>+PyG!C294</f>
        <v>0</v>
      </c>
      <c r="D61" s="214">
        <f>+PyG!D294</f>
        <v>0</v>
      </c>
      <c r="E61" s="214">
        <f>+PyG!E294</f>
        <v>0</v>
      </c>
      <c r="F61" s="215">
        <f>+PyG!F294</f>
        <v>6369.0714285714266</v>
      </c>
      <c r="G61" s="215">
        <f>+PyG!G294</f>
        <v>8843.210714285713</v>
      </c>
      <c r="H61" s="215">
        <f>+PyG!H294</f>
        <v>11054.013392857141</v>
      </c>
      <c r="I61" s="215">
        <f>+PyG!I294</f>
        <v>13021.627776785712</v>
      </c>
      <c r="J61" s="215">
        <f>+PyG!J294</f>
        <v>19952.494174107138</v>
      </c>
      <c r="K61" s="215">
        <f>+PyG!K294</f>
        <v>19935.706465401781</v>
      </c>
      <c r="L61" s="215">
        <f>+PyG!L294</f>
        <v>19368.980442131691</v>
      </c>
      <c r="M61" s="215">
        <f>+PyG!M294</f>
        <v>18809.087755025106</v>
      </c>
      <c r="N61" s="215">
        <f>+PyG!N294</f>
        <v>18256.761885523851</v>
      </c>
      <c r="O61" s="215">
        <f>+PyG!O294</f>
        <v>18511.54375031641</v>
      </c>
      <c r="P61" s="215">
        <f>+PyG!P294</f>
        <v>17585.966562800586</v>
      </c>
      <c r="Q61" s="215">
        <f>+PyG!Q294</f>
        <v>16706.668234660556</v>
      </c>
      <c r="R61" s="216">
        <f>+PyG!R294</f>
        <v>15344.446316397754</v>
      </c>
    </row>
    <row r="62" spans="1:18" x14ac:dyDescent="0.3">
      <c r="B62" s="184"/>
      <c r="C62" s="58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</row>
    <row r="63" spans="1:18" x14ac:dyDescent="0.3">
      <c r="B63" s="139" t="s">
        <v>194</v>
      </c>
      <c r="C63" s="163" t="s">
        <v>178</v>
      </c>
      <c r="D63" s="217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12"/>
    </row>
    <row r="64" spans="1:18" x14ac:dyDescent="0.3">
      <c r="A64" s="4" t="s">
        <v>195</v>
      </c>
      <c r="B64" s="185" t="s">
        <v>196</v>
      </c>
      <c r="C64" s="207">
        <v>260</v>
      </c>
      <c r="D64" s="210">
        <f t="shared" ref="D64:R64" si="26">+C64</f>
        <v>260</v>
      </c>
      <c r="E64" s="210">
        <f t="shared" si="26"/>
        <v>260</v>
      </c>
      <c r="F64" s="210">
        <f t="shared" si="26"/>
        <v>260</v>
      </c>
      <c r="G64" s="210">
        <f t="shared" si="26"/>
        <v>260</v>
      </c>
      <c r="H64" s="210">
        <f t="shared" si="26"/>
        <v>260</v>
      </c>
      <c r="I64" s="210">
        <f t="shared" si="26"/>
        <v>260</v>
      </c>
      <c r="J64" s="210">
        <f t="shared" si="26"/>
        <v>260</v>
      </c>
      <c r="K64" s="210">
        <f t="shared" si="26"/>
        <v>260</v>
      </c>
      <c r="L64" s="210">
        <f t="shared" si="26"/>
        <v>260</v>
      </c>
      <c r="M64" s="210">
        <f t="shared" si="26"/>
        <v>260</v>
      </c>
      <c r="N64" s="210">
        <f t="shared" si="26"/>
        <v>260</v>
      </c>
      <c r="O64" s="210">
        <f t="shared" si="26"/>
        <v>260</v>
      </c>
      <c r="P64" s="210">
        <f t="shared" si="26"/>
        <v>260</v>
      </c>
      <c r="Q64" s="210">
        <f t="shared" si="26"/>
        <v>260</v>
      </c>
      <c r="R64" s="211">
        <f t="shared" si="26"/>
        <v>260</v>
      </c>
    </row>
    <row r="65" spans="1:18" x14ac:dyDescent="0.3">
      <c r="A65" s="4" t="s">
        <v>197</v>
      </c>
      <c r="B65" s="186" t="s">
        <v>198</v>
      </c>
      <c r="C65" s="208">
        <v>10</v>
      </c>
      <c r="D65" s="212">
        <f t="shared" ref="D65:R65" si="27">+C65</f>
        <v>10</v>
      </c>
      <c r="E65" s="212">
        <f t="shared" si="27"/>
        <v>10</v>
      </c>
      <c r="F65" s="212">
        <f t="shared" si="27"/>
        <v>10</v>
      </c>
      <c r="G65" s="212">
        <f t="shared" si="27"/>
        <v>10</v>
      </c>
      <c r="H65" s="212">
        <f t="shared" si="27"/>
        <v>10</v>
      </c>
      <c r="I65" s="212">
        <f t="shared" si="27"/>
        <v>10</v>
      </c>
      <c r="J65" s="212">
        <f t="shared" si="27"/>
        <v>10</v>
      </c>
      <c r="K65" s="212">
        <f t="shared" si="27"/>
        <v>10</v>
      </c>
      <c r="L65" s="212">
        <f t="shared" si="27"/>
        <v>10</v>
      </c>
      <c r="M65" s="212">
        <f t="shared" si="27"/>
        <v>10</v>
      </c>
      <c r="N65" s="212">
        <f t="shared" si="27"/>
        <v>10</v>
      </c>
      <c r="O65" s="212">
        <f t="shared" si="27"/>
        <v>10</v>
      </c>
      <c r="P65" s="212">
        <f t="shared" si="27"/>
        <v>10</v>
      </c>
      <c r="Q65" s="212">
        <f t="shared" si="27"/>
        <v>10</v>
      </c>
      <c r="R65" s="213">
        <f t="shared" si="27"/>
        <v>10</v>
      </c>
    </row>
    <row r="66" spans="1:18" x14ac:dyDescent="0.3">
      <c r="A66" s="4" t="s">
        <v>197</v>
      </c>
      <c r="B66" s="186" t="s">
        <v>199</v>
      </c>
      <c r="C66" s="208">
        <v>50</v>
      </c>
      <c r="D66" s="212">
        <f t="shared" ref="D66:R66" si="28">+C66</f>
        <v>50</v>
      </c>
      <c r="E66" s="212">
        <f t="shared" si="28"/>
        <v>50</v>
      </c>
      <c r="F66" s="212">
        <f t="shared" si="28"/>
        <v>50</v>
      </c>
      <c r="G66" s="212">
        <f t="shared" si="28"/>
        <v>50</v>
      </c>
      <c r="H66" s="212">
        <f t="shared" si="28"/>
        <v>50</v>
      </c>
      <c r="I66" s="212">
        <f t="shared" si="28"/>
        <v>50</v>
      </c>
      <c r="J66" s="212">
        <f t="shared" si="28"/>
        <v>50</v>
      </c>
      <c r="K66" s="212">
        <f t="shared" si="28"/>
        <v>50</v>
      </c>
      <c r="L66" s="212">
        <f t="shared" si="28"/>
        <v>50</v>
      </c>
      <c r="M66" s="212">
        <f t="shared" si="28"/>
        <v>50</v>
      </c>
      <c r="N66" s="212">
        <f t="shared" si="28"/>
        <v>50</v>
      </c>
      <c r="O66" s="212">
        <f t="shared" si="28"/>
        <v>50</v>
      </c>
      <c r="P66" s="212">
        <f t="shared" si="28"/>
        <v>50</v>
      </c>
      <c r="Q66" s="212">
        <f t="shared" si="28"/>
        <v>50</v>
      </c>
      <c r="R66" s="213">
        <f t="shared" si="28"/>
        <v>50</v>
      </c>
    </row>
    <row r="67" spans="1:18" x14ac:dyDescent="0.3">
      <c r="A67" s="4" t="s">
        <v>197</v>
      </c>
      <c r="B67" s="186" t="s">
        <v>200</v>
      </c>
      <c r="C67" s="208">
        <v>10</v>
      </c>
      <c r="D67" s="212">
        <f t="shared" ref="D67:R67" si="29">+C67</f>
        <v>10</v>
      </c>
      <c r="E67" s="212">
        <f t="shared" si="29"/>
        <v>10</v>
      </c>
      <c r="F67" s="212">
        <f t="shared" si="29"/>
        <v>10</v>
      </c>
      <c r="G67" s="212">
        <f t="shared" si="29"/>
        <v>10</v>
      </c>
      <c r="H67" s="212">
        <f t="shared" si="29"/>
        <v>10</v>
      </c>
      <c r="I67" s="212">
        <f t="shared" si="29"/>
        <v>10</v>
      </c>
      <c r="J67" s="212">
        <f t="shared" si="29"/>
        <v>10</v>
      </c>
      <c r="K67" s="212">
        <f t="shared" si="29"/>
        <v>10</v>
      </c>
      <c r="L67" s="212">
        <f t="shared" si="29"/>
        <v>10</v>
      </c>
      <c r="M67" s="212">
        <f t="shared" si="29"/>
        <v>10</v>
      </c>
      <c r="N67" s="212">
        <f t="shared" si="29"/>
        <v>10</v>
      </c>
      <c r="O67" s="212">
        <f t="shared" si="29"/>
        <v>10</v>
      </c>
      <c r="P67" s="212">
        <f t="shared" si="29"/>
        <v>10</v>
      </c>
      <c r="Q67" s="212">
        <f t="shared" si="29"/>
        <v>10</v>
      </c>
      <c r="R67" s="213">
        <f t="shared" si="29"/>
        <v>10</v>
      </c>
    </row>
    <row r="68" spans="1:18" x14ac:dyDescent="0.3">
      <c r="A68" s="4" t="s">
        <v>201</v>
      </c>
      <c r="B68" s="186" t="s">
        <v>202</v>
      </c>
      <c r="C68" s="208">
        <v>6</v>
      </c>
      <c r="D68" s="212">
        <f t="shared" ref="D68:R68" si="30">+C68</f>
        <v>6</v>
      </c>
      <c r="E68" s="212">
        <f t="shared" si="30"/>
        <v>6</v>
      </c>
      <c r="F68" s="212">
        <f t="shared" si="30"/>
        <v>6</v>
      </c>
      <c r="G68" s="212">
        <f t="shared" si="30"/>
        <v>6</v>
      </c>
      <c r="H68" s="212">
        <f t="shared" si="30"/>
        <v>6</v>
      </c>
      <c r="I68" s="212">
        <f t="shared" si="30"/>
        <v>6</v>
      </c>
      <c r="J68" s="212">
        <f t="shared" si="30"/>
        <v>6</v>
      </c>
      <c r="K68" s="212">
        <f t="shared" si="30"/>
        <v>6</v>
      </c>
      <c r="L68" s="212">
        <f t="shared" si="30"/>
        <v>6</v>
      </c>
      <c r="M68" s="212">
        <f t="shared" si="30"/>
        <v>6</v>
      </c>
      <c r="N68" s="212">
        <f t="shared" si="30"/>
        <v>6</v>
      </c>
      <c r="O68" s="212">
        <f t="shared" si="30"/>
        <v>6</v>
      </c>
      <c r="P68" s="212">
        <f t="shared" si="30"/>
        <v>6</v>
      </c>
      <c r="Q68" s="212">
        <f t="shared" si="30"/>
        <v>6</v>
      </c>
      <c r="R68" s="213">
        <f t="shared" si="30"/>
        <v>6</v>
      </c>
    </row>
    <row r="69" spans="1:18" x14ac:dyDescent="0.3">
      <c r="A69" s="4" t="s">
        <v>201</v>
      </c>
      <c r="B69" s="186" t="s">
        <v>203</v>
      </c>
      <c r="C69" s="208">
        <v>4</v>
      </c>
      <c r="D69" s="212">
        <f t="shared" ref="D69:R69" si="31">+C69</f>
        <v>4</v>
      </c>
      <c r="E69" s="212">
        <f t="shared" si="31"/>
        <v>4</v>
      </c>
      <c r="F69" s="212">
        <f t="shared" si="31"/>
        <v>4</v>
      </c>
      <c r="G69" s="212">
        <f t="shared" si="31"/>
        <v>4</v>
      </c>
      <c r="H69" s="212">
        <f t="shared" si="31"/>
        <v>4</v>
      </c>
      <c r="I69" s="212">
        <f t="shared" si="31"/>
        <v>4</v>
      </c>
      <c r="J69" s="212">
        <f t="shared" si="31"/>
        <v>4</v>
      </c>
      <c r="K69" s="212">
        <f t="shared" si="31"/>
        <v>4</v>
      </c>
      <c r="L69" s="212">
        <f t="shared" si="31"/>
        <v>4</v>
      </c>
      <c r="M69" s="212">
        <f t="shared" si="31"/>
        <v>4</v>
      </c>
      <c r="N69" s="212">
        <f t="shared" si="31"/>
        <v>4</v>
      </c>
      <c r="O69" s="212">
        <f t="shared" si="31"/>
        <v>4</v>
      </c>
      <c r="P69" s="212">
        <f t="shared" si="31"/>
        <v>4</v>
      </c>
      <c r="Q69" s="212">
        <f t="shared" si="31"/>
        <v>4</v>
      </c>
      <c r="R69" s="213">
        <f t="shared" si="31"/>
        <v>4</v>
      </c>
    </row>
    <row r="70" spans="1:18" x14ac:dyDescent="0.3">
      <c r="A70" s="4" t="s">
        <v>204</v>
      </c>
      <c r="B70" s="186" t="s">
        <v>205</v>
      </c>
      <c r="C70" s="208">
        <v>1</v>
      </c>
      <c r="D70" s="212">
        <f t="shared" ref="D70:R70" si="32">+C70</f>
        <v>1</v>
      </c>
      <c r="E70" s="212">
        <f t="shared" si="32"/>
        <v>1</v>
      </c>
      <c r="F70" s="212">
        <f t="shared" si="32"/>
        <v>1</v>
      </c>
      <c r="G70" s="212">
        <f t="shared" si="32"/>
        <v>1</v>
      </c>
      <c r="H70" s="212">
        <f t="shared" si="32"/>
        <v>1</v>
      </c>
      <c r="I70" s="212">
        <f t="shared" si="32"/>
        <v>1</v>
      </c>
      <c r="J70" s="212">
        <f t="shared" si="32"/>
        <v>1</v>
      </c>
      <c r="K70" s="212">
        <f t="shared" si="32"/>
        <v>1</v>
      </c>
      <c r="L70" s="212">
        <f t="shared" si="32"/>
        <v>1</v>
      </c>
      <c r="M70" s="212">
        <f t="shared" si="32"/>
        <v>1</v>
      </c>
      <c r="N70" s="212">
        <f t="shared" si="32"/>
        <v>1</v>
      </c>
      <c r="O70" s="212">
        <f t="shared" si="32"/>
        <v>1</v>
      </c>
      <c r="P70" s="212">
        <f t="shared" si="32"/>
        <v>1</v>
      </c>
      <c r="Q70" s="212">
        <f t="shared" si="32"/>
        <v>1</v>
      </c>
      <c r="R70" s="213">
        <f t="shared" si="32"/>
        <v>1</v>
      </c>
    </row>
    <row r="71" spans="1:18" x14ac:dyDescent="0.3">
      <c r="A71" s="4" t="s">
        <v>204</v>
      </c>
      <c r="B71" s="186" t="s">
        <v>206</v>
      </c>
      <c r="C71" s="208">
        <v>1</v>
      </c>
      <c r="D71" s="212">
        <f t="shared" ref="D71:R71" si="33">+C71</f>
        <v>1</v>
      </c>
      <c r="E71" s="212">
        <f t="shared" si="33"/>
        <v>1</v>
      </c>
      <c r="F71" s="212">
        <f t="shared" si="33"/>
        <v>1</v>
      </c>
      <c r="G71" s="212">
        <f t="shared" si="33"/>
        <v>1</v>
      </c>
      <c r="H71" s="212">
        <f t="shared" si="33"/>
        <v>1</v>
      </c>
      <c r="I71" s="212">
        <f t="shared" si="33"/>
        <v>1</v>
      </c>
      <c r="J71" s="212">
        <f t="shared" si="33"/>
        <v>1</v>
      </c>
      <c r="K71" s="212">
        <f t="shared" si="33"/>
        <v>1</v>
      </c>
      <c r="L71" s="212">
        <f t="shared" si="33"/>
        <v>1</v>
      </c>
      <c r="M71" s="212">
        <f t="shared" si="33"/>
        <v>1</v>
      </c>
      <c r="N71" s="212">
        <f t="shared" si="33"/>
        <v>1</v>
      </c>
      <c r="O71" s="212">
        <f t="shared" si="33"/>
        <v>1</v>
      </c>
      <c r="P71" s="212">
        <f t="shared" si="33"/>
        <v>1</v>
      </c>
      <c r="Q71" s="212">
        <f t="shared" si="33"/>
        <v>1</v>
      </c>
      <c r="R71" s="213">
        <f t="shared" si="33"/>
        <v>1</v>
      </c>
    </row>
    <row r="72" spans="1:18" x14ac:dyDescent="0.3">
      <c r="A72" s="4" t="s">
        <v>201</v>
      </c>
      <c r="B72" s="186" t="s">
        <v>207</v>
      </c>
      <c r="C72" s="208">
        <v>2</v>
      </c>
      <c r="D72" s="212">
        <f t="shared" ref="D72:R72" si="34">+C72</f>
        <v>2</v>
      </c>
      <c r="E72" s="212">
        <f t="shared" si="34"/>
        <v>2</v>
      </c>
      <c r="F72" s="212">
        <f t="shared" si="34"/>
        <v>2</v>
      </c>
      <c r="G72" s="212">
        <f t="shared" si="34"/>
        <v>2</v>
      </c>
      <c r="H72" s="212">
        <f t="shared" si="34"/>
        <v>2</v>
      </c>
      <c r="I72" s="212">
        <f t="shared" si="34"/>
        <v>2</v>
      </c>
      <c r="J72" s="212">
        <f t="shared" si="34"/>
        <v>2</v>
      </c>
      <c r="K72" s="212">
        <f t="shared" si="34"/>
        <v>2</v>
      </c>
      <c r="L72" s="212">
        <f t="shared" si="34"/>
        <v>2</v>
      </c>
      <c r="M72" s="212">
        <f t="shared" si="34"/>
        <v>2</v>
      </c>
      <c r="N72" s="212">
        <f t="shared" si="34"/>
        <v>2</v>
      </c>
      <c r="O72" s="212">
        <f t="shared" si="34"/>
        <v>2</v>
      </c>
      <c r="P72" s="212">
        <f t="shared" si="34"/>
        <v>2</v>
      </c>
      <c r="Q72" s="212">
        <f t="shared" si="34"/>
        <v>2</v>
      </c>
      <c r="R72" s="213">
        <f t="shared" si="34"/>
        <v>2</v>
      </c>
    </row>
    <row r="73" spans="1:18" x14ac:dyDescent="0.3">
      <c r="A73" s="4" t="s">
        <v>208</v>
      </c>
      <c r="B73" s="186" t="s">
        <v>209</v>
      </c>
      <c r="C73" s="208">
        <v>12</v>
      </c>
      <c r="D73" s="212">
        <f t="shared" ref="D73:R73" si="35">+C73</f>
        <v>12</v>
      </c>
      <c r="E73" s="212">
        <f t="shared" si="35"/>
        <v>12</v>
      </c>
      <c r="F73" s="212">
        <f t="shared" si="35"/>
        <v>12</v>
      </c>
      <c r="G73" s="212">
        <f t="shared" si="35"/>
        <v>12</v>
      </c>
      <c r="H73" s="212">
        <f t="shared" si="35"/>
        <v>12</v>
      </c>
      <c r="I73" s="212">
        <f t="shared" si="35"/>
        <v>12</v>
      </c>
      <c r="J73" s="212">
        <f t="shared" si="35"/>
        <v>12</v>
      </c>
      <c r="K73" s="212">
        <f t="shared" si="35"/>
        <v>12</v>
      </c>
      <c r="L73" s="212">
        <f t="shared" si="35"/>
        <v>12</v>
      </c>
      <c r="M73" s="212">
        <f t="shared" si="35"/>
        <v>12</v>
      </c>
      <c r="N73" s="212">
        <f t="shared" si="35"/>
        <v>12</v>
      </c>
      <c r="O73" s="212">
        <f t="shared" si="35"/>
        <v>12</v>
      </c>
      <c r="P73" s="212">
        <f t="shared" si="35"/>
        <v>12</v>
      </c>
      <c r="Q73" s="212">
        <f t="shared" si="35"/>
        <v>12</v>
      </c>
      <c r="R73" s="213">
        <f t="shared" si="35"/>
        <v>12</v>
      </c>
    </row>
    <row r="74" spans="1:18" x14ac:dyDescent="0.3">
      <c r="A74" s="4" t="s">
        <v>210</v>
      </c>
      <c r="B74" s="186" t="s">
        <v>211</v>
      </c>
      <c r="C74" s="220">
        <f t="shared" ref="C74:R74" si="36">+C61</f>
        <v>0</v>
      </c>
      <c r="D74" s="222">
        <f t="shared" si="36"/>
        <v>0</v>
      </c>
      <c r="E74" s="222">
        <f t="shared" si="36"/>
        <v>0</v>
      </c>
      <c r="F74" s="223">
        <f t="shared" si="36"/>
        <v>6369.0714285714266</v>
      </c>
      <c r="G74" s="223">
        <f t="shared" si="36"/>
        <v>8843.210714285713</v>
      </c>
      <c r="H74" s="223">
        <f t="shared" si="36"/>
        <v>11054.013392857141</v>
      </c>
      <c r="I74" s="223">
        <f t="shared" si="36"/>
        <v>13021.627776785712</v>
      </c>
      <c r="J74" s="223">
        <f t="shared" si="36"/>
        <v>19952.494174107138</v>
      </c>
      <c r="K74" s="223">
        <f t="shared" si="36"/>
        <v>19935.706465401781</v>
      </c>
      <c r="L74" s="223">
        <f t="shared" si="36"/>
        <v>19368.980442131691</v>
      </c>
      <c r="M74" s="223">
        <f t="shared" si="36"/>
        <v>18809.087755025106</v>
      </c>
      <c r="N74" s="223">
        <f t="shared" si="36"/>
        <v>18256.761885523851</v>
      </c>
      <c r="O74" s="223">
        <f t="shared" si="36"/>
        <v>18511.54375031641</v>
      </c>
      <c r="P74" s="223">
        <f t="shared" si="36"/>
        <v>17585.966562800586</v>
      </c>
      <c r="Q74" s="223">
        <f t="shared" si="36"/>
        <v>16706.668234660556</v>
      </c>
      <c r="R74" s="224">
        <f t="shared" si="36"/>
        <v>15344.446316397754</v>
      </c>
    </row>
    <row r="75" spans="1:18" x14ac:dyDescent="0.3">
      <c r="A75" s="4" t="s">
        <v>212</v>
      </c>
      <c r="B75" s="186" t="s">
        <v>213</v>
      </c>
      <c r="C75" s="208">
        <v>0</v>
      </c>
      <c r="D75" s="212">
        <f t="shared" ref="D75:R75" si="37">+C75</f>
        <v>0</v>
      </c>
      <c r="E75" s="212">
        <f t="shared" si="37"/>
        <v>0</v>
      </c>
      <c r="F75" s="212">
        <f t="shared" si="37"/>
        <v>0</v>
      </c>
      <c r="G75" s="212">
        <f t="shared" si="37"/>
        <v>0</v>
      </c>
      <c r="H75" s="212">
        <f t="shared" si="37"/>
        <v>0</v>
      </c>
      <c r="I75" s="212">
        <f t="shared" si="37"/>
        <v>0</v>
      </c>
      <c r="J75" s="212">
        <f t="shared" si="37"/>
        <v>0</v>
      </c>
      <c r="K75" s="212">
        <f t="shared" si="37"/>
        <v>0</v>
      </c>
      <c r="L75" s="212">
        <f t="shared" si="37"/>
        <v>0</v>
      </c>
      <c r="M75" s="212">
        <f t="shared" si="37"/>
        <v>0</v>
      </c>
      <c r="N75" s="212">
        <f t="shared" si="37"/>
        <v>0</v>
      </c>
      <c r="O75" s="212">
        <f t="shared" si="37"/>
        <v>0</v>
      </c>
      <c r="P75" s="212">
        <f t="shared" si="37"/>
        <v>0</v>
      </c>
      <c r="Q75" s="212">
        <f t="shared" si="37"/>
        <v>0</v>
      </c>
      <c r="R75" s="213">
        <f t="shared" si="37"/>
        <v>0</v>
      </c>
    </row>
    <row r="76" spans="1:18" x14ac:dyDescent="0.3">
      <c r="A76" s="4" t="s">
        <v>210</v>
      </c>
      <c r="B76" s="187" t="s">
        <v>214</v>
      </c>
      <c r="C76" s="221">
        <v>1</v>
      </c>
      <c r="D76" s="218">
        <f t="shared" ref="D76:R76" si="38">+C76</f>
        <v>1</v>
      </c>
      <c r="E76" s="218">
        <f t="shared" si="38"/>
        <v>1</v>
      </c>
      <c r="F76" s="218">
        <f t="shared" si="38"/>
        <v>1</v>
      </c>
      <c r="G76" s="218">
        <f t="shared" si="38"/>
        <v>1</v>
      </c>
      <c r="H76" s="218">
        <f t="shared" si="38"/>
        <v>1</v>
      </c>
      <c r="I76" s="218">
        <f t="shared" si="38"/>
        <v>1</v>
      </c>
      <c r="J76" s="218">
        <f t="shared" si="38"/>
        <v>1</v>
      </c>
      <c r="K76" s="218">
        <f t="shared" si="38"/>
        <v>1</v>
      </c>
      <c r="L76" s="218">
        <f t="shared" si="38"/>
        <v>1</v>
      </c>
      <c r="M76" s="218">
        <f t="shared" si="38"/>
        <v>1</v>
      </c>
      <c r="N76" s="218">
        <f t="shared" si="38"/>
        <v>1</v>
      </c>
      <c r="O76" s="218">
        <f t="shared" si="38"/>
        <v>1</v>
      </c>
      <c r="P76" s="218">
        <f t="shared" si="38"/>
        <v>1</v>
      </c>
      <c r="Q76" s="218">
        <f t="shared" si="38"/>
        <v>1</v>
      </c>
      <c r="R76" s="219">
        <f t="shared" si="38"/>
        <v>1</v>
      </c>
    </row>
    <row r="77" spans="1:18" x14ac:dyDescent="0.3">
      <c r="B77" s="183"/>
      <c r="C77" s="58"/>
      <c r="D77" s="11"/>
      <c r="E77" s="164"/>
      <c r="F77" s="159"/>
    </row>
    <row r="78" spans="1:18" x14ac:dyDescent="0.3">
      <c r="A78" s="113" t="s">
        <v>175</v>
      </c>
      <c r="B78" s="188" t="s">
        <v>215</v>
      </c>
    </row>
    <row r="79" spans="1:18" x14ac:dyDescent="0.3">
      <c r="B79" s="137"/>
    </row>
    <row r="80" spans="1:18" x14ac:dyDescent="0.3">
      <c r="B80" s="139" t="s">
        <v>177</v>
      </c>
      <c r="C80" s="163" t="s">
        <v>216</v>
      </c>
    </row>
    <row r="81" spans="2:18" x14ac:dyDescent="0.3">
      <c r="B81" s="185" t="s">
        <v>180</v>
      </c>
      <c r="C81" s="178">
        <v>45000</v>
      </c>
      <c r="D81" s="193">
        <f t="shared" ref="D81:R81" si="39">+C81</f>
        <v>45000</v>
      </c>
      <c r="E81" s="193">
        <f t="shared" si="39"/>
        <v>45000</v>
      </c>
      <c r="F81" s="193">
        <f t="shared" si="39"/>
        <v>45000</v>
      </c>
      <c r="G81" s="193">
        <f t="shared" si="39"/>
        <v>45000</v>
      </c>
      <c r="H81" s="193">
        <f t="shared" si="39"/>
        <v>45000</v>
      </c>
      <c r="I81" s="193">
        <f t="shared" si="39"/>
        <v>45000</v>
      </c>
      <c r="J81" s="193">
        <f t="shared" si="39"/>
        <v>45000</v>
      </c>
      <c r="K81" s="193">
        <f t="shared" si="39"/>
        <v>45000</v>
      </c>
      <c r="L81" s="193">
        <f t="shared" si="39"/>
        <v>45000</v>
      </c>
      <c r="M81" s="193">
        <f t="shared" si="39"/>
        <v>45000</v>
      </c>
      <c r="N81" s="193">
        <f t="shared" si="39"/>
        <v>45000</v>
      </c>
      <c r="O81" s="193">
        <f t="shared" si="39"/>
        <v>45000</v>
      </c>
      <c r="P81" s="193">
        <f t="shared" si="39"/>
        <v>45000</v>
      </c>
      <c r="Q81" s="193">
        <f t="shared" si="39"/>
        <v>45000</v>
      </c>
      <c r="R81" s="194">
        <f t="shared" si="39"/>
        <v>45000</v>
      </c>
    </row>
    <row r="82" spans="2:18" x14ac:dyDescent="0.3">
      <c r="B82" s="186" t="s">
        <v>181</v>
      </c>
      <c r="C82" s="180">
        <v>45000</v>
      </c>
      <c r="D82" s="195">
        <f t="shared" ref="D82:R82" si="40">+C82</f>
        <v>45000</v>
      </c>
      <c r="E82" s="195">
        <f t="shared" si="40"/>
        <v>45000</v>
      </c>
      <c r="F82" s="195">
        <f t="shared" si="40"/>
        <v>45000</v>
      </c>
      <c r="G82" s="195">
        <f t="shared" si="40"/>
        <v>45000</v>
      </c>
      <c r="H82" s="195">
        <f t="shared" si="40"/>
        <v>45000</v>
      </c>
      <c r="I82" s="195">
        <f t="shared" si="40"/>
        <v>45000</v>
      </c>
      <c r="J82" s="195">
        <f t="shared" si="40"/>
        <v>45000</v>
      </c>
      <c r="K82" s="195">
        <f t="shared" si="40"/>
        <v>45000</v>
      </c>
      <c r="L82" s="195">
        <f t="shared" si="40"/>
        <v>45000</v>
      </c>
      <c r="M82" s="195">
        <f t="shared" si="40"/>
        <v>45000</v>
      </c>
      <c r="N82" s="195">
        <f t="shared" si="40"/>
        <v>45000</v>
      </c>
      <c r="O82" s="195">
        <f t="shared" si="40"/>
        <v>45000</v>
      </c>
      <c r="P82" s="195">
        <f t="shared" si="40"/>
        <v>45000</v>
      </c>
      <c r="Q82" s="195">
        <f t="shared" si="40"/>
        <v>45000</v>
      </c>
      <c r="R82" s="196">
        <f t="shared" si="40"/>
        <v>45000</v>
      </c>
    </row>
    <row r="83" spans="2:18" x14ac:dyDescent="0.3">
      <c r="B83" s="186" t="s">
        <v>182</v>
      </c>
      <c r="C83" s="180">
        <v>45000</v>
      </c>
      <c r="D83" s="195">
        <f t="shared" ref="D83:R83" si="41">+C83</f>
        <v>45000</v>
      </c>
      <c r="E83" s="195">
        <f t="shared" si="41"/>
        <v>45000</v>
      </c>
      <c r="F83" s="195">
        <f t="shared" si="41"/>
        <v>45000</v>
      </c>
      <c r="G83" s="195">
        <f t="shared" si="41"/>
        <v>45000</v>
      </c>
      <c r="H83" s="195">
        <f t="shared" si="41"/>
        <v>45000</v>
      </c>
      <c r="I83" s="195">
        <f t="shared" si="41"/>
        <v>45000</v>
      </c>
      <c r="J83" s="195">
        <f t="shared" si="41"/>
        <v>45000</v>
      </c>
      <c r="K83" s="195">
        <f t="shared" si="41"/>
        <v>45000</v>
      </c>
      <c r="L83" s="195">
        <f t="shared" si="41"/>
        <v>45000</v>
      </c>
      <c r="M83" s="195">
        <f t="shared" si="41"/>
        <v>45000</v>
      </c>
      <c r="N83" s="195">
        <f t="shared" si="41"/>
        <v>45000</v>
      </c>
      <c r="O83" s="195">
        <f t="shared" si="41"/>
        <v>45000</v>
      </c>
      <c r="P83" s="195">
        <f t="shared" si="41"/>
        <v>45000</v>
      </c>
      <c r="Q83" s="195">
        <f t="shared" si="41"/>
        <v>45000</v>
      </c>
      <c r="R83" s="196">
        <f t="shared" si="41"/>
        <v>45000</v>
      </c>
    </row>
    <row r="84" spans="2:18" x14ac:dyDescent="0.3">
      <c r="B84" s="186" t="s">
        <v>183</v>
      </c>
      <c r="C84" s="180">
        <v>45000</v>
      </c>
      <c r="D84" s="195">
        <f t="shared" ref="D84:R84" si="42">+C84</f>
        <v>45000</v>
      </c>
      <c r="E84" s="195">
        <f t="shared" si="42"/>
        <v>45000</v>
      </c>
      <c r="F84" s="195">
        <f t="shared" si="42"/>
        <v>45000</v>
      </c>
      <c r="G84" s="195">
        <f t="shared" si="42"/>
        <v>45000</v>
      </c>
      <c r="H84" s="195">
        <f t="shared" si="42"/>
        <v>45000</v>
      </c>
      <c r="I84" s="195">
        <f t="shared" si="42"/>
        <v>45000</v>
      </c>
      <c r="J84" s="195">
        <f t="shared" si="42"/>
        <v>45000</v>
      </c>
      <c r="K84" s="195">
        <f t="shared" si="42"/>
        <v>45000</v>
      </c>
      <c r="L84" s="195">
        <f t="shared" si="42"/>
        <v>45000</v>
      </c>
      <c r="M84" s="195">
        <f t="shared" si="42"/>
        <v>45000</v>
      </c>
      <c r="N84" s="195">
        <f t="shared" si="42"/>
        <v>45000</v>
      </c>
      <c r="O84" s="195">
        <f t="shared" si="42"/>
        <v>45000</v>
      </c>
      <c r="P84" s="195">
        <f t="shared" si="42"/>
        <v>45000</v>
      </c>
      <c r="Q84" s="195">
        <f t="shared" si="42"/>
        <v>45000</v>
      </c>
      <c r="R84" s="196">
        <f t="shared" si="42"/>
        <v>45000</v>
      </c>
    </row>
    <row r="85" spans="2:18" x14ac:dyDescent="0.3">
      <c r="B85" s="186" t="s">
        <v>184</v>
      </c>
      <c r="C85" s="180">
        <v>45000</v>
      </c>
      <c r="D85" s="195">
        <f t="shared" ref="D85:R85" si="43">+C85</f>
        <v>45000</v>
      </c>
      <c r="E85" s="195">
        <f t="shared" si="43"/>
        <v>45000</v>
      </c>
      <c r="F85" s="195">
        <f t="shared" si="43"/>
        <v>45000</v>
      </c>
      <c r="G85" s="195">
        <f t="shared" si="43"/>
        <v>45000</v>
      </c>
      <c r="H85" s="195">
        <f t="shared" si="43"/>
        <v>45000</v>
      </c>
      <c r="I85" s="195">
        <f t="shared" si="43"/>
        <v>45000</v>
      </c>
      <c r="J85" s="195">
        <f t="shared" si="43"/>
        <v>45000</v>
      </c>
      <c r="K85" s="195">
        <f t="shared" si="43"/>
        <v>45000</v>
      </c>
      <c r="L85" s="195">
        <f t="shared" si="43"/>
        <v>45000</v>
      </c>
      <c r="M85" s="195">
        <f t="shared" si="43"/>
        <v>45000</v>
      </c>
      <c r="N85" s="195">
        <f t="shared" si="43"/>
        <v>45000</v>
      </c>
      <c r="O85" s="195">
        <f t="shared" si="43"/>
        <v>45000</v>
      </c>
      <c r="P85" s="195">
        <f t="shared" si="43"/>
        <v>45000</v>
      </c>
      <c r="Q85" s="195">
        <f t="shared" si="43"/>
        <v>45000</v>
      </c>
      <c r="R85" s="196">
        <f t="shared" si="43"/>
        <v>45000</v>
      </c>
    </row>
    <row r="86" spans="2:18" x14ac:dyDescent="0.3">
      <c r="B86" s="186" t="s">
        <v>185</v>
      </c>
      <c r="C86" s="180">
        <v>45000</v>
      </c>
      <c r="D86" s="195">
        <f t="shared" ref="D86:R86" si="44">+C86</f>
        <v>45000</v>
      </c>
      <c r="E86" s="195">
        <f t="shared" si="44"/>
        <v>45000</v>
      </c>
      <c r="F86" s="195">
        <f t="shared" si="44"/>
        <v>45000</v>
      </c>
      <c r="G86" s="195">
        <f t="shared" si="44"/>
        <v>45000</v>
      </c>
      <c r="H86" s="195">
        <f t="shared" si="44"/>
        <v>45000</v>
      </c>
      <c r="I86" s="195">
        <f t="shared" si="44"/>
        <v>45000</v>
      </c>
      <c r="J86" s="195">
        <f t="shared" si="44"/>
        <v>45000</v>
      </c>
      <c r="K86" s="195">
        <f t="shared" si="44"/>
        <v>45000</v>
      </c>
      <c r="L86" s="195">
        <f t="shared" si="44"/>
        <v>45000</v>
      </c>
      <c r="M86" s="195">
        <f t="shared" si="44"/>
        <v>45000</v>
      </c>
      <c r="N86" s="195">
        <f t="shared" si="44"/>
        <v>45000</v>
      </c>
      <c r="O86" s="195">
        <f t="shared" si="44"/>
        <v>45000</v>
      </c>
      <c r="P86" s="195">
        <f t="shared" si="44"/>
        <v>45000</v>
      </c>
      <c r="Q86" s="195">
        <f t="shared" si="44"/>
        <v>45000</v>
      </c>
      <c r="R86" s="196">
        <f t="shared" si="44"/>
        <v>45000</v>
      </c>
    </row>
    <row r="87" spans="2:18" x14ac:dyDescent="0.3">
      <c r="B87" s="186" t="s">
        <v>186</v>
      </c>
      <c r="C87" s="180">
        <v>45000</v>
      </c>
      <c r="D87" s="195">
        <f t="shared" ref="D87:R87" si="45">+C87</f>
        <v>45000</v>
      </c>
      <c r="E87" s="195">
        <f t="shared" si="45"/>
        <v>45000</v>
      </c>
      <c r="F87" s="195">
        <f t="shared" si="45"/>
        <v>45000</v>
      </c>
      <c r="G87" s="195">
        <f t="shared" si="45"/>
        <v>45000</v>
      </c>
      <c r="H87" s="195">
        <f t="shared" si="45"/>
        <v>45000</v>
      </c>
      <c r="I87" s="195">
        <f t="shared" si="45"/>
        <v>45000</v>
      </c>
      <c r="J87" s="195">
        <f t="shared" si="45"/>
        <v>45000</v>
      </c>
      <c r="K87" s="195">
        <f t="shared" si="45"/>
        <v>45000</v>
      </c>
      <c r="L87" s="195">
        <f t="shared" si="45"/>
        <v>45000</v>
      </c>
      <c r="M87" s="195">
        <f t="shared" si="45"/>
        <v>45000</v>
      </c>
      <c r="N87" s="195">
        <f t="shared" si="45"/>
        <v>45000</v>
      </c>
      <c r="O87" s="195">
        <f t="shared" si="45"/>
        <v>45000</v>
      </c>
      <c r="P87" s="195">
        <f t="shared" si="45"/>
        <v>45000</v>
      </c>
      <c r="Q87" s="195">
        <f t="shared" si="45"/>
        <v>45000</v>
      </c>
      <c r="R87" s="196">
        <f t="shared" si="45"/>
        <v>45000</v>
      </c>
    </row>
    <row r="88" spans="2:18" x14ac:dyDescent="0.3">
      <c r="B88" s="186" t="s">
        <v>187</v>
      </c>
      <c r="C88" s="180">
        <v>45000</v>
      </c>
      <c r="D88" s="195">
        <f t="shared" ref="D88:R88" si="46">+C88</f>
        <v>45000</v>
      </c>
      <c r="E88" s="195">
        <f t="shared" si="46"/>
        <v>45000</v>
      </c>
      <c r="F88" s="195">
        <f t="shared" si="46"/>
        <v>45000</v>
      </c>
      <c r="G88" s="195">
        <f t="shared" si="46"/>
        <v>45000</v>
      </c>
      <c r="H88" s="195">
        <f t="shared" si="46"/>
        <v>45000</v>
      </c>
      <c r="I88" s="195">
        <f t="shared" si="46"/>
        <v>45000</v>
      </c>
      <c r="J88" s="195">
        <f t="shared" si="46"/>
        <v>45000</v>
      </c>
      <c r="K88" s="195">
        <f t="shared" si="46"/>
        <v>45000</v>
      </c>
      <c r="L88" s="195">
        <f t="shared" si="46"/>
        <v>45000</v>
      </c>
      <c r="M88" s="195">
        <f t="shared" si="46"/>
        <v>45000</v>
      </c>
      <c r="N88" s="195">
        <f t="shared" si="46"/>
        <v>45000</v>
      </c>
      <c r="O88" s="195">
        <f t="shared" si="46"/>
        <v>45000</v>
      </c>
      <c r="P88" s="195">
        <f t="shared" si="46"/>
        <v>45000</v>
      </c>
      <c r="Q88" s="195">
        <f t="shared" si="46"/>
        <v>45000</v>
      </c>
      <c r="R88" s="196">
        <f t="shared" si="46"/>
        <v>45000</v>
      </c>
    </row>
    <row r="89" spans="2:18" x14ac:dyDescent="0.3">
      <c r="B89" s="186" t="s">
        <v>188</v>
      </c>
      <c r="C89" s="180">
        <v>45000</v>
      </c>
      <c r="D89" s="195">
        <f t="shared" ref="D89:R89" si="47">+C89</f>
        <v>45000</v>
      </c>
      <c r="E89" s="195">
        <f t="shared" si="47"/>
        <v>45000</v>
      </c>
      <c r="F89" s="195">
        <f t="shared" si="47"/>
        <v>45000</v>
      </c>
      <c r="G89" s="195">
        <f t="shared" si="47"/>
        <v>45000</v>
      </c>
      <c r="H89" s="195">
        <f t="shared" si="47"/>
        <v>45000</v>
      </c>
      <c r="I89" s="195">
        <f t="shared" si="47"/>
        <v>45000</v>
      </c>
      <c r="J89" s="195">
        <f t="shared" si="47"/>
        <v>45000</v>
      </c>
      <c r="K89" s="195">
        <f t="shared" si="47"/>
        <v>45000</v>
      </c>
      <c r="L89" s="195">
        <f t="shared" si="47"/>
        <v>45000</v>
      </c>
      <c r="M89" s="195">
        <f t="shared" si="47"/>
        <v>45000</v>
      </c>
      <c r="N89" s="195">
        <f t="shared" si="47"/>
        <v>45000</v>
      </c>
      <c r="O89" s="195">
        <f t="shared" si="47"/>
        <v>45000</v>
      </c>
      <c r="P89" s="195">
        <f t="shared" si="47"/>
        <v>45000</v>
      </c>
      <c r="Q89" s="195">
        <f t="shared" si="47"/>
        <v>45000</v>
      </c>
      <c r="R89" s="196">
        <f t="shared" si="47"/>
        <v>45000</v>
      </c>
    </row>
    <row r="90" spans="2:18" x14ac:dyDescent="0.3">
      <c r="B90" s="186" t="s">
        <v>189</v>
      </c>
      <c r="C90" s="180">
        <v>45000</v>
      </c>
      <c r="D90" s="195">
        <f t="shared" ref="D90:R90" si="48">+C90</f>
        <v>45000</v>
      </c>
      <c r="E90" s="195">
        <f t="shared" si="48"/>
        <v>45000</v>
      </c>
      <c r="F90" s="195">
        <f t="shared" si="48"/>
        <v>45000</v>
      </c>
      <c r="G90" s="195">
        <f t="shared" si="48"/>
        <v>45000</v>
      </c>
      <c r="H90" s="195">
        <f t="shared" si="48"/>
        <v>45000</v>
      </c>
      <c r="I90" s="195">
        <f t="shared" si="48"/>
        <v>45000</v>
      </c>
      <c r="J90" s="195">
        <f t="shared" si="48"/>
        <v>45000</v>
      </c>
      <c r="K90" s="195">
        <f t="shared" si="48"/>
        <v>45000</v>
      </c>
      <c r="L90" s="195">
        <f t="shared" si="48"/>
        <v>45000</v>
      </c>
      <c r="M90" s="195">
        <f t="shared" si="48"/>
        <v>45000</v>
      </c>
      <c r="N90" s="195">
        <f t="shared" si="48"/>
        <v>45000</v>
      </c>
      <c r="O90" s="195">
        <f t="shared" si="48"/>
        <v>45000</v>
      </c>
      <c r="P90" s="195">
        <f t="shared" si="48"/>
        <v>45000</v>
      </c>
      <c r="Q90" s="195">
        <f t="shared" si="48"/>
        <v>45000</v>
      </c>
      <c r="R90" s="196">
        <f t="shared" si="48"/>
        <v>45000</v>
      </c>
    </row>
    <row r="91" spans="2:18" x14ac:dyDescent="0.3">
      <c r="B91" s="186" t="s">
        <v>190</v>
      </c>
      <c r="C91" s="180">
        <v>45000</v>
      </c>
      <c r="D91" s="195">
        <f t="shared" ref="D91:R91" si="49">+C91</f>
        <v>45000</v>
      </c>
      <c r="E91" s="195">
        <f t="shared" si="49"/>
        <v>45000</v>
      </c>
      <c r="F91" s="195">
        <f t="shared" si="49"/>
        <v>45000</v>
      </c>
      <c r="G91" s="195">
        <f t="shared" si="49"/>
        <v>45000</v>
      </c>
      <c r="H91" s="195">
        <f t="shared" si="49"/>
        <v>45000</v>
      </c>
      <c r="I91" s="195">
        <f t="shared" si="49"/>
        <v>45000</v>
      </c>
      <c r="J91" s="195">
        <f t="shared" si="49"/>
        <v>45000</v>
      </c>
      <c r="K91" s="195">
        <f t="shared" si="49"/>
        <v>45000</v>
      </c>
      <c r="L91" s="195">
        <f t="shared" si="49"/>
        <v>45000</v>
      </c>
      <c r="M91" s="195">
        <f t="shared" si="49"/>
        <v>45000</v>
      </c>
      <c r="N91" s="195">
        <f t="shared" si="49"/>
        <v>45000</v>
      </c>
      <c r="O91" s="195">
        <f t="shared" si="49"/>
        <v>45000</v>
      </c>
      <c r="P91" s="195">
        <f t="shared" si="49"/>
        <v>45000</v>
      </c>
      <c r="Q91" s="195">
        <f t="shared" si="49"/>
        <v>45000</v>
      </c>
      <c r="R91" s="196">
        <f t="shared" si="49"/>
        <v>45000</v>
      </c>
    </row>
    <row r="92" spans="2:18" x14ac:dyDescent="0.3">
      <c r="B92" s="186" t="s">
        <v>191</v>
      </c>
      <c r="C92" s="180">
        <v>45000</v>
      </c>
      <c r="D92" s="195">
        <f t="shared" ref="D92:R92" si="50">+C92</f>
        <v>45000</v>
      </c>
      <c r="E92" s="195">
        <f t="shared" si="50"/>
        <v>45000</v>
      </c>
      <c r="F92" s="195">
        <f t="shared" si="50"/>
        <v>45000</v>
      </c>
      <c r="G92" s="195">
        <f t="shared" si="50"/>
        <v>45000</v>
      </c>
      <c r="H92" s="195">
        <f t="shared" si="50"/>
        <v>45000</v>
      </c>
      <c r="I92" s="195">
        <f t="shared" si="50"/>
        <v>45000</v>
      </c>
      <c r="J92" s="195">
        <f t="shared" si="50"/>
        <v>45000</v>
      </c>
      <c r="K92" s="195">
        <f t="shared" si="50"/>
        <v>45000</v>
      </c>
      <c r="L92" s="195">
        <f t="shared" si="50"/>
        <v>45000</v>
      </c>
      <c r="M92" s="195">
        <f t="shared" si="50"/>
        <v>45000</v>
      </c>
      <c r="N92" s="195">
        <f t="shared" si="50"/>
        <v>45000</v>
      </c>
      <c r="O92" s="195">
        <f t="shared" si="50"/>
        <v>45000</v>
      </c>
      <c r="P92" s="195">
        <f t="shared" si="50"/>
        <v>45000</v>
      </c>
      <c r="Q92" s="195">
        <f t="shared" si="50"/>
        <v>45000</v>
      </c>
      <c r="R92" s="196">
        <f t="shared" si="50"/>
        <v>45000</v>
      </c>
    </row>
    <row r="93" spans="2:18" x14ac:dyDescent="0.3">
      <c r="B93" s="187" t="s">
        <v>193</v>
      </c>
      <c r="C93" s="175">
        <v>108</v>
      </c>
      <c r="D93" s="197">
        <f t="shared" ref="D93:R93" si="51">+C93</f>
        <v>108</v>
      </c>
      <c r="E93" s="197">
        <f t="shared" si="51"/>
        <v>108</v>
      </c>
      <c r="F93" s="197">
        <f t="shared" si="51"/>
        <v>108</v>
      </c>
      <c r="G93" s="197">
        <f t="shared" si="51"/>
        <v>108</v>
      </c>
      <c r="H93" s="197">
        <f t="shared" si="51"/>
        <v>108</v>
      </c>
      <c r="I93" s="197">
        <f t="shared" si="51"/>
        <v>108</v>
      </c>
      <c r="J93" s="197">
        <f t="shared" si="51"/>
        <v>108</v>
      </c>
      <c r="K93" s="197">
        <f t="shared" si="51"/>
        <v>108</v>
      </c>
      <c r="L93" s="197">
        <f t="shared" si="51"/>
        <v>108</v>
      </c>
      <c r="M93" s="197">
        <f t="shared" si="51"/>
        <v>108</v>
      </c>
      <c r="N93" s="197">
        <f t="shared" si="51"/>
        <v>108</v>
      </c>
      <c r="O93" s="197">
        <f t="shared" si="51"/>
        <v>108</v>
      </c>
      <c r="P93" s="197">
        <f t="shared" si="51"/>
        <v>108</v>
      </c>
      <c r="Q93" s="197">
        <f t="shared" si="51"/>
        <v>108</v>
      </c>
      <c r="R93" s="198">
        <f t="shared" si="51"/>
        <v>108</v>
      </c>
    </row>
    <row r="94" spans="2:18" x14ac:dyDescent="0.3">
      <c r="B94" s="184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</row>
    <row r="95" spans="2:18" x14ac:dyDescent="0.3">
      <c r="B95" s="139" t="s">
        <v>194</v>
      </c>
      <c r="C95" s="163" t="s">
        <v>216</v>
      </c>
      <c r="D95" s="174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</row>
    <row r="96" spans="2:18" x14ac:dyDescent="0.3">
      <c r="B96" s="185" t="s">
        <v>196</v>
      </c>
      <c r="C96" s="178">
        <v>15000</v>
      </c>
      <c r="D96" s="193">
        <f t="shared" ref="D96:R96" si="52">+C96</f>
        <v>15000</v>
      </c>
      <c r="E96" s="193">
        <f t="shared" si="52"/>
        <v>15000</v>
      </c>
      <c r="F96" s="193">
        <f t="shared" si="52"/>
        <v>15000</v>
      </c>
      <c r="G96" s="193">
        <f t="shared" si="52"/>
        <v>15000</v>
      </c>
      <c r="H96" s="193">
        <f t="shared" si="52"/>
        <v>15000</v>
      </c>
      <c r="I96" s="193">
        <f t="shared" si="52"/>
        <v>15000</v>
      </c>
      <c r="J96" s="193">
        <f t="shared" si="52"/>
        <v>15000</v>
      </c>
      <c r="K96" s="193">
        <f t="shared" si="52"/>
        <v>15000</v>
      </c>
      <c r="L96" s="193">
        <f t="shared" si="52"/>
        <v>15000</v>
      </c>
      <c r="M96" s="193">
        <f t="shared" si="52"/>
        <v>15000</v>
      </c>
      <c r="N96" s="193">
        <f t="shared" si="52"/>
        <v>15000</v>
      </c>
      <c r="O96" s="193">
        <f t="shared" si="52"/>
        <v>15000</v>
      </c>
      <c r="P96" s="193">
        <f t="shared" si="52"/>
        <v>15000</v>
      </c>
      <c r="Q96" s="193">
        <f t="shared" si="52"/>
        <v>15000</v>
      </c>
      <c r="R96" s="194">
        <f t="shared" si="52"/>
        <v>15000</v>
      </c>
    </row>
    <row r="97" spans="1:18" x14ac:dyDescent="0.3">
      <c r="B97" s="186" t="s">
        <v>198</v>
      </c>
      <c r="C97" s="180">
        <v>10000</v>
      </c>
      <c r="D97" s="195">
        <f t="shared" ref="D97:R97" si="53">+C97</f>
        <v>10000</v>
      </c>
      <c r="E97" s="195">
        <f t="shared" si="53"/>
        <v>10000</v>
      </c>
      <c r="F97" s="195">
        <f t="shared" si="53"/>
        <v>10000</v>
      </c>
      <c r="G97" s="195">
        <f t="shared" si="53"/>
        <v>10000</v>
      </c>
      <c r="H97" s="195">
        <f t="shared" si="53"/>
        <v>10000</v>
      </c>
      <c r="I97" s="195">
        <f t="shared" si="53"/>
        <v>10000</v>
      </c>
      <c r="J97" s="195">
        <f t="shared" si="53"/>
        <v>10000</v>
      </c>
      <c r="K97" s="195">
        <f t="shared" si="53"/>
        <v>10000</v>
      </c>
      <c r="L97" s="195">
        <f t="shared" si="53"/>
        <v>10000</v>
      </c>
      <c r="M97" s="195">
        <f t="shared" si="53"/>
        <v>10000</v>
      </c>
      <c r="N97" s="195">
        <f t="shared" si="53"/>
        <v>10000</v>
      </c>
      <c r="O97" s="195">
        <f t="shared" si="53"/>
        <v>10000</v>
      </c>
      <c r="P97" s="195">
        <f t="shared" si="53"/>
        <v>10000</v>
      </c>
      <c r="Q97" s="195">
        <f t="shared" si="53"/>
        <v>10000</v>
      </c>
      <c r="R97" s="196">
        <f t="shared" si="53"/>
        <v>10000</v>
      </c>
    </row>
    <row r="98" spans="1:18" x14ac:dyDescent="0.3">
      <c r="B98" s="186" t="s">
        <v>199</v>
      </c>
      <c r="C98" s="180">
        <v>12300</v>
      </c>
      <c r="D98" s="195">
        <f t="shared" ref="D98:R98" si="54">+C98</f>
        <v>12300</v>
      </c>
      <c r="E98" s="195">
        <f t="shared" si="54"/>
        <v>12300</v>
      </c>
      <c r="F98" s="195">
        <f t="shared" si="54"/>
        <v>12300</v>
      </c>
      <c r="G98" s="195">
        <f t="shared" si="54"/>
        <v>12300</v>
      </c>
      <c r="H98" s="195">
        <f t="shared" si="54"/>
        <v>12300</v>
      </c>
      <c r="I98" s="195">
        <f t="shared" si="54"/>
        <v>12300</v>
      </c>
      <c r="J98" s="195">
        <f t="shared" si="54"/>
        <v>12300</v>
      </c>
      <c r="K98" s="195">
        <f t="shared" si="54"/>
        <v>12300</v>
      </c>
      <c r="L98" s="195">
        <f t="shared" si="54"/>
        <v>12300</v>
      </c>
      <c r="M98" s="195">
        <f t="shared" si="54"/>
        <v>12300</v>
      </c>
      <c r="N98" s="195">
        <f t="shared" si="54"/>
        <v>12300</v>
      </c>
      <c r="O98" s="195">
        <f t="shared" si="54"/>
        <v>12300</v>
      </c>
      <c r="P98" s="195">
        <f t="shared" si="54"/>
        <v>12300</v>
      </c>
      <c r="Q98" s="195">
        <f t="shared" si="54"/>
        <v>12300</v>
      </c>
      <c r="R98" s="196">
        <f t="shared" si="54"/>
        <v>12300</v>
      </c>
    </row>
    <row r="99" spans="1:18" x14ac:dyDescent="0.3">
      <c r="B99" s="186" t="s">
        <v>200</v>
      </c>
      <c r="C99" s="180">
        <v>85000</v>
      </c>
      <c r="D99" s="195">
        <f t="shared" ref="D99:R99" si="55">+C99</f>
        <v>85000</v>
      </c>
      <c r="E99" s="195">
        <f t="shared" si="55"/>
        <v>85000</v>
      </c>
      <c r="F99" s="195">
        <f t="shared" si="55"/>
        <v>85000</v>
      </c>
      <c r="G99" s="195">
        <f t="shared" si="55"/>
        <v>85000</v>
      </c>
      <c r="H99" s="195">
        <f t="shared" si="55"/>
        <v>85000</v>
      </c>
      <c r="I99" s="195">
        <f t="shared" si="55"/>
        <v>85000</v>
      </c>
      <c r="J99" s="195">
        <f t="shared" si="55"/>
        <v>85000</v>
      </c>
      <c r="K99" s="195">
        <f t="shared" si="55"/>
        <v>85000</v>
      </c>
      <c r="L99" s="195">
        <f t="shared" si="55"/>
        <v>85000</v>
      </c>
      <c r="M99" s="195">
        <f t="shared" si="55"/>
        <v>85000</v>
      </c>
      <c r="N99" s="195">
        <f t="shared" si="55"/>
        <v>85000</v>
      </c>
      <c r="O99" s="195">
        <f t="shared" si="55"/>
        <v>85000</v>
      </c>
      <c r="P99" s="195">
        <f t="shared" si="55"/>
        <v>85000</v>
      </c>
      <c r="Q99" s="195">
        <f t="shared" si="55"/>
        <v>85000</v>
      </c>
      <c r="R99" s="196">
        <f t="shared" si="55"/>
        <v>85000</v>
      </c>
    </row>
    <row r="100" spans="1:18" x14ac:dyDescent="0.3">
      <c r="B100" s="186" t="s">
        <v>202</v>
      </c>
      <c r="C100" s="180">
        <v>22500</v>
      </c>
      <c r="D100" s="195">
        <f t="shared" ref="D100:R100" si="56">+C100</f>
        <v>22500</v>
      </c>
      <c r="E100" s="195">
        <f t="shared" si="56"/>
        <v>22500</v>
      </c>
      <c r="F100" s="195">
        <f t="shared" si="56"/>
        <v>22500</v>
      </c>
      <c r="G100" s="195">
        <f t="shared" si="56"/>
        <v>22500</v>
      </c>
      <c r="H100" s="195">
        <f t="shared" si="56"/>
        <v>22500</v>
      </c>
      <c r="I100" s="195">
        <f t="shared" si="56"/>
        <v>22500</v>
      </c>
      <c r="J100" s="195">
        <f t="shared" si="56"/>
        <v>22500</v>
      </c>
      <c r="K100" s="195">
        <f t="shared" si="56"/>
        <v>22500</v>
      </c>
      <c r="L100" s="195">
        <f t="shared" si="56"/>
        <v>22500</v>
      </c>
      <c r="M100" s="195">
        <f t="shared" si="56"/>
        <v>22500</v>
      </c>
      <c r="N100" s="195">
        <f t="shared" si="56"/>
        <v>22500</v>
      </c>
      <c r="O100" s="195">
        <f t="shared" si="56"/>
        <v>22500</v>
      </c>
      <c r="P100" s="195">
        <f t="shared" si="56"/>
        <v>22500</v>
      </c>
      <c r="Q100" s="195">
        <f t="shared" si="56"/>
        <v>22500</v>
      </c>
      <c r="R100" s="196">
        <f t="shared" si="56"/>
        <v>22500</v>
      </c>
    </row>
    <row r="101" spans="1:18" x14ac:dyDescent="0.3">
      <c r="B101" s="186" t="s">
        <v>203</v>
      </c>
      <c r="C101" s="180">
        <v>16500</v>
      </c>
      <c r="D101" s="195">
        <f t="shared" ref="D101:R101" si="57">+C101</f>
        <v>16500</v>
      </c>
      <c r="E101" s="195">
        <f t="shared" si="57"/>
        <v>16500</v>
      </c>
      <c r="F101" s="195">
        <f t="shared" si="57"/>
        <v>16500</v>
      </c>
      <c r="G101" s="195">
        <f t="shared" si="57"/>
        <v>16500</v>
      </c>
      <c r="H101" s="195">
        <f t="shared" si="57"/>
        <v>16500</v>
      </c>
      <c r="I101" s="195">
        <f t="shared" si="57"/>
        <v>16500</v>
      </c>
      <c r="J101" s="195">
        <f t="shared" si="57"/>
        <v>16500</v>
      </c>
      <c r="K101" s="195">
        <f t="shared" si="57"/>
        <v>16500</v>
      </c>
      <c r="L101" s="195">
        <f t="shared" si="57"/>
        <v>16500</v>
      </c>
      <c r="M101" s="195">
        <f t="shared" si="57"/>
        <v>16500</v>
      </c>
      <c r="N101" s="195">
        <f t="shared" si="57"/>
        <v>16500</v>
      </c>
      <c r="O101" s="195">
        <f t="shared" si="57"/>
        <v>16500</v>
      </c>
      <c r="P101" s="195">
        <f t="shared" si="57"/>
        <v>16500</v>
      </c>
      <c r="Q101" s="195">
        <f t="shared" si="57"/>
        <v>16500</v>
      </c>
      <c r="R101" s="196">
        <f t="shared" si="57"/>
        <v>16500</v>
      </c>
    </row>
    <row r="102" spans="1:18" x14ac:dyDescent="0.3">
      <c r="B102" s="186" t="s">
        <v>205</v>
      </c>
      <c r="C102" s="180">
        <v>300000</v>
      </c>
      <c r="D102" s="195">
        <f t="shared" ref="D102:R102" si="58">+C102</f>
        <v>300000</v>
      </c>
      <c r="E102" s="195">
        <f t="shared" si="58"/>
        <v>300000</v>
      </c>
      <c r="F102" s="195">
        <f t="shared" si="58"/>
        <v>300000</v>
      </c>
      <c r="G102" s="195">
        <f t="shared" si="58"/>
        <v>300000</v>
      </c>
      <c r="H102" s="195">
        <f t="shared" si="58"/>
        <v>300000</v>
      </c>
      <c r="I102" s="195">
        <f t="shared" si="58"/>
        <v>300000</v>
      </c>
      <c r="J102" s="195">
        <f t="shared" si="58"/>
        <v>300000</v>
      </c>
      <c r="K102" s="195">
        <f t="shared" si="58"/>
        <v>300000</v>
      </c>
      <c r="L102" s="195">
        <f t="shared" si="58"/>
        <v>300000</v>
      </c>
      <c r="M102" s="195">
        <f t="shared" si="58"/>
        <v>300000</v>
      </c>
      <c r="N102" s="195">
        <f t="shared" si="58"/>
        <v>300000</v>
      </c>
      <c r="O102" s="195">
        <f t="shared" si="58"/>
        <v>300000</v>
      </c>
      <c r="P102" s="195">
        <f t="shared" si="58"/>
        <v>300000</v>
      </c>
      <c r="Q102" s="195">
        <f t="shared" si="58"/>
        <v>300000</v>
      </c>
      <c r="R102" s="196">
        <f t="shared" si="58"/>
        <v>300000</v>
      </c>
    </row>
    <row r="103" spans="1:18" x14ac:dyDescent="0.3">
      <c r="B103" s="186" t="s">
        <v>206</v>
      </c>
      <c r="C103" s="180">
        <v>150000</v>
      </c>
      <c r="D103" s="195">
        <f t="shared" ref="D103:R103" si="59">+C103</f>
        <v>150000</v>
      </c>
      <c r="E103" s="195">
        <f t="shared" si="59"/>
        <v>150000</v>
      </c>
      <c r="F103" s="195">
        <f t="shared" si="59"/>
        <v>150000</v>
      </c>
      <c r="G103" s="195">
        <f t="shared" si="59"/>
        <v>150000</v>
      </c>
      <c r="H103" s="195">
        <f t="shared" si="59"/>
        <v>150000</v>
      </c>
      <c r="I103" s="195">
        <f t="shared" si="59"/>
        <v>150000</v>
      </c>
      <c r="J103" s="195">
        <f t="shared" si="59"/>
        <v>150000</v>
      </c>
      <c r="K103" s="195">
        <f t="shared" si="59"/>
        <v>150000</v>
      </c>
      <c r="L103" s="195">
        <f t="shared" si="59"/>
        <v>150000</v>
      </c>
      <c r="M103" s="195">
        <f t="shared" si="59"/>
        <v>150000</v>
      </c>
      <c r="N103" s="195">
        <f t="shared" si="59"/>
        <v>150000</v>
      </c>
      <c r="O103" s="195">
        <f t="shared" si="59"/>
        <v>150000</v>
      </c>
      <c r="P103" s="195">
        <f t="shared" si="59"/>
        <v>150000</v>
      </c>
      <c r="Q103" s="195">
        <f t="shared" si="59"/>
        <v>150000</v>
      </c>
      <c r="R103" s="196">
        <f t="shared" si="59"/>
        <v>150000</v>
      </c>
    </row>
    <row r="104" spans="1:18" x14ac:dyDescent="0.3">
      <c r="B104" s="186" t="s">
        <v>207</v>
      </c>
      <c r="C104" s="180">
        <v>16500</v>
      </c>
      <c r="D104" s="195">
        <f t="shared" ref="D104:R104" si="60">+C104</f>
        <v>16500</v>
      </c>
      <c r="E104" s="195">
        <f t="shared" si="60"/>
        <v>16500</v>
      </c>
      <c r="F104" s="195">
        <f t="shared" si="60"/>
        <v>16500</v>
      </c>
      <c r="G104" s="195">
        <f t="shared" si="60"/>
        <v>16500</v>
      </c>
      <c r="H104" s="195">
        <f t="shared" si="60"/>
        <v>16500</v>
      </c>
      <c r="I104" s="195">
        <f t="shared" si="60"/>
        <v>16500</v>
      </c>
      <c r="J104" s="195">
        <f t="shared" si="60"/>
        <v>16500</v>
      </c>
      <c r="K104" s="195">
        <f t="shared" si="60"/>
        <v>16500</v>
      </c>
      <c r="L104" s="195">
        <f t="shared" si="60"/>
        <v>16500</v>
      </c>
      <c r="M104" s="195">
        <f t="shared" si="60"/>
        <v>16500</v>
      </c>
      <c r="N104" s="195">
        <f t="shared" si="60"/>
        <v>16500</v>
      </c>
      <c r="O104" s="195">
        <f t="shared" si="60"/>
        <v>16500</v>
      </c>
      <c r="P104" s="195">
        <f t="shared" si="60"/>
        <v>16500</v>
      </c>
      <c r="Q104" s="195">
        <f t="shared" si="60"/>
        <v>16500</v>
      </c>
      <c r="R104" s="196">
        <f t="shared" si="60"/>
        <v>16500</v>
      </c>
    </row>
    <row r="105" spans="1:18" x14ac:dyDescent="0.3">
      <c r="B105" s="186" t="s">
        <v>209</v>
      </c>
      <c r="C105" s="180">
        <v>35000</v>
      </c>
      <c r="D105" s="195">
        <f t="shared" ref="D105:R105" si="61">+C105</f>
        <v>35000</v>
      </c>
      <c r="E105" s="195">
        <f t="shared" si="61"/>
        <v>35000</v>
      </c>
      <c r="F105" s="195">
        <f t="shared" si="61"/>
        <v>35000</v>
      </c>
      <c r="G105" s="195">
        <f t="shared" si="61"/>
        <v>35000</v>
      </c>
      <c r="H105" s="195">
        <f t="shared" si="61"/>
        <v>35000</v>
      </c>
      <c r="I105" s="195">
        <f t="shared" si="61"/>
        <v>35000</v>
      </c>
      <c r="J105" s="195">
        <f t="shared" si="61"/>
        <v>35000</v>
      </c>
      <c r="K105" s="195">
        <f t="shared" si="61"/>
        <v>35000</v>
      </c>
      <c r="L105" s="195">
        <f t="shared" si="61"/>
        <v>35000</v>
      </c>
      <c r="M105" s="195">
        <f t="shared" si="61"/>
        <v>35000</v>
      </c>
      <c r="N105" s="195">
        <f t="shared" si="61"/>
        <v>35000</v>
      </c>
      <c r="O105" s="195">
        <f t="shared" si="61"/>
        <v>35000</v>
      </c>
      <c r="P105" s="195">
        <f t="shared" si="61"/>
        <v>35000</v>
      </c>
      <c r="Q105" s="195">
        <f t="shared" si="61"/>
        <v>35000</v>
      </c>
      <c r="R105" s="196">
        <f t="shared" si="61"/>
        <v>35000</v>
      </c>
    </row>
    <row r="106" spans="1:18" x14ac:dyDescent="0.3">
      <c r="B106" s="186" t="s">
        <v>211</v>
      </c>
      <c r="C106" s="180">
        <v>300</v>
      </c>
      <c r="D106" s="195">
        <f t="shared" ref="D106:R106" si="62">+C106</f>
        <v>300</v>
      </c>
      <c r="E106" s="195">
        <f t="shared" si="62"/>
        <v>300</v>
      </c>
      <c r="F106" s="195">
        <f t="shared" si="62"/>
        <v>300</v>
      </c>
      <c r="G106" s="195">
        <f t="shared" si="62"/>
        <v>300</v>
      </c>
      <c r="H106" s="195">
        <f t="shared" si="62"/>
        <v>300</v>
      </c>
      <c r="I106" s="195">
        <f t="shared" si="62"/>
        <v>300</v>
      </c>
      <c r="J106" s="195">
        <f t="shared" si="62"/>
        <v>300</v>
      </c>
      <c r="K106" s="195">
        <f t="shared" si="62"/>
        <v>300</v>
      </c>
      <c r="L106" s="195">
        <f t="shared" si="62"/>
        <v>300</v>
      </c>
      <c r="M106" s="195">
        <f t="shared" si="62"/>
        <v>300</v>
      </c>
      <c r="N106" s="195">
        <f t="shared" si="62"/>
        <v>300</v>
      </c>
      <c r="O106" s="195">
        <f t="shared" si="62"/>
        <v>300</v>
      </c>
      <c r="P106" s="195">
        <f t="shared" si="62"/>
        <v>300</v>
      </c>
      <c r="Q106" s="195">
        <f t="shared" si="62"/>
        <v>300</v>
      </c>
      <c r="R106" s="196">
        <f t="shared" si="62"/>
        <v>300</v>
      </c>
    </row>
    <row r="107" spans="1:18" x14ac:dyDescent="0.3">
      <c r="B107" s="186" t="s">
        <v>213</v>
      </c>
      <c r="C107" s="180">
        <v>50000</v>
      </c>
      <c r="D107" s="195">
        <f t="shared" ref="D107:R107" si="63">+C107</f>
        <v>50000</v>
      </c>
      <c r="E107" s="195">
        <f t="shared" si="63"/>
        <v>50000</v>
      </c>
      <c r="F107" s="195">
        <f t="shared" si="63"/>
        <v>50000</v>
      </c>
      <c r="G107" s="195">
        <f t="shared" si="63"/>
        <v>50000</v>
      </c>
      <c r="H107" s="195">
        <f t="shared" si="63"/>
        <v>50000</v>
      </c>
      <c r="I107" s="195">
        <f t="shared" si="63"/>
        <v>50000</v>
      </c>
      <c r="J107" s="195">
        <f t="shared" si="63"/>
        <v>50000</v>
      </c>
      <c r="K107" s="195">
        <f t="shared" si="63"/>
        <v>50000</v>
      </c>
      <c r="L107" s="195">
        <f t="shared" si="63"/>
        <v>50000</v>
      </c>
      <c r="M107" s="195">
        <f t="shared" si="63"/>
        <v>50000</v>
      </c>
      <c r="N107" s="195">
        <f t="shared" si="63"/>
        <v>50000</v>
      </c>
      <c r="O107" s="195">
        <f t="shared" si="63"/>
        <v>50000</v>
      </c>
      <c r="P107" s="195">
        <f t="shared" si="63"/>
        <v>50000</v>
      </c>
      <c r="Q107" s="195">
        <f t="shared" si="63"/>
        <v>50000</v>
      </c>
      <c r="R107" s="196">
        <f t="shared" si="63"/>
        <v>50000</v>
      </c>
    </row>
    <row r="108" spans="1:18" x14ac:dyDescent="0.3">
      <c r="B108" s="187" t="s">
        <v>214</v>
      </c>
      <c r="C108" s="175">
        <v>160000</v>
      </c>
      <c r="D108" s="197">
        <f t="shared" ref="D108:R108" si="64">+C108</f>
        <v>160000</v>
      </c>
      <c r="E108" s="197">
        <f t="shared" si="64"/>
        <v>160000</v>
      </c>
      <c r="F108" s="197">
        <f t="shared" si="64"/>
        <v>160000</v>
      </c>
      <c r="G108" s="197">
        <f t="shared" si="64"/>
        <v>160000</v>
      </c>
      <c r="H108" s="197">
        <f t="shared" si="64"/>
        <v>160000</v>
      </c>
      <c r="I108" s="197">
        <f t="shared" si="64"/>
        <v>160000</v>
      </c>
      <c r="J108" s="197">
        <f t="shared" si="64"/>
        <v>160000</v>
      </c>
      <c r="K108" s="197">
        <f t="shared" si="64"/>
        <v>160000</v>
      </c>
      <c r="L108" s="197">
        <f t="shared" si="64"/>
        <v>160000</v>
      </c>
      <c r="M108" s="197">
        <f t="shared" si="64"/>
        <v>160000</v>
      </c>
      <c r="N108" s="197">
        <f t="shared" si="64"/>
        <v>160000</v>
      </c>
      <c r="O108" s="197">
        <f t="shared" si="64"/>
        <v>160000</v>
      </c>
      <c r="P108" s="197">
        <f t="shared" si="64"/>
        <v>160000</v>
      </c>
      <c r="Q108" s="197">
        <f t="shared" si="64"/>
        <v>160000</v>
      </c>
      <c r="R108" s="198">
        <f t="shared" si="64"/>
        <v>160000</v>
      </c>
    </row>
    <row r="110" spans="1:18" x14ac:dyDescent="0.3">
      <c r="A110" s="113" t="s">
        <v>175</v>
      </c>
      <c r="B110" s="188" t="s">
        <v>217</v>
      </c>
    </row>
    <row r="112" spans="1:18" x14ac:dyDescent="0.3">
      <c r="B112" s="139" t="s">
        <v>177</v>
      </c>
    </row>
    <row r="113" spans="2:18" x14ac:dyDescent="0.3">
      <c r="B113" s="185" t="s">
        <v>180</v>
      </c>
      <c r="C113" s="200">
        <f t="shared" ref="C113:R113" si="65">+C81*C49</f>
        <v>540000</v>
      </c>
      <c r="D113" s="189">
        <f t="shared" si="65"/>
        <v>540000</v>
      </c>
      <c r="E113" s="189">
        <f t="shared" si="65"/>
        <v>540000</v>
      </c>
      <c r="F113" s="189">
        <f t="shared" si="65"/>
        <v>540000</v>
      </c>
      <c r="G113" s="189">
        <f t="shared" si="65"/>
        <v>540000</v>
      </c>
      <c r="H113" s="189">
        <f t="shared" si="65"/>
        <v>540000</v>
      </c>
      <c r="I113" s="189">
        <f t="shared" si="65"/>
        <v>540000</v>
      </c>
      <c r="J113" s="189">
        <f t="shared" si="65"/>
        <v>540000</v>
      </c>
      <c r="K113" s="189">
        <f t="shared" si="65"/>
        <v>540000</v>
      </c>
      <c r="L113" s="189">
        <f t="shared" si="65"/>
        <v>540000</v>
      </c>
      <c r="M113" s="189">
        <f t="shared" si="65"/>
        <v>540000</v>
      </c>
      <c r="N113" s="189">
        <f t="shared" si="65"/>
        <v>540000</v>
      </c>
      <c r="O113" s="189">
        <f t="shared" si="65"/>
        <v>540000</v>
      </c>
      <c r="P113" s="189">
        <f t="shared" si="65"/>
        <v>540000</v>
      </c>
      <c r="Q113" s="189">
        <f t="shared" si="65"/>
        <v>540000</v>
      </c>
      <c r="R113" s="201">
        <f t="shared" si="65"/>
        <v>540000</v>
      </c>
    </row>
    <row r="114" spans="2:18" x14ac:dyDescent="0.3">
      <c r="B114" s="186" t="s">
        <v>181</v>
      </c>
      <c r="C114" s="202">
        <f t="shared" ref="C114:R114" si="66">+C82*C50</f>
        <v>360000</v>
      </c>
      <c r="D114" s="190">
        <f t="shared" si="66"/>
        <v>360000</v>
      </c>
      <c r="E114" s="190">
        <f t="shared" si="66"/>
        <v>360000</v>
      </c>
      <c r="F114" s="190">
        <f t="shared" si="66"/>
        <v>360000</v>
      </c>
      <c r="G114" s="190">
        <f t="shared" si="66"/>
        <v>360000</v>
      </c>
      <c r="H114" s="190">
        <f t="shared" si="66"/>
        <v>360000</v>
      </c>
      <c r="I114" s="190">
        <f t="shared" si="66"/>
        <v>360000</v>
      </c>
      <c r="J114" s="190">
        <f t="shared" si="66"/>
        <v>360000</v>
      </c>
      <c r="K114" s="190">
        <f t="shared" si="66"/>
        <v>360000</v>
      </c>
      <c r="L114" s="190">
        <f t="shared" si="66"/>
        <v>360000</v>
      </c>
      <c r="M114" s="190">
        <f t="shared" si="66"/>
        <v>360000</v>
      </c>
      <c r="N114" s="190">
        <f t="shared" si="66"/>
        <v>360000</v>
      </c>
      <c r="O114" s="190">
        <f t="shared" si="66"/>
        <v>360000</v>
      </c>
      <c r="P114" s="190">
        <f t="shared" si="66"/>
        <v>360000</v>
      </c>
      <c r="Q114" s="190">
        <f t="shared" si="66"/>
        <v>360000</v>
      </c>
      <c r="R114" s="203">
        <f t="shared" si="66"/>
        <v>360000</v>
      </c>
    </row>
    <row r="115" spans="2:18" x14ac:dyDescent="0.3">
      <c r="B115" s="186" t="s">
        <v>182</v>
      </c>
      <c r="C115" s="202">
        <f t="shared" ref="C115:R115" si="67">+C83*C51</f>
        <v>45000</v>
      </c>
      <c r="D115" s="190">
        <f t="shared" si="67"/>
        <v>45000</v>
      </c>
      <c r="E115" s="190">
        <f t="shared" si="67"/>
        <v>45000</v>
      </c>
      <c r="F115" s="190">
        <f t="shared" si="67"/>
        <v>45000</v>
      </c>
      <c r="G115" s="190">
        <f t="shared" si="67"/>
        <v>45000</v>
      </c>
      <c r="H115" s="190">
        <f t="shared" si="67"/>
        <v>45000</v>
      </c>
      <c r="I115" s="190">
        <f t="shared" si="67"/>
        <v>45000</v>
      </c>
      <c r="J115" s="190">
        <f t="shared" si="67"/>
        <v>45000</v>
      </c>
      <c r="K115" s="190">
        <f t="shared" si="67"/>
        <v>45000</v>
      </c>
      <c r="L115" s="190">
        <f t="shared" si="67"/>
        <v>45000</v>
      </c>
      <c r="M115" s="190">
        <f t="shared" si="67"/>
        <v>45000</v>
      </c>
      <c r="N115" s="190">
        <f t="shared" si="67"/>
        <v>45000</v>
      </c>
      <c r="O115" s="190">
        <f t="shared" si="67"/>
        <v>45000</v>
      </c>
      <c r="P115" s="190">
        <f t="shared" si="67"/>
        <v>45000</v>
      </c>
      <c r="Q115" s="190">
        <f t="shared" si="67"/>
        <v>45000</v>
      </c>
      <c r="R115" s="203">
        <f t="shared" si="67"/>
        <v>45000</v>
      </c>
    </row>
    <row r="116" spans="2:18" x14ac:dyDescent="0.3">
      <c r="B116" s="186" t="s">
        <v>183</v>
      </c>
      <c r="C116" s="202">
        <f t="shared" ref="C116:R116" si="68">+C84*C52</f>
        <v>315000</v>
      </c>
      <c r="D116" s="190">
        <f t="shared" si="68"/>
        <v>315000</v>
      </c>
      <c r="E116" s="190">
        <f t="shared" si="68"/>
        <v>315000</v>
      </c>
      <c r="F116" s="190">
        <f t="shared" si="68"/>
        <v>315000</v>
      </c>
      <c r="G116" s="190">
        <f t="shared" si="68"/>
        <v>315000</v>
      </c>
      <c r="H116" s="190">
        <f t="shared" si="68"/>
        <v>315000</v>
      </c>
      <c r="I116" s="190">
        <f t="shared" si="68"/>
        <v>315000</v>
      </c>
      <c r="J116" s="190">
        <f t="shared" si="68"/>
        <v>315000</v>
      </c>
      <c r="K116" s="190">
        <f t="shared" si="68"/>
        <v>315000</v>
      </c>
      <c r="L116" s="190">
        <f t="shared" si="68"/>
        <v>315000</v>
      </c>
      <c r="M116" s="190">
        <f t="shared" si="68"/>
        <v>315000</v>
      </c>
      <c r="N116" s="190">
        <f t="shared" si="68"/>
        <v>315000</v>
      </c>
      <c r="O116" s="190">
        <f t="shared" si="68"/>
        <v>315000</v>
      </c>
      <c r="P116" s="190">
        <f t="shared" si="68"/>
        <v>315000</v>
      </c>
      <c r="Q116" s="190">
        <f t="shared" si="68"/>
        <v>315000</v>
      </c>
      <c r="R116" s="203">
        <f t="shared" si="68"/>
        <v>315000</v>
      </c>
    </row>
    <row r="117" spans="2:18" x14ac:dyDescent="0.3">
      <c r="B117" s="186" t="s">
        <v>184</v>
      </c>
      <c r="C117" s="202">
        <f t="shared" ref="C117:R117" si="69">+C85*C53</f>
        <v>945000</v>
      </c>
      <c r="D117" s="190">
        <f t="shared" si="69"/>
        <v>945000</v>
      </c>
      <c r="E117" s="190">
        <f t="shared" si="69"/>
        <v>945000</v>
      </c>
      <c r="F117" s="190">
        <f t="shared" si="69"/>
        <v>945000</v>
      </c>
      <c r="G117" s="190">
        <f t="shared" si="69"/>
        <v>945000</v>
      </c>
      <c r="H117" s="190">
        <f t="shared" si="69"/>
        <v>945000</v>
      </c>
      <c r="I117" s="190">
        <f t="shared" si="69"/>
        <v>945000</v>
      </c>
      <c r="J117" s="190">
        <f t="shared" si="69"/>
        <v>945000</v>
      </c>
      <c r="K117" s="190">
        <f t="shared" si="69"/>
        <v>945000</v>
      </c>
      <c r="L117" s="190">
        <f t="shared" si="69"/>
        <v>945000</v>
      </c>
      <c r="M117" s="190">
        <f t="shared" si="69"/>
        <v>945000</v>
      </c>
      <c r="N117" s="190">
        <f t="shared" si="69"/>
        <v>945000</v>
      </c>
      <c r="O117" s="190">
        <f t="shared" si="69"/>
        <v>945000</v>
      </c>
      <c r="P117" s="190">
        <f t="shared" si="69"/>
        <v>945000</v>
      </c>
      <c r="Q117" s="190">
        <f t="shared" si="69"/>
        <v>945000</v>
      </c>
      <c r="R117" s="203">
        <f t="shared" si="69"/>
        <v>945000</v>
      </c>
    </row>
    <row r="118" spans="2:18" x14ac:dyDescent="0.3">
      <c r="B118" s="186" t="s">
        <v>185</v>
      </c>
      <c r="C118" s="202">
        <f t="shared" ref="C118:R118" si="70">+C86*C54</f>
        <v>540000</v>
      </c>
      <c r="D118" s="190">
        <f t="shared" si="70"/>
        <v>540000</v>
      </c>
      <c r="E118" s="190">
        <f t="shared" si="70"/>
        <v>540000</v>
      </c>
      <c r="F118" s="190">
        <f t="shared" si="70"/>
        <v>540000</v>
      </c>
      <c r="G118" s="190">
        <f t="shared" si="70"/>
        <v>540000</v>
      </c>
      <c r="H118" s="190">
        <f t="shared" si="70"/>
        <v>540000</v>
      </c>
      <c r="I118" s="190">
        <f t="shared" si="70"/>
        <v>540000</v>
      </c>
      <c r="J118" s="190">
        <f t="shared" si="70"/>
        <v>540000</v>
      </c>
      <c r="K118" s="190">
        <f t="shared" si="70"/>
        <v>540000</v>
      </c>
      <c r="L118" s="190">
        <f t="shared" si="70"/>
        <v>540000</v>
      </c>
      <c r="M118" s="190">
        <f t="shared" si="70"/>
        <v>540000</v>
      </c>
      <c r="N118" s="190">
        <f t="shared" si="70"/>
        <v>540000</v>
      </c>
      <c r="O118" s="190">
        <f t="shared" si="70"/>
        <v>540000</v>
      </c>
      <c r="P118" s="190">
        <f t="shared" si="70"/>
        <v>540000</v>
      </c>
      <c r="Q118" s="190">
        <f t="shared" si="70"/>
        <v>540000</v>
      </c>
      <c r="R118" s="203">
        <f t="shared" si="70"/>
        <v>540000</v>
      </c>
    </row>
    <row r="119" spans="2:18" x14ac:dyDescent="0.3">
      <c r="B119" s="186" t="s">
        <v>186</v>
      </c>
      <c r="C119" s="202">
        <f t="shared" ref="C119:R119" si="71">+C87*C55</f>
        <v>90000</v>
      </c>
      <c r="D119" s="190">
        <f t="shared" si="71"/>
        <v>90000</v>
      </c>
      <c r="E119" s="190">
        <f t="shared" si="71"/>
        <v>90000</v>
      </c>
      <c r="F119" s="190">
        <f t="shared" si="71"/>
        <v>90000</v>
      </c>
      <c r="G119" s="190">
        <f t="shared" si="71"/>
        <v>90000</v>
      </c>
      <c r="H119" s="190">
        <f t="shared" si="71"/>
        <v>90000</v>
      </c>
      <c r="I119" s="190">
        <f t="shared" si="71"/>
        <v>90000</v>
      </c>
      <c r="J119" s="190">
        <f t="shared" si="71"/>
        <v>90000</v>
      </c>
      <c r="K119" s="190">
        <f t="shared" si="71"/>
        <v>90000</v>
      </c>
      <c r="L119" s="190">
        <f t="shared" si="71"/>
        <v>90000</v>
      </c>
      <c r="M119" s="190">
        <f t="shared" si="71"/>
        <v>90000</v>
      </c>
      <c r="N119" s="190">
        <f t="shared" si="71"/>
        <v>90000</v>
      </c>
      <c r="O119" s="190">
        <f t="shared" si="71"/>
        <v>90000</v>
      </c>
      <c r="P119" s="190">
        <f t="shared" si="71"/>
        <v>90000</v>
      </c>
      <c r="Q119" s="190">
        <f t="shared" si="71"/>
        <v>90000</v>
      </c>
      <c r="R119" s="203">
        <f t="shared" si="71"/>
        <v>90000</v>
      </c>
    </row>
    <row r="120" spans="2:18" x14ac:dyDescent="0.3">
      <c r="B120" s="186" t="s">
        <v>187</v>
      </c>
      <c r="C120" s="202">
        <f t="shared" ref="C120:R120" si="72">+C88*C56</f>
        <v>180000</v>
      </c>
      <c r="D120" s="190">
        <f t="shared" si="72"/>
        <v>180000</v>
      </c>
      <c r="E120" s="190">
        <f t="shared" si="72"/>
        <v>180000</v>
      </c>
      <c r="F120" s="190">
        <f t="shared" si="72"/>
        <v>180000</v>
      </c>
      <c r="G120" s="190">
        <f t="shared" si="72"/>
        <v>180000</v>
      </c>
      <c r="H120" s="190">
        <f t="shared" si="72"/>
        <v>180000</v>
      </c>
      <c r="I120" s="190">
        <f t="shared" si="72"/>
        <v>180000</v>
      </c>
      <c r="J120" s="190">
        <f t="shared" si="72"/>
        <v>180000</v>
      </c>
      <c r="K120" s="190">
        <f t="shared" si="72"/>
        <v>180000</v>
      </c>
      <c r="L120" s="190">
        <f t="shared" si="72"/>
        <v>180000</v>
      </c>
      <c r="M120" s="190">
        <f t="shared" si="72"/>
        <v>180000</v>
      </c>
      <c r="N120" s="190">
        <f t="shared" si="72"/>
        <v>180000</v>
      </c>
      <c r="O120" s="190">
        <f t="shared" si="72"/>
        <v>180000</v>
      </c>
      <c r="P120" s="190">
        <f t="shared" si="72"/>
        <v>180000</v>
      </c>
      <c r="Q120" s="190">
        <f t="shared" si="72"/>
        <v>180000</v>
      </c>
      <c r="R120" s="203">
        <f t="shared" si="72"/>
        <v>180000</v>
      </c>
    </row>
    <row r="121" spans="2:18" x14ac:dyDescent="0.3">
      <c r="B121" s="186" t="s">
        <v>188</v>
      </c>
      <c r="C121" s="202">
        <f t="shared" ref="C121:R121" si="73">+C89*C57</f>
        <v>225000</v>
      </c>
      <c r="D121" s="190">
        <f t="shared" si="73"/>
        <v>225000</v>
      </c>
      <c r="E121" s="190">
        <f t="shared" si="73"/>
        <v>225000</v>
      </c>
      <c r="F121" s="190">
        <f t="shared" si="73"/>
        <v>225000</v>
      </c>
      <c r="G121" s="190">
        <f t="shared" si="73"/>
        <v>225000</v>
      </c>
      <c r="H121" s="190">
        <f t="shared" si="73"/>
        <v>225000</v>
      </c>
      <c r="I121" s="190">
        <f t="shared" si="73"/>
        <v>225000</v>
      </c>
      <c r="J121" s="190">
        <f t="shared" si="73"/>
        <v>225000</v>
      </c>
      <c r="K121" s="190">
        <f t="shared" si="73"/>
        <v>225000</v>
      </c>
      <c r="L121" s="190">
        <f t="shared" si="73"/>
        <v>225000</v>
      </c>
      <c r="M121" s="190">
        <f t="shared" si="73"/>
        <v>225000</v>
      </c>
      <c r="N121" s="190">
        <f t="shared" si="73"/>
        <v>225000</v>
      </c>
      <c r="O121" s="190">
        <f t="shared" si="73"/>
        <v>225000</v>
      </c>
      <c r="P121" s="190">
        <f t="shared" si="73"/>
        <v>225000</v>
      </c>
      <c r="Q121" s="190">
        <f t="shared" si="73"/>
        <v>225000</v>
      </c>
      <c r="R121" s="203">
        <f t="shared" si="73"/>
        <v>225000</v>
      </c>
    </row>
    <row r="122" spans="2:18" x14ac:dyDescent="0.3">
      <c r="B122" s="186" t="s">
        <v>189</v>
      </c>
      <c r="C122" s="202">
        <f t="shared" ref="C122:R122" si="74">+C90*C58</f>
        <v>135000</v>
      </c>
      <c r="D122" s="190">
        <f t="shared" si="74"/>
        <v>135000</v>
      </c>
      <c r="E122" s="190">
        <f t="shared" si="74"/>
        <v>135000</v>
      </c>
      <c r="F122" s="190">
        <f t="shared" si="74"/>
        <v>135000</v>
      </c>
      <c r="G122" s="190">
        <f t="shared" si="74"/>
        <v>135000</v>
      </c>
      <c r="H122" s="190">
        <f t="shared" si="74"/>
        <v>135000</v>
      </c>
      <c r="I122" s="190">
        <f t="shared" si="74"/>
        <v>135000</v>
      </c>
      <c r="J122" s="190">
        <f t="shared" si="74"/>
        <v>135000</v>
      </c>
      <c r="K122" s="190">
        <f t="shared" si="74"/>
        <v>135000</v>
      </c>
      <c r="L122" s="190">
        <f t="shared" si="74"/>
        <v>135000</v>
      </c>
      <c r="M122" s="190">
        <f t="shared" si="74"/>
        <v>135000</v>
      </c>
      <c r="N122" s="190">
        <f t="shared" si="74"/>
        <v>135000</v>
      </c>
      <c r="O122" s="190">
        <f t="shared" si="74"/>
        <v>135000</v>
      </c>
      <c r="P122" s="190">
        <f t="shared" si="74"/>
        <v>135000</v>
      </c>
      <c r="Q122" s="190">
        <f t="shared" si="74"/>
        <v>135000</v>
      </c>
      <c r="R122" s="203">
        <f t="shared" si="74"/>
        <v>135000</v>
      </c>
    </row>
    <row r="123" spans="2:18" x14ac:dyDescent="0.3">
      <c r="B123" s="186" t="s">
        <v>190</v>
      </c>
      <c r="C123" s="202">
        <f t="shared" ref="C123:R123" si="75">+C91*C59</f>
        <v>90000</v>
      </c>
      <c r="D123" s="190">
        <f t="shared" si="75"/>
        <v>90000</v>
      </c>
      <c r="E123" s="190">
        <f t="shared" si="75"/>
        <v>90000</v>
      </c>
      <c r="F123" s="190">
        <f t="shared" si="75"/>
        <v>90000</v>
      </c>
      <c r="G123" s="190">
        <f t="shared" si="75"/>
        <v>90000</v>
      </c>
      <c r="H123" s="190">
        <f t="shared" si="75"/>
        <v>90000</v>
      </c>
      <c r="I123" s="190">
        <f t="shared" si="75"/>
        <v>90000</v>
      </c>
      <c r="J123" s="190">
        <f t="shared" si="75"/>
        <v>90000</v>
      </c>
      <c r="K123" s="190">
        <f t="shared" si="75"/>
        <v>90000</v>
      </c>
      <c r="L123" s="190">
        <f t="shared" si="75"/>
        <v>90000</v>
      </c>
      <c r="M123" s="190">
        <f t="shared" si="75"/>
        <v>90000</v>
      </c>
      <c r="N123" s="190">
        <f t="shared" si="75"/>
        <v>90000</v>
      </c>
      <c r="O123" s="190">
        <f t="shared" si="75"/>
        <v>90000</v>
      </c>
      <c r="P123" s="190">
        <f t="shared" si="75"/>
        <v>90000</v>
      </c>
      <c r="Q123" s="190">
        <f t="shared" si="75"/>
        <v>90000</v>
      </c>
      <c r="R123" s="203">
        <f t="shared" si="75"/>
        <v>90000</v>
      </c>
    </row>
    <row r="124" spans="2:18" x14ac:dyDescent="0.3">
      <c r="B124" s="186" t="s">
        <v>191</v>
      </c>
      <c r="C124" s="202">
        <f t="shared" ref="C124:R124" si="76">+C92*C60</f>
        <v>135000</v>
      </c>
      <c r="D124" s="190">
        <f t="shared" si="76"/>
        <v>135000</v>
      </c>
      <c r="E124" s="190">
        <f t="shared" si="76"/>
        <v>135000</v>
      </c>
      <c r="F124" s="190">
        <f t="shared" si="76"/>
        <v>135000</v>
      </c>
      <c r="G124" s="190">
        <f t="shared" si="76"/>
        <v>135000</v>
      </c>
      <c r="H124" s="190">
        <f t="shared" si="76"/>
        <v>135000</v>
      </c>
      <c r="I124" s="190">
        <f t="shared" si="76"/>
        <v>135000</v>
      </c>
      <c r="J124" s="190">
        <f t="shared" si="76"/>
        <v>135000</v>
      </c>
      <c r="K124" s="190">
        <f t="shared" si="76"/>
        <v>135000</v>
      </c>
      <c r="L124" s="190">
        <f t="shared" si="76"/>
        <v>135000</v>
      </c>
      <c r="M124" s="190">
        <f t="shared" si="76"/>
        <v>135000</v>
      </c>
      <c r="N124" s="190">
        <f t="shared" si="76"/>
        <v>135000</v>
      </c>
      <c r="O124" s="190">
        <f t="shared" si="76"/>
        <v>135000</v>
      </c>
      <c r="P124" s="190">
        <f t="shared" si="76"/>
        <v>135000</v>
      </c>
      <c r="Q124" s="190">
        <f t="shared" si="76"/>
        <v>135000</v>
      </c>
      <c r="R124" s="203">
        <f t="shared" si="76"/>
        <v>135000</v>
      </c>
    </row>
    <row r="125" spans="2:18" x14ac:dyDescent="0.3">
      <c r="B125" s="187" t="s">
        <v>193</v>
      </c>
      <c r="C125" s="204">
        <f t="shared" ref="C125:R125" si="77">+C93*C61</f>
        <v>0</v>
      </c>
      <c r="D125" s="191">
        <f t="shared" si="77"/>
        <v>0</v>
      </c>
      <c r="E125" s="191">
        <f t="shared" si="77"/>
        <v>0</v>
      </c>
      <c r="F125" s="191">
        <f t="shared" si="77"/>
        <v>687859.71428571409</v>
      </c>
      <c r="G125" s="191">
        <f t="shared" si="77"/>
        <v>955066.75714285695</v>
      </c>
      <c r="H125" s="191">
        <f t="shared" si="77"/>
        <v>1193833.4464285714</v>
      </c>
      <c r="I125" s="191">
        <f t="shared" si="77"/>
        <v>1406335.799892857</v>
      </c>
      <c r="J125" s="191">
        <f t="shared" si="77"/>
        <v>2154869.3708035708</v>
      </c>
      <c r="K125" s="191">
        <f t="shared" si="77"/>
        <v>2153056.2982633924</v>
      </c>
      <c r="L125" s="191">
        <f t="shared" si="77"/>
        <v>2091849.8877502226</v>
      </c>
      <c r="M125" s="191">
        <f t="shared" si="77"/>
        <v>2031381.4775427114</v>
      </c>
      <c r="N125" s="191">
        <f t="shared" si="77"/>
        <v>1971730.2836365758</v>
      </c>
      <c r="O125" s="191">
        <f t="shared" si="77"/>
        <v>1999246.7250341724</v>
      </c>
      <c r="P125" s="191">
        <f t="shared" si="77"/>
        <v>1899284.3887824633</v>
      </c>
      <c r="Q125" s="191">
        <f t="shared" si="77"/>
        <v>1804320.16934334</v>
      </c>
      <c r="R125" s="205">
        <f t="shared" si="77"/>
        <v>1657200.2021709576</v>
      </c>
    </row>
    <row r="126" spans="2:18" x14ac:dyDescent="0.3">
      <c r="B126" s="139" t="s">
        <v>218</v>
      </c>
      <c r="C126" s="199">
        <f t="shared" ref="C126:R126" si="78">SUM(C113:C125)</f>
        <v>3600000</v>
      </c>
      <c r="D126" s="199">
        <f t="shared" si="78"/>
        <v>3600000</v>
      </c>
      <c r="E126" s="199">
        <f t="shared" si="78"/>
        <v>3600000</v>
      </c>
      <c r="F126" s="199">
        <f t="shared" si="78"/>
        <v>4287859.7142857146</v>
      </c>
      <c r="G126" s="199">
        <f t="shared" si="78"/>
        <v>4555066.7571428567</v>
      </c>
      <c r="H126" s="199">
        <f t="shared" si="78"/>
        <v>4793833.4464285709</v>
      </c>
      <c r="I126" s="199">
        <f t="shared" si="78"/>
        <v>5006335.7998928567</v>
      </c>
      <c r="J126" s="199">
        <f t="shared" si="78"/>
        <v>5754869.3708035704</v>
      </c>
      <c r="K126" s="199">
        <f t="shared" si="78"/>
        <v>5753056.2982633924</v>
      </c>
      <c r="L126" s="199">
        <f t="shared" si="78"/>
        <v>5691849.8877502223</v>
      </c>
      <c r="M126" s="199">
        <f t="shared" si="78"/>
        <v>5631381.4775427114</v>
      </c>
      <c r="N126" s="199">
        <f t="shared" si="78"/>
        <v>5571730.2836365756</v>
      </c>
      <c r="O126" s="199">
        <f t="shared" si="78"/>
        <v>5599246.7250341726</v>
      </c>
      <c r="P126" s="199">
        <f t="shared" si="78"/>
        <v>5499284.388782463</v>
      </c>
      <c r="Q126" s="199">
        <f t="shared" si="78"/>
        <v>5404320.1693433402</v>
      </c>
      <c r="R126" s="199">
        <f t="shared" si="78"/>
        <v>5257200.2021709578</v>
      </c>
    </row>
    <row r="127" spans="2:18" x14ac:dyDescent="0.3">
      <c r="B127" s="184"/>
    </row>
    <row r="128" spans="2:18" x14ac:dyDescent="0.3">
      <c r="B128" s="139" t="s">
        <v>194</v>
      </c>
    </row>
    <row r="129" spans="2:18" x14ac:dyDescent="0.3">
      <c r="B129" s="185" t="s">
        <v>196</v>
      </c>
      <c r="C129" s="200">
        <f t="shared" ref="C129:R129" si="79">+C96*C64</f>
        <v>3900000</v>
      </c>
      <c r="D129" s="189">
        <f t="shared" si="79"/>
        <v>3900000</v>
      </c>
      <c r="E129" s="189">
        <f t="shared" si="79"/>
        <v>3900000</v>
      </c>
      <c r="F129" s="189">
        <f t="shared" si="79"/>
        <v>3900000</v>
      </c>
      <c r="G129" s="189">
        <f t="shared" si="79"/>
        <v>3900000</v>
      </c>
      <c r="H129" s="189">
        <f t="shared" si="79"/>
        <v>3900000</v>
      </c>
      <c r="I129" s="189">
        <f t="shared" si="79"/>
        <v>3900000</v>
      </c>
      <c r="J129" s="189">
        <f t="shared" si="79"/>
        <v>3900000</v>
      </c>
      <c r="K129" s="189">
        <f t="shared" si="79"/>
        <v>3900000</v>
      </c>
      <c r="L129" s="189">
        <f t="shared" si="79"/>
        <v>3900000</v>
      </c>
      <c r="M129" s="189">
        <f t="shared" si="79"/>
        <v>3900000</v>
      </c>
      <c r="N129" s="189">
        <f t="shared" si="79"/>
        <v>3900000</v>
      </c>
      <c r="O129" s="189">
        <f t="shared" si="79"/>
        <v>3900000</v>
      </c>
      <c r="P129" s="189">
        <f t="shared" si="79"/>
        <v>3900000</v>
      </c>
      <c r="Q129" s="189">
        <f t="shared" si="79"/>
        <v>3900000</v>
      </c>
      <c r="R129" s="201">
        <f t="shared" si="79"/>
        <v>3900000</v>
      </c>
    </row>
    <row r="130" spans="2:18" x14ac:dyDescent="0.3">
      <c r="B130" s="186" t="s">
        <v>198</v>
      </c>
      <c r="C130" s="202">
        <f t="shared" ref="C130:R130" si="80">+C97*C65</f>
        <v>100000</v>
      </c>
      <c r="D130" s="190">
        <f t="shared" si="80"/>
        <v>100000</v>
      </c>
      <c r="E130" s="190">
        <f t="shared" si="80"/>
        <v>100000</v>
      </c>
      <c r="F130" s="190">
        <f t="shared" si="80"/>
        <v>100000</v>
      </c>
      <c r="G130" s="190">
        <f t="shared" si="80"/>
        <v>100000</v>
      </c>
      <c r="H130" s="190">
        <f t="shared" si="80"/>
        <v>100000</v>
      </c>
      <c r="I130" s="190">
        <f t="shared" si="80"/>
        <v>100000</v>
      </c>
      <c r="J130" s="190">
        <f t="shared" si="80"/>
        <v>100000</v>
      </c>
      <c r="K130" s="190">
        <f t="shared" si="80"/>
        <v>100000</v>
      </c>
      <c r="L130" s="190">
        <f t="shared" si="80"/>
        <v>100000</v>
      </c>
      <c r="M130" s="190">
        <f t="shared" si="80"/>
        <v>100000</v>
      </c>
      <c r="N130" s="190">
        <f t="shared" si="80"/>
        <v>100000</v>
      </c>
      <c r="O130" s="190">
        <f t="shared" si="80"/>
        <v>100000</v>
      </c>
      <c r="P130" s="190">
        <f t="shared" si="80"/>
        <v>100000</v>
      </c>
      <c r="Q130" s="190">
        <f t="shared" si="80"/>
        <v>100000</v>
      </c>
      <c r="R130" s="203">
        <f t="shared" si="80"/>
        <v>100000</v>
      </c>
    </row>
    <row r="131" spans="2:18" x14ac:dyDescent="0.3">
      <c r="B131" s="186" t="s">
        <v>199</v>
      </c>
      <c r="C131" s="202">
        <f t="shared" ref="C131:R131" si="81">+C98*C66</f>
        <v>615000</v>
      </c>
      <c r="D131" s="190">
        <f t="shared" si="81"/>
        <v>615000</v>
      </c>
      <c r="E131" s="190">
        <f t="shared" si="81"/>
        <v>615000</v>
      </c>
      <c r="F131" s="190">
        <f t="shared" si="81"/>
        <v>615000</v>
      </c>
      <c r="G131" s="190">
        <f t="shared" si="81"/>
        <v>615000</v>
      </c>
      <c r="H131" s="190">
        <f t="shared" si="81"/>
        <v>615000</v>
      </c>
      <c r="I131" s="190">
        <f t="shared" si="81"/>
        <v>615000</v>
      </c>
      <c r="J131" s="190">
        <f t="shared" si="81"/>
        <v>615000</v>
      </c>
      <c r="K131" s="190">
        <f t="shared" si="81"/>
        <v>615000</v>
      </c>
      <c r="L131" s="190">
        <f t="shared" si="81"/>
        <v>615000</v>
      </c>
      <c r="M131" s="190">
        <f t="shared" si="81"/>
        <v>615000</v>
      </c>
      <c r="N131" s="190">
        <f t="shared" si="81"/>
        <v>615000</v>
      </c>
      <c r="O131" s="190">
        <f t="shared" si="81"/>
        <v>615000</v>
      </c>
      <c r="P131" s="190">
        <f t="shared" si="81"/>
        <v>615000</v>
      </c>
      <c r="Q131" s="190">
        <f t="shared" si="81"/>
        <v>615000</v>
      </c>
      <c r="R131" s="203">
        <f t="shared" si="81"/>
        <v>615000</v>
      </c>
    </row>
    <row r="132" spans="2:18" x14ac:dyDescent="0.3">
      <c r="B132" s="186" t="s">
        <v>200</v>
      </c>
      <c r="C132" s="202">
        <f t="shared" ref="C132:R132" si="82">+C99*C67</f>
        <v>850000</v>
      </c>
      <c r="D132" s="190">
        <f t="shared" si="82"/>
        <v>850000</v>
      </c>
      <c r="E132" s="190">
        <f t="shared" si="82"/>
        <v>850000</v>
      </c>
      <c r="F132" s="190">
        <f t="shared" si="82"/>
        <v>850000</v>
      </c>
      <c r="G132" s="190">
        <f t="shared" si="82"/>
        <v>850000</v>
      </c>
      <c r="H132" s="190">
        <f t="shared" si="82"/>
        <v>850000</v>
      </c>
      <c r="I132" s="190">
        <f t="shared" si="82"/>
        <v>850000</v>
      </c>
      <c r="J132" s="190">
        <f t="shared" si="82"/>
        <v>850000</v>
      </c>
      <c r="K132" s="190">
        <f t="shared" si="82"/>
        <v>850000</v>
      </c>
      <c r="L132" s="190">
        <f t="shared" si="82"/>
        <v>850000</v>
      </c>
      <c r="M132" s="190">
        <f t="shared" si="82"/>
        <v>850000</v>
      </c>
      <c r="N132" s="190">
        <f t="shared" si="82"/>
        <v>850000</v>
      </c>
      <c r="O132" s="190">
        <f t="shared" si="82"/>
        <v>850000</v>
      </c>
      <c r="P132" s="190">
        <f t="shared" si="82"/>
        <v>850000</v>
      </c>
      <c r="Q132" s="190">
        <f t="shared" si="82"/>
        <v>850000</v>
      </c>
      <c r="R132" s="203">
        <f t="shared" si="82"/>
        <v>850000</v>
      </c>
    </row>
    <row r="133" spans="2:18" x14ac:dyDescent="0.3">
      <c r="B133" s="186" t="s">
        <v>202</v>
      </c>
      <c r="C133" s="202">
        <f t="shared" ref="C133:R133" si="83">+C100*C68</f>
        <v>135000</v>
      </c>
      <c r="D133" s="190">
        <f t="shared" si="83"/>
        <v>135000</v>
      </c>
      <c r="E133" s="190">
        <f t="shared" si="83"/>
        <v>135000</v>
      </c>
      <c r="F133" s="190">
        <f t="shared" si="83"/>
        <v>135000</v>
      </c>
      <c r="G133" s="190">
        <f t="shared" si="83"/>
        <v>135000</v>
      </c>
      <c r="H133" s="190">
        <f t="shared" si="83"/>
        <v>135000</v>
      </c>
      <c r="I133" s="190">
        <f t="shared" si="83"/>
        <v>135000</v>
      </c>
      <c r="J133" s="190">
        <f t="shared" si="83"/>
        <v>135000</v>
      </c>
      <c r="K133" s="190">
        <f t="shared" si="83"/>
        <v>135000</v>
      </c>
      <c r="L133" s="190">
        <f t="shared" si="83"/>
        <v>135000</v>
      </c>
      <c r="M133" s="190">
        <f t="shared" si="83"/>
        <v>135000</v>
      </c>
      <c r="N133" s="190">
        <f t="shared" si="83"/>
        <v>135000</v>
      </c>
      <c r="O133" s="190">
        <f t="shared" si="83"/>
        <v>135000</v>
      </c>
      <c r="P133" s="190">
        <f t="shared" si="83"/>
        <v>135000</v>
      </c>
      <c r="Q133" s="190">
        <f t="shared" si="83"/>
        <v>135000</v>
      </c>
      <c r="R133" s="203">
        <f t="shared" si="83"/>
        <v>135000</v>
      </c>
    </row>
    <row r="134" spans="2:18" x14ac:dyDescent="0.3">
      <c r="B134" s="186" t="s">
        <v>203</v>
      </c>
      <c r="C134" s="202">
        <f t="shared" ref="C134:R134" si="84">+C101*C69</f>
        <v>66000</v>
      </c>
      <c r="D134" s="190">
        <f t="shared" si="84"/>
        <v>66000</v>
      </c>
      <c r="E134" s="190">
        <f t="shared" si="84"/>
        <v>66000</v>
      </c>
      <c r="F134" s="190">
        <f t="shared" si="84"/>
        <v>66000</v>
      </c>
      <c r="G134" s="190">
        <f t="shared" si="84"/>
        <v>66000</v>
      </c>
      <c r="H134" s="190">
        <f t="shared" si="84"/>
        <v>66000</v>
      </c>
      <c r="I134" s="190">
        <f t="shared" si="84"/>
        <v>66000</v>
      </c>
      <c r="J134" s="190">
        <f t="shared" si="84"/>
        <v>66000</v>
      </c>
      <c r="K134" s="190">
        <f t="shared" si="84"/>
        <v>66000</v>
      </c>
      <c r="L134" s="190">
        <f t="shared" si="84"/>
        <v>66000</v>
      </c>
      <c r="M134" s="190">
        <f t="shared" si="84"/>
        <v>66000</v>
      </c>
      <c r="N134" s="190">
        <f t="shared" si="84"/>
        <v>66000</v>
      </c>
      <c r="O134" s="190">
        <f t="shared" si="84"/>
        <v>66000</v>
      </c>
      <c r="P134" s="190">
        <f t="shared" si="84"/>
        <v>66000</v>
      </c>
      <c r="Q134" s="190">
        <f t="shared" si="84"/>
        <v>66000</v>
      </c>
      <c r="R134" s="203">
        <f t="shared" si="84"/>
        <v>66000</v>
      </c>
    </row>
    <row r="135" spans="2:18" x14ac:dyDescent="0.3">
      <c r="B135" s="186" t="s">
        <v>205</v>
      </c>
      <c r="C135" s="202">
        <f t="shared" ref="C135:R135" si="85">+C102*C70</f>
        <v>300000</v>
      </c>
      <c r="D135" s="190">
        <f t="shared" si="85"/>
        <v>300000</v>
      </c>
      <c r="E135" s="190">
        <f t="shared" si="85"/>
        <v>300000</v>
      </c>
      <c r="F135" s="190">
        <f t="shared" si="85"/>
        <v>300000</v>
      </c>
      <c r="G135" s="190">
        <f t="shared" si="85"/>
        <v>300000</v>
      </c>
      <c r="H135" s="190">
        <f t="shared" si="85"/>
        <v>300000</v>
      </c>
      <c r="I135" s="190">
        <f t="shared" si="85"/>
        <v>300000</v>
      </c>
      <c r="J135" s="190">
        <f t="shared" si="85"/>
        <v>300000</v>
      </c>
      <c r="K135" s="190">
        <f t="shared" si="85"/>
        <v>300000</v>
      </c>
      <c r="L135" s="190">
        <f t="shared" si="85"/>
        <v>300000</v>
      </c>
      <c r="M135" s="190">
        <f t="shared" si="85"/>
        <v>300000</v>
      </c>
      <c r="N135" s="190">
        <f t="shared" si="85"/>
        <v>300000</v>
      </c>
      <c r="O135" s="190">
        <f t="shared" si="85"/>
        <v>300000</v>
      </c>
      <c r="P135" s="190">
        <f t="shared" si="85"/>
        <v>300000</v>
      </c>
      <c r="Q135" s="190">
        <f t="shared" si="85"/>
        <v>300000</v>
      </c>
      <c r="R135" s="203">
        <f t="shared" si="85"/>
        <v>300000</v>
      </c>
    </row>
    <row r="136" spans="2:18" x14ac:dyDescent="0.3">
      <c r="B136" s="186" t="s">
        <v>206</v>
      </c>
      <c r="C136" s="202">
        <f t="shared" ref="C136:R136" si="86">+C103*C71</f>
        <v>150000</v>
      </c>
      <c r="D136" s="190">
        <f t="shared" si="86"/>
        <v>150000</v>
      </c>
      <c r="E136" s="190">
        <f t="shared" si="86"/>
        <v>150000</v>
      </c>
      <c r="F136" s="190">
        <f t="shared" si="86"/>
        <v>150000</v>
      </c>
      <c r="G136" s="190">
        <f t="shared" si="86"/>
        <v>150000</v>
      </c>
      <c r="H136" s="190">
        <f t="shared" si="86"/>
        <v>150000</v>
      </c>
      <c r="I136" s="190">
        <f t="shared" si="86"/>
        <v>150000</v>
      </c>
      <c r="J136" s="190">
        <f t="shared" si="86"/>
        <v>150000</v>
      </c>
      <c r="K136" s="190">
        <f t="shared" si="86"/>
        <v>150000</v>
      </c>
      <c r="L136" s="190">
        <f t="shared" si="86"/>
        <v>150000</v>
      </c>
      <c r="M136" s="190">
        <f t="shared" si="86"/>
        <v>150000</v>
      </c>
      <c r="N136" s="190">
        <f t="shared" si="86"/>
        <v>150000</v>
      </c>
      <c r="O136" s="190">
        <f t="shared" si="86"/>
        <v>150000</v>
      </c>
      <c r="P136" s="190">
        <f t="shared" si="86"/>
        <v>150000</v>
      </c>
      <c r="Q136" s="190">
        <f t="shared" si="86"/>
        <v>150000</v>
      </c>
      <c r="R136" s="203">
        <f t="shared" si="86"/>
        <v>150000</v>
      </c>
    </row>
    <row r="137" spans="2:18" x14ac:dyDescent="0.3">
      <c r="B137" s="186" t="s">
        <v>207</v>
      </c>
      <c r="C137" s="202">
        <f t="shared" ref="C137:R137" si="87">+C104*C72</f>
        <v>33000</v>
      </c>
      <c r="D137" s="190">
        <f t="shared" si="87"/>
        <v>33000</v>
      </c>
      <c r="E137" s="190">
        <f t="shared" si="87"/>
        <v>33000</v>
      </c>
      <c r="F137" s="190">
        <f t="shared" si="87"/>
        <v>33000</v>
      </c>
      <c r="G137" s="190">
        <f t="shared" si="87"/>
        <v>33000</v>
      </c>
      <c r="H137" s="190">
        <f t="shared" si="87"/>
        <v>33000</v>
      </c>
      <c r="I137" s="190">
        <f t="shared" si="87"/>
        <v>33000</v>
      </c>
      <c r="J137" s="190">
        <f t="shared" si="87"/>
        <v>33000</v>
      </c>
      <c r="K137" s="190">
        <f t="shared" si="87"/>
        <v>33000</v>
      </c>
      <c r="L137" s="190">
        <f t="shared" si="87"/>
        <v>33000</v>
      </c>
      <c r="M137" s="190">
        <f t="shared" si="87"/>
        <v>33000</v>
      </c>
      <c r="N137" s="190">
        <f t="shared" si="87"/>
        <v>33000</v>
      </c>
      <c r="O137" s="190">
        <f t="shared" si="87"/>
        <v>33000</v>
      </c>
      <c r="P137" s="190">
        <f t="shared" si="87"/>
        <v>33000</v>
      </c>
      <c r="Q137" s="190">
        <f t="shared" si="87"/>
        <v>33000</v>
      </c>
      <c r="R137" s="203">
        <f t="shared" si="87"/>
        <v>33000</v>
      </c>
    </row>
    <row r="138" spans="2:18" x14ac:dyDescent="0.3">
      <c r="B138" s="186" t="s">
        <v>209</v>
      </c>
      <c r="C138" s="202">
        <f t="shared" ref="C138:R138" si="88">+C105*C73</f>
        <v>420000</v>
      </c>
      <c r="D138" s="190">
        <f t="shared" si="88"/>
        <v>420000</v>
      </c>
      <c r="E138" s="190">
        <f t="shared" si="88"/>
        <v>420000</v>
      </c>
      <c r="F138" s="190">
        <f t="shared" si="88"/>
        <v>420000</v>
      </c>
      <c r="G138" s="190">
        <f t="shared" si="88"/>
        <v>420000</v>
      </c>
      <c r="H138" s="190">
        <f t="shared" si="88"/>
        <v>420000</v>
      </c>
      <c r="I138" s="190">
        <f t="shared" si="88"/>
        <v>420000</v>
      </c>
      <c r="J138" s="190">
        <f t="shared" si="88"/>
        <v>420000</v>
      </c>
      <c r="K138" s="190">
        <f t="shared" si="88"/>
        <v>420000</v>
      </c>
      <c r="L138" s="190">
        <f t="shared" si="88"/>
        <v>420000</v>
      </c>
      <c r="M138" s="190">
        <f t="shared" si="88"/>
        <v>420000</v>
      </c>
      <c r="N138" s="190">
        <f t="shared" si="88"/>
        <v>420000</v>
      </c>
      <c r="O138" s="190">
        <f t="shared" si="88"/>
        <v>420000</v>
      </c>
      <c r="P138" s="190">
        <f t="shared" si="88"/>
        <v>420000</v>
      </c>
      <c r="Q138" s="190">
        <f t="shared" si="88"/>
        <v>420000</v>
      </c>
      <c r="R138" s="203">
        <f t="shared" si="88"/>
        <v>420000</v>
      </c>
    </row>
    <row r="139" spans="2:18" x14ac:dyDescent="0.3">
      <c r="B139" s="186" t="s">
        <v>211</v>
      </c>
      <c r="C139" s="202">
        <f t="shared" ref="C139:R139" si="89">+C106*C74</f>
        <v>0</v>
      </c>
      <c r="D139" s="190">
        <f t="shared" si="89"/>
        <v>0</v>
      </c>
      <c r="E139" s="190">
        <f t="shared" si="89"/>
        <v>0</v>
      </c>
      <c r="F139" s="190">
        <f t="shared" si="89"/>
        <v>1910721.4285714279</v>
      </c>
      <c r="G139" s="190">
        <f t="shared" si="89"/>
        <v>2652963.2142857141</v>
      </c>
      <c r="H139" s="190">
        <f t="shared" si="89"/>
        <v>3316204.0178571423</v>
      </c>
      <c r="I139" s="190">
        <f t="shared" si="89"/>
        <v>3906488.3330357135</v>
      </c>
      <c r="J139" s="190">
        <f t="shared" si="89"/>
        <v>5985748.2522321418</v>
      </c>
      <c r="K139" s="190">
        <f t="shared" si="89"/>
        <v>5980711.939620534</v>
      </c>
      <c r="L139" s="190">
        <f t="shared" si="89"/>
        <v>5810694.1326395078</v>
      </c>
      <c r="M139" s="190">
        <f t="shared" si="89"/>
        <v>5642726.326507532</v>
      </c>
      <c r="N139" s="190">
        <f t="shared" si="89"/>
        <v>5477028.5656571556</v>
      </c>
      <c r="O139" s="190">
        <f t="shared" si="89"/>
        <v>5553463.1250949232</v>
      </c>
      <c r="P139" s="190">
        <f t="shared" si="89"/>
        <v>5275789.9688401762</v>
      </c>
      <c r="Q139" s="190">
        <f t="shared" si="89"/>
        <v>5012000.4703981671</v>
      </c>
      <c r="R139" s="203">
        <f t="shared" si="89"/>
        <v>4603333.8949193265</v>
      </c>
    </row>
    <row r="140" spans="2:18" x14ac:dyDescent="0.3">
      <c r="B140" s="186" t="s">
        <v>213</v>
      </c>
      <c r="C140" s="202">
        <f t="shared" ref="C140:R140" si="90">+C107*C75</f>
        <v>0</v>
      </c>
      <c r="D140" s="190">
        <f t="shared" si="90"/>
        <v>0</v>
      </c>
      <c r="E140" s="190">
        <f t="shared" si="90"/>
        <v>0</v>
      </c>
      <c r="F140" s="190">
        <f t="shared" si="90"/>
        <v>0</v>
      </c>
      <c r="G140" s="190">
        <f t="shared" si="90"/>
        <v>0</v>
      </c>
      <c r="H140" s="190">
        <f t="shared" si="90"/>
        <v>0</v>
      </c>
      <c r="I140" s="190">
        <f t="shared" si="90"/>
        <v>0</v>
      </c>
      <c r="J140" s="190">
        <f t="shared" si="90"/>
        <v>0</v>
      </c>
      <c r="K140" s="190">
        <f t="shared" si="90"/>
        <v>0</v>
      </c>
      <c r="L140" s="190">
        <f t="shared" si="90"/>
        <v>0</v>
      </c>
      <c r="M140" s="190">
        <f t="shared" si="90"/>
        <v>0</v>
      </c>
      <c r="N140" s="190">
        <f t="shared" si="90"/>
        <v>0</v>
      </c>
      <c r="O140" s="190">
        <f t="shared" si="90"/>
        <v>0</v>
      </c>
      <c r="P140" s="190">
        <f t="shared" si="90"/>
        <v>0</v>
      </c>
      <c r="Q140" s="190">
        <f t="shared" si="90"/>
        <v>0</v>
      </c>
      <c r="R140" s="203">
        <f t="shared" si="90"/>
        <v>0</v>
      </c>
    </row>
    <row r="141" spans="2:18" x14ac:dyDescent="0.3">
      <c r="B141" s="187" t="s">
        <v>214</v>
      </c>
      <c r="C141" s="204">
        <f t="shared" ref="C141:R141" si="91">+C108*C76</f>
        <v>160000</v>
      </c>
      <c r="D141" s="191">
        <f t="shared" si="91"/>
        <v>160000</v>
      </c>
      <c r="E141" s="191">
        <f t="shared" si="91"/>
        <v>160000</v>
      </c>
      <c r="F141" s="191">
        <f t="shared" si="91"/>
        <v>160000</v>
      </c>
      <c r="G141" s="191">
        <f t="shared" si="91"/>
        <v>160000</v>
      </c>
      <c r="H141" s="191">
        <f t="shared" si="91"/>
        <v>160000</v>
      </c>
      <c r="I141" s="191">
        <f t="shared" si="91"/>
        <v>160000</v>
      </c>
      <c r="J141" s="191">
        <f t="shared" si="91"/>
        <v>160000</v>
      </c>
      <c r="K141" s="191">
        <f t="shared" si="91"/>
        <v>160000</v>
      </c>
      <c r="L141" s="191">
        <f t="shared" si="91"/>
        <v>160000</v>
      </c>
      <c r="M141" s="191">
        <f t="shared" si="91"/>
        <v>160000</v>
      </c>
      <c r="N141" s="191">
        <f t="shared" si="91"/>
        <v>160000</v>
      </c>
      <c r="O141" s="191">
        <f t="shared" si="91"/>
        <v>160000</v>
      </c>
      <c r="P141" s="191">
        <f t="shared" si="91"/>
        <v>160000</v>
      </c>
      <c r="Q141" s="191">
        <f t="shared" si="91"/>
        <v>160000</v>
      </c>
      <c r="R141" s="205">
        <f t="shared" si="91"/>
        <v>160000</v>
      </c>
    </row>
    <row r="142" spans="2:18" x14ac:dyDescent="0.3">
      <c r="B142" s="139" t="s">
        <v>219</v>
      </c>
      <c r="C142" s="199">
        <f t="shared" ref="C142:R142" si="92">SUM(C129:C141)</f>
        <v>6729000</v>
      </c>
      <c r="D142" s="199">
        <f t="shared" si="92"/>
        <v>6729000</v>
      </c>
      <c r="E142" s="199">
        <f t="shared" si="92"/>
        <v>6729000</v>
      </c>
      <c r="F142" s="199">
        <f t="shared" si="92"/>
        <v>8639721.4285714272</v>
      </c>
      <c r="G142" s="199">
        <f t="shared" si="92"/>
        <v>9381963.2142857146</v>
      </c>
      <c r="H142" s="199">
        <f t="shared" si="92"/>
        <v>10045204.017857142</v>
      </c>
      <c r="I142" s="199">
        <f t="shared" si="92"/>
        <v>10635488.333035713</v>
      </c>
      <c r="J142" s="199">
        <f t="shared" si="92"/>
        <v>12714748.252232142</v>
      </c>
      <c r="K142" s="199">
        <f t="shared" si="92"/>
        <v>12709711.939620534</v>
      </c>
      <c r="L142" s="199">
        <f t="shared" si="92"/>
        <v>12539694.132639509</v>
      </c>
      <c r="M142" s="199">
        <f t="shared" si="92"/>
        <v>12371726.326507531</v>
      </c>
      <c r="N142" s="199">
        <f t="shared" si="92"/>
        <v>12206028.565657156</v>
      </c>
      <c r="O142" s="199">
        <f t="shared" si="92"/>
        <v>12282463.125094924</v>
      </c>
      <c r="P142" s="199">
        <f t="shared" si="92"/>
        <v>12004789.968840176</v>
      </c>
      <c r="Q142" s="199">
        <f t="shared" si="92"/>
        <v>11741000.470398167</v>
      </c>
      <c r="R142" s="199">
        <f t="shared" si="92"/>
        <v>11332333.894919327</v>
      </c>
    </row>
    <row r="145" spans="2:18" x14ac:dyDescent="0.3">
      <c r="B145" s="141" t="s">
        <v>220</v>
      </c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</row>
    <row r="146" spans="2:18" ht="14.5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</row>
    <row r="147" spans="2:18" ht="14.5" x14ac:dyDescent="0.35">
      <c r="B147" s="8" t="s">
        <v>221</v>
      </c>
      <c r="C147" s="171">
        <f>+PyG!C251</f>
        <v>200</v>
      </c>
      <c r="D147" s="171">
        <f>+PyG!D251</f>
        <v>200</v>
      </c>
      <c r="E147" s="171">
        <f>+PyG!E251</f>
        <v>200</v>
      </c>
      <c r="F147" s="171">
        <f>+PyG!F251</f>
        <v>200</v>
      </c>
      <c r="G147" s="171">
        <f>+PyG!G251</f>
        <v>200</v>
      </c>
      <c r="H147" s="171">
        <f>+PyG!H251</f>
        <v>200</v>
      </c>
      <c r="I147" s="171">
        <f>+PyG!I251</f>
        <v>200</v>
      </c>
      <c r="J147" s="171">
        <f>+PyG!J251</f>
        <v>200</v>
      </c>
      <c r="K147" s="171">
        <f>+PyG!K251</f>
        <v>200</v>
      </c>
      <c r="L147" s="171">
        <f>+PyG!L251</f>
        <v>200</v>
      </c>
      <c r="M147" s="171">
        <f>+PyG!M251</f>
        <v>200</v>
      </c>
      <c r="N147" s="171">
        <f>+PyG!N251</f>
        <v>200</v>
      </c>
      <c r="O147" s="171">
        <f>+PyG!O251</f>
        <v>200</v>
      </c>
      <c r="P147" s="171">
        <f>+PyG!P251</f>
        <v>200</v>
      </c>
      <c r="Q147" s="171">
        <f>+PyG!Q251</f>
        <v>200</v>
      </c>
      <c r="R147" s="171">
        <f>+PyG!R251</f>
        <v>200</v>
      </c>
    </row>
    <row r="148" spans="2:18" ht="14.5" x14ac:dyDescent="0.35">
      <c r="B148" s="8" t="s">
        <v>222</v>
      </c>
      <c r="C148" s="172"/>
      <c r="D148" s="225">
        <f>+PyG!D303</f>
        <v>0.05</v>
      </c>
      <c r="E148" s="225">
        <f>+PyG!E303</f>
        <v>0.04</v>
      </c>
      <c r="F148" s="225">
        <f>+PyG!F303</f>
        <v>0.03</v>
      </c>
      <c r="G148" s="225">
        <f>+PyG!G303</f>
        <v>0.03</v>
      </c>
      <c r="H148" s="225">
        <f>+PyG!H303</f>
        <v>0.03</v>
      </c>
      <c r="I148" s="225">
        <f>+PyG!I303</f>
        <v>0.03</v>
      </c>
      <c r="J148" s="225">
        <f>+PyG!J303</f>
        <v>0.03</v>
      </c>
      <c r="K148" s="225">
        <f>+PyG!K303</f>
        <v>0.03</v>
      </c>
      <c r="L148" s="225">
        <f>+PyG!L303</f>
        <v>0.03</v>
      </c>
      <c r="M148" s="225">
        <f>+PyG!M303</f>
        <v>0.03</v>
      </c>
      <c r="N148" s="225">
        <f>+PyG!N303</f>
        <v>0.03</v>
      </c>
      <c r="O148" s="225">
        <f>+PyG!O303</f>
        <v>0.03</v>
      </c>
      <c r="P148" s="225">
        <f>+PyG!P303</f>
        <v>0.03</v>
      </c>
      <c r="Q148" s="225">
        <f>+PyG!Q303</f>
        <v>0.03</v>
      </c>
      <c r="R148" s="225">
        <f>+PyG!R303</f>
        <v>0.03</v>
      </c>
    </row>
    <row r="149" spans="2:18" ht="14.5" x14ac:dyDescent="0.35">
      <c r="B149" s="8" t="s">
        <v>223</v>
      </c>
      <c r="C149" s="227">
        <f t="shared" ref="C149:R149" si="93">+C147*(C126+C142)/1000000</f>
        <v>2065.8000000000002</v>
      </c>
      <c r="D149" s="227">
        <f t="shared" si="93"/>
        <v>2065.8000000000002</v>
      </c>
      <c r="E149" s="227">
        <f t="shared" si="93"/>
        <v>2065.8000000000002</v>
      </c>
      <c r="F149" s="227">
        <f t="shared" si="93"/>
        <v>2585.5162285714282</v>
      </c>
      <c r="G149" s="227">
        <f t="shared" si="93"/>
        <v>2787.4059942857143</v>
      </c>
      <c r="H149" s="227">
        <f t="shared" si="93"/>
        <v>2967.8074928571423</v>
      </c>
      <c r="I149" s="227">
        <f t="shared" si="93"/>
        <v>3128.3648265857137</v>
      </c>
      <c r="J149" s="227">
        <f t="shared" si="93"/>
        <v>3693.923524607143</v>
      </c>
      <c r="K149" s="227">
        <f t="shared" si="93"/>
        <v>3692.5536475767849</v>
      </c>
      <c r="L149" s="227">
        <f t="shared" si="93"/>
        <v>3646.3088040779462</v>
      </c>
      <c r="M149" s="227">
        <f t="shared" si="93"/>
        <v>3600.6215608100492</v>
      </c>
      <c r="N149" s="227">
        <f t="shared" si="93"/>
        <v>3555.551769858746</v>
      </c>
      <c r="O149" s="227">
        <f t="shared" si="93"/>
        <v>3576.3419700258196</v>
      </c>
      <c r="P149" s="227">
        <f t="shared" si="93"/>
        <v>3500.8148715245275</v>
      </c>
      <c r="Q149" s="227">
        <f t="shared" si="93"/>
        <v>3429.0641279483011</v>
      </c>
      <c r="R149" s="227">
        <f t="shared" si="93"/>
        <v>3317.9068194180568</v>
      </c>
    </row>
    <row r="150" spans="2:18" x14ac:dyDescent="0.3">
      <c r="B150" s="238" t="s">
        <v>224</v>
      </c>
      <c r="C150" s="240">
        <f>+C149</f>
        <v>2065.8000000000002</v>
      </c>
      <c r="D150" s="240">
        <f t="shared" ref="D150:R150" si="94">+D149*(1+D148)</f>
        <v>2169.09</v>
      </c>
      <c r="E150" s="240">
        <f t="shared" si="94"/>
        <v>2148.4320000000002</v>
      </c>
      <c r="F150" s="240">
        <f t="shared" si="94"/>
        <v>2663.081715428571</v>
      </c>
      <c r="G150" s="240">
        <f t="shared" si="94"/>
        <v>2871.0281741142858</v>
      </c>
      <c r="H150" s="240">
        <f t="shared" si="94"/>
        <v>3056.8417176428566</v>
      </c>
      <c r="I150" s="240">
        <f t="shared" si="94"/>
        <v>3222.2157713832853</v>
      </c>
      <c r="J150" s="240">
        <f t="shared" si="94"/>
        <v>3804.7412303453575</v>
      </c>
      <c r="K150" s="240">
        <f t="shared" si="94"/>
        <v>3803.3302570040887</v>
      </c>
      <c r="L150" s="240">
        <f t="shared" si="94"/>
        <v>3755.6980682002845</v>
      </c>
      <c r="M150" s="240">
        <f t="shared" si="94"/>
        <v>3708.6402076343506</v>
      </c>
      <c r="N150" s="240">
        <f t="shared" si="94"/>
        <v>3662.2183229545085</v>
      </c>
      <c r="O150" s="240">
        <f t="shared" si="94"/>
        <v>3683.6322291265942</v>
      </c>
      <c r="P150" s="240">
        <f t="shared" si="94"/>
        <v>3605.8393176702634</v>
      </c>
      <c r="Q150" s="240">
        <f t="shared" si="94"/>
        <v>3531.9360517867503</v>
      </c>
      <c r="R150" s="240">
        <f t="shared" si="94"/>
        <v>3417.4440240005988</v>
      </c>
    </row>
    <row r="151" spans="2:18" x14ac:dyDescent="0.3">
      <c r="B151" s="238"/>
      <c r="C151" s="240"/>
      <c r="D151" s="240"/>
      <c r="E151" s="240"/>
      <c r="F151" s="240"/>
      <c r="G151" s="240"/>
      <c r="H151" s="240"/>
      <c r="I151" s="240"/>
      <c r="J151" s="240"/>
      <c r="K151" s="240"/>
      <c r="L151" s="240"/>
      <c r="M151" s="240"/>
      <c r="N151" s="240"/>
      <c r="O151" s="240"/>
      <c r="P151" s="240"/>
      <c r="Q151" s="240"/>
      <c r="R151" s="240"/>
    </row>
    <row r="152" spans="2:18" x14ac:dyDescent="0.3">
      <c r="B152" s="8" t="s">
        <v>225</v>
      </c>
      <c r="C152" s="71">
        <f>+PyG!C294</f>
        <v>0</v>
      </c>
      <c r="D152" s="71">
        <f>+PyG!D294</f>
        <v>0</v>
      </c>
      <c r="E152" s="71">
        <f>+PyG!E294</f>
        <v>0</v>
      </c>
      <c r="F152" s="71">
        <f>+PyG!F294</f>
        <v>6369.0714285714266</v>
      </c>
      <c r="G152" s="71">
        <f>+PyG!G294</f>
        <v>8843.210714285713</v>
      </c>
      <c r="H152" s="71">
        <f>+PyG!H294</f>
        <v>11054.013392857141</v>
      </c>
      <c r="I152" s="71">
        <f>+PyG!I294</f>
        <v>13021.627776785712</v>
      </c>
      <c r="J152" s="71">
        <f>+PyG!J294</f>
        <v>19952.494174107138</v>
      </c>
      <c r="K152" s="71">
        <f>+PyG!K294</f>
        <v>19935.706465401781</v>
      </c>
      <c r="L152" s="71">
        <f>+PyG!L294</f>
        <v>19368.980442131691</v>
      </c>
      <c r="M152" s="71">
        <f>+PyG!M294</f>
        <v>18809.087755025106</v>
      </c>
      <c r="N152" s="71">
        <f>+PyG!N294</f>
        <v>18256.761885523851</v>
      </c>
      <c r="O152" s="71">
        <f>+PyG!O294</f>
        <v>18511.54375031641</v>
      </c>
      <c r="P152" s="71">
        <f>+PyG!P294</f>
        <v>17585.966562800586</v>
      </c>
      <c r="Q152" s="71">
        <f>+PyG!Q294</f>
        <v>16706.668234660556</v>
      </c>
      <c r="R152" s="71">
        <f>+PyG!R294</f>
        <v>15344.446316397754</v>
      </c>
    </row>
    <row r="153" spans="2:18" x14ac:dyDescent="0.3">
      <c r="B153" s="8" t="s">
        <v>226</v>
      </c>
      <c r="C153" s="158"/>
      <c r="D153" s="158"/>
      <c r="E153" s="158"/>
      <c r="F153" s="158">
        <f t="shared" ref="F153:R153" si="95">+(F150/F147)*1000000/F152</f>
        <v>2090.635774221405</v>
      </c>
      <c r="G153" s="158">
        <f t="shared" si="95"/>
        <v>1623.2951282481035</v>
      </c>
      <c r="H153" s="158">
        <f t="shared" si="95"/>
        <v>1382.6841025984825</v>
      </c>
      <c r="I153" s="158">
        <f t="shared" si="95"/>
        <v>1237.2553672313095</v>
      </c>
      <c r="J153" s="158">
        <f t="shared" si="95"/>
        <v>953.45002914043403</v>
      </c>
      <c r="K153" s="158">
        <f t="shared" si="95"/>
        <v>953.89904130177945</v>
      </c>
      <c r="L153" s="158">
        <f t="shared" si="95"/>
        <v>969.51361983691061</v>
      </c>
      <c r="M153" s="158">
        <f t="shared" si="95"/>
        <v>985.86392278475512</v>
      </c>
      <c r="N153" s="158">
        <f t="shared" si="95"/>
        <v>1002.9758688637864</v>
      </c>
      <c r="O153" s="158">
        <f t="shared" si="95"/>
        <v>994.95543937647858</v>
      </c>
      <c r="P153" s="158">
        <f t="shared" si="95"/>
        <v>1025.2036203962932</v>
      </c>
      <c r="Q153" s="158">
        <f t="shared" si="95"/>
        <v>1057.0438109434665</v>
      </c>
      <c r="R153" s="158">
        <f t="shared" si="95"/>
        <v>1113.5768451770614</v>
      </c>
    </row>
    <row r="154" spans="2:18" x14ac:dyDescent="0.3">
      <c r="B154" s="8" t="s">
        <v>227</v>
      </c>
      <c r="C154" s="158">
        <f>+PyG!C33</f>
        <v>7550.7787903750932</v>
      </c>
      <c r="D154" s="158">
        <f>+PyG!D33</f>
        <v>7928.3177298938481</v>
      </c>
      <c r="E154" s="158">
        <f>+PyG!E33</f>
        <v>8245.4504390896018</v>
      </c>
      <c r="F154" s="158">
        <f>+PyG!F33</f>
        <v>8492.8139522622896</v>
      </c>
      <c r="G154" s="158">
        <f>+PyG!G33</f>
        <v>8747.5983708301592</v>
      </c>
      <c r="H154" s="158">
        <f>+PyG!H33</f>
        <v>9010.0263219550634</v>
      </c>
      <c r="I154" s="158">
        <f>+PyG!I33</f>
        <v>9280.3271116137148</v>
      </c>
      <c r="J154" s="158">
        <f>+PyG!J33</f>
        <v>9558.7369249621261</v>
      </c>
      <c r="K154" s="158">
        <f>+PyG!K33</f>
        <v>9845.4990327109899</v>
      </c>
      <c r="L154" s="158">
        <f>+PyG!L33</f>
        <v>10140.864003692321</v>
      </c>
      <c r="M154" s="158">
        <f>+PyG!M33</f>
        <v>10445.089923803091</v>
      </c>
      <c r="N154" s="158">
        <f>+PyG!N33</f>
        <v>10758.442621517184</v>
      </c>
      <c r="O154" s="158">
        <f>+PyG!O33</f>
        <v>11081.1959001627</v>
      </c>
      <c r="P154" s="158">
        <f>+PyG!P33</f>
        <v>11413.631777167582</v>
      </c>
      <c r="Q154" s="158">
        <f>+PyG!Q33</f>
        <v>11756.040730482609</v>
      </c>
      <c r="R154" s="158">
        <f>+PyG!R33</f>
        <v>12108.721952397089</v>
      </c>
    </row>
    <row r="155" spans="2:18" x14ac:dyDescent="0.3">
      <c r="B155" s="358" t="s">
        <v>228</v>
      </c>
      <c r="C155" s="360">
        <f>+AVERAGE(F155:R155)</f>
        <v>0.11998899248256477</v>
      </c>
      <c r="D155" s="360">
        <f>+AVERAGE(F155:R155)</f>
        <v>0.11998899248256477</v>
      </c>
      <c r="E155" s="360">
        <f>+AVERAGE(F155:R155)</f>
        <v>0.11998899248256477</v>
      </c>
      <c r="F155" s="359">
        <f t="shared" ref="F155:R155" si="96">+F153/F154</f>
        <v>0.24616526229972432</v>
      </c>
      <c r="G155" s="359">
        <f t="shared" si="96"/>
        <v>0.18557037708328744</v>
      </c>
      <c r="H155" s="359">
        <f t="shared" si="96"/>
        <v>0.15346060635019956</v>
      </c>
      <c r="I155" s="359">
        <f t="shared" si="96"/>
        <v>0.13332023239600749</v>
      </c>
      <c r="J155" s="359">
        <f t="shared" si="96"/>
        <v>9.9746445228610772E-2</v>
      </c>
      <c r="K155" s="359">
        <f t="shared" si="96"/>
        <v>9.6886814790445447E-2</v>
      </c>
      <c r="L155" s="359">
        <f t="shared" si="96"/>
        <v>9.5604636792674433E-2</v>
      </c>
      <c r="M155" s="359">
        <f t="shared" si="96"/>
        <v>9.4385393517588678E-2</v>
      </c>
      <c r="N155" s="359">
        <f t="shared" si="96"/>
        <v>9.3226864161343098E-2</v>
      </c>
      <c r="O155" s="359">
        <f t="shared" si="96"/>
        <v>8.9787731246757416E-2</v>
      </c>
      <c r="P155" s="359">
        <f t="shared" si="96"/>
        <v>8.9822734814974797E-2</v>
      </c>
      <c r="Q155" s="359">
        <f t="shared" si="96"/>
        <v>8.9914949699232E-2</v>
      </c>
      <c r="R155" s="359">
        <f t="shared" si="96"/>
        <v>9.1964853892496354E-2</v>
      </c>
    </row>
    <row r="156" spans="2:18" ht="14.5" x14ac:dyDescent="0.35">
      <c r="B156" s="8"/>
      <c r="C156" s="226"/>
      <c r="D156" s="173"/>
      <c r="E156" s="173"/>
      <c r="F156" s="173"/>
      <c r="G156" s="173"/>
      <c r="H156" s="173"/>
      <c r="I156" s="173"/>
      <c r="J156" s="173">
        <f>+J154*16%</f>
        <v>1529.3979079939402</v>
      </c>
      <c r="K156" s="173"/>
      <c r="L156" s="173"/>
      <c r="M156" s="173"/>
      <c r="N156" s="173"/>
      <c r="O156" s="173"/>
      <c r="P156" s="173"/>
      <c r="Q156" s="173"/>
      <c r="R156" s="173"/>
    </row>
    <row r="158" spans="2:18" x14ac:dyDescent="0.3">
      <c r="B158" s="87" t="s">
        <v>229</v>
      </c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9"/>
    </row>
    <row r="160" spans="2:18" x14ac:dyDescent="0.3">
      <c r="B160" s="141" t="s">
        <v>230</v>
      </c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</row>
    <row r="161" spans="1:20" ht="14.5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ht="14.5" x14ac:dyDescent="0.35">
      <c r="A162" s="113" t="s">
        <v>175</v>
      </c>
      <c r="B162" s="188" t="s">
        <v>176</v>
      </c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ht="14.5" x14ac:dyDescent="0.35">
      <c r="A163" s="113"/>
      <c r="B163" s="188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x14ac:dyDescent="0.3">
      <c r="C164" s="113" t="s">
        <v>178</v>
      </c>
    </row>
    <row r="165" spans="1:20" x14ac:dyDescent="0.3">
      <c r="A165" s="4" t="s">
        <v>231</v>
      </c>
      <c r="B165" s="231" t="s">
        <v>232</v>
      </c>
      <c r="C165" s="232">
        <v>12</v>
      </c>
      <c r="D165" s="29">
        <f t="shared" ref="D165:R165" si="97">+C165</f>
        <v>12</v>
      </c>
      <c r="E165" s="29">
        <f t="shared" si="97"/>
        <v>12</v>
      </c>
      <c r="F165" s="29">
        <f t="shared" si="97"/>
        <v>12</v>
      </c>
      <c r="G165" s="29">
        <f t="shared" si="97"/>
        <v>12</v>
      </c>
      <c r="H165" s="29">
        <f t="shared" si="97"/>
        <v>12</v>
      </c>
      <c r="I165" s="29">
        <f t="shared" si="97"/>
        <v>12</v>
      </c>
      <c r="J165" s="29">
        <f t="shared" si="97"/>
        <v>12</v>
      </c>
      <c r="K165" s="29">
        <f t="shared" si="97"/>
        <v>12</v>
      </c>
      <c r="L165" s="29">
        <f t="shared" si="97"/>
        <v>12</v>
      </c>
      <c r="M165" s="29">
        <f t="shared" si="97"/>
        <v>12</v>
      </c>
      <c r="N165" s="29">
        <f t="shared" si="97"/>
        <v>12</v>
      </c>
      <c r="O165" s="29">
        <f t="shared" si="97"/>
        <v>12</v>
      </c>
      <c r="P165" s="29">
        <f t="shared" si="97"/>
        <v>12</v>
      </c>
      <c r="Q165" s="29">
        <f t="shared" si="97"/>
        <v>12</v>
      </c>
      <c r="R165" s="30">
        <f t="shared" si="97"/>
        <v>12</v>
      </c>
    </row>
    <row r="166" spans="1:20" x14ac:dyDescent="0.3">
      <c r="A166" s="4" t="s">
        <v>231</v>
      </c>
      <c r="B166" s="31" t="s">
        <v>233</v>
      </c>
      <c r="C166" s="57">
        <v>5</v>
      </c>
      <c r="D166" s="4">
        <f t="shared" ref="D166:R166" si="98">+C166</f>
        <v>5</v>
      </c>
      <c r="E166" s="4">
        <f t="shared" si="98"/>
        <v>5</v>
      </c>
      <c r="F166" s="4">
        <f t="shared" si="98"/>
        <v>5</v>
      </c>
      <c r="G166" s="4">
        <f t="shared" si="98"/>
        <v>5</v>
      </c>
      <c r="H166" s="4">
        <f t="shared" si="98"/>
        <v>5</v>
      </c>
      <c r="I166" s="4">
        <f t="shared" si="98"/>
        <v>5</v>
      </c>
      <c r="J166" s="4">
        <f t="shared" si="98"/>
        <v>5</v>
      </c>
      <c r="K166" s="4">
        <f t="shared" si="98"/>
        <v>5</v>
      </c>
      <c r="L166" s="4">
        <f t="shared" si="98"/>
        <v>5</v>
      </c>
      <c r="M166" s="4">
        <f t="shared" si="98"/>
        <v>5</v>
      </c>
      <c r="N166" s="4">
        <f t="shared" si="98"/>
        <v>5</v>
      </c>
      <c r="O166" s="4">
        <f t="shared" si="98"/>
        <v>5</v>
      </c>
      <c r="P166" s="4">
        <f t="shared" si="98"/>
        <v>5</v>
      </c>
      <c r="Q166" s="4">
        <f t="shared" si="98"/>
        <v>5</v>
      </c>
      <c r="R166" s="32">
        <f t="shared" si="98"/>
        <v>5</v>
      </c>
    </row>
    <row r="167" spans="1:20" x14ac:dyDescent="0.3">
      <c r="A167" s="4" t="s">
        <v>234</v>
      </c>
      <c r="B167" s="31" t="s">
        <v>235</v>
      </c>
      <c r="C167" s="57">
        <v>4</v>
      </c>
      <c r="D167" s="4">
        <f t="shared" ref="D167:R167" si="99">+C167</f>
        <v>4</v>
      </c>
      <c r="E167" s="4">
        <f t="shared" si="99"/>
        <v>4</v>
      </c>
      <c r="F167" s="4">
        <f t="shared" si="99"/>
        <v>4</v>
      </c>
      <c r="G167" s="4">
        <f t="shared" si="99"/>
        <v>4</v>
      </c>
      <c r="H167" s="4">
        <f t="shared" si="99"/>
        <v>4</v>
      </c>
      <c r="I167" s="4">
        <f t="shared" si="99"/>
        <v>4</v>
      </c>
      <c r="J167" s="4">
        <f t="shared" si="99"/>
        <v>4</v>
      </c>
      <c r="K167" s="4">
        <f t="shared" si="99"/>
        <v>4</v>
      </c>
      <c r="L167" s="4">
        <f t="shared" si="99"/>
        <v>4</v>
      </c>
      <c r="M167" s="4">
        <f t="shared" si="99"/>
        <v>4</v>
      </c>
      <c r="N167" s="4">
        <f t="shared" si="99"/>
        <v>4</v>
      </c>
      <c r="O167" s="4">
        <f t="shared" si="99"/>
        <v>4</v>
      </c>
      <c r="P167" s="4">
        <f t="shared" si="99"/>
        <v>4</v>
      </c>
      <c r="Q167" s="4">
        <f t="shared" si="99"/>
        <v>4</v>
      </c>
      <c r="R167" s="32">
        <f t="shared" si="99"/>
        <v>4</v>
      </c>
    </row>
    <row r="168" spans="1:20" x14ac:dyDescent="0.3">
      <c r="A168" s="4" t="s">
        <v>236</v>
      </c>
      <c r="B168" s="31" t="s">
        <v>237</v>
      </c>
      <c r="C168" s="57">
        <v>12</v>
      </c>
      <c r="D168" s="4">
        <f t="shared" ref="D168:R168" si="100">+C168</f>
        <v>12</v>
      </c>
      <c r="E168" s="4">
        <f t="shared" si="100"/>
        <v>12</v>
      </c>
      <c r="F168" s="4">
        <f t="shared" si="100"/>
        <v>12</v>
      </c>
      <c r="G168" s="4">
        <f t="shared" si="100"/>
        <v>12</v>
      </c>
      <c r="H168" s="4">
        <f t="shared" si="100"/>
        <v>12</v>
      </c>
      <c r="I168" s="4">
        <f t="shared" si="100"/>
        <v>12</v>
      </c>
      <c r="J168" s="4">
        <f t="shared" si="100"/>
        <v>12</v>
      </c>
      <c r="K168" s="4">
        <f t="shared" si="100"/>
        <v>12</v>
      </c>
      <c r="L168" s="4">
        <f t="shared" si="100"/>
        <v>12</v>
      </c>
      <c r="M168" s="4">
        <f t="shared" si="100"/>
        <v>12</v>
      </c>
      <c r="N168" s="4">
        <f t="shared" si="100"/>
        <v>12</v>
      </c>
      <c r="O168" s="4">
        <f t="shared" si="100"/>
        <v>12</v>
      </c>
      <c r="P168" s="4">
        <f t="shared" si="100"/>
        <v>12</v>
      </c>
      <c r="Q168" s="4">
        <f t="shared" si="100"/>
        <v>12</v>
      </c>
      <c r="R168" s="32">
        <f t="shared" si="100"/>
        <v>12</v>
      </c>
    </row>
    <row r="169" spans="1:20" x14ac:dyDescent="0.3">
      <c r="A169" s="4" t="s">
        <v>238</v>
      </c>
      <c r="B169" s="31" t="s">
        <v>239</v>
      </c>
      <c r="C169" s="57">
        <v>1</v>
      </c>
      <c r="D169" s="4">
        <f t="shared" ref="D169:R169" si="101">+C169</f>
        <v>1</v>
      </c>
      <c r="E169" s="4">
        <f t="shared" si="101"/>
        <v>1</v>
      </c>
      <c r="F169" s="4">
        <f t="shared" si="101"/>
        <v>1</v>
      </c>
      <c r="G169" s="4">
        <f t="shared" si="101"/>
        <v>1</v>
      </c>
      <c r="H169" s="4">
        <f t="shared" si="101"/>
        <v>1</v>
      </c>
      <c r="I169" s="4">
        <f t="shared" si="101"/>
        <v>1</v>
      </c>
      <c r="J169" s="4">
        <f t="shared" si="101"/>
        <v>1</v>
      </c>
      <c r="K169" s="4">
        <f t="shared" si="101"/>
        <v>1</v>
      </c>
      <c r="L169" s="4">
        <f t="shared" si="101"/>
        <v>1</v>
      </c>
      <c r="M169" s="4">
        <f t="shared" si="101"/>
        <v>1</v>
      </c>
      <c r="N169" s="4">
        <f t="shared" si="101"/>
        <v>1</v>
      </c>
      <c r="O169" s="4">
        <f t="shared" si="101"/>
        <v>1</v>
      </c>
      <c r="P169" s="4">
        <f t="shared" si="101"/>
        <v>1</v>
      </c>
      <c r="Q169" s="4">
        <f t="shared" si="101"/>
        <v>1</v>
      </c>
      <c r="R169" s="32">
        <f t="shared" si="101"/>
        <v>1</v>
      </c>
    </row>
    <row r="170" spans="1:20" x14ac:dyDescent="0.3">
      <c r="A170" s="4" t="s">
        <v>210</v>
      </c>
      <c r="B170" s="35" t="s">
        <v>240</v>
      </c>
      <c r="C170" s="233">
        <v>6</v>
      </c>
      <c r="D170" s="36">
        <f t="shared" ref="D170:R170" si="102">+C170</f>
        <v>6</v>
      </c>
      <c r="E170" s="36">
        <f t="shared" si="102"/>
        <v>6</v>
      </c>
      <c r="F170" s="36">
        <f t="shared" si="102"/>
        <v>6</v>
      </c>
      <c r="G170" s="36">
        <f t="shared" si="102"/>
        <v>6</v>
      </c>
      <c r="H170" s="36">
        <f t="shared" si="102"/>
        <v>6</v>
      </c>
      <c r="I170" s="36">
        <f t="shared" si="102"/>
        <v>6</v>
      </c>
      <c r="J170" s="36">
        <f t="shared" si="102"/>
        <v>6</v>
      </c>
      <c r="K170" s="36">
        <f t="shared" si="102"/>
        <v>6</v>
      </c>
      <c r="L170" s="36">
        <f t="shared" si="102"/>
        <v>6</v>
      </c>
      <c r="M170" s="36">
        <f t="shared" si="102"/>
        <v>6</v>
      </c>
      <c r="N170" s="36">
        <f t="shared" si="102"/>
        <v>6</v>
      </c>
      <c r="O170" s="36">
        <f t="shared" si="102"/>
        <v>6</v>
      </c>
      <c r="P170" s="36">
        <f t="shared" si="102"/>
        <v>6</v>
      </c>
      <c r="Q170" s="36">
        <f t="shared" si="102"/>
        <v>6</v>
      </c>
      <c r="R170" s="37">
        <f t="shared" si="102"/>
        <v>6</v>
      </c>
    </row>
    <row r="173" spans="1:20" x14ac:dyDescent="0.3">
      <c r="A173" s="113" t="s">
        <v>175</v>
      </c>
      <c r="B173" s="188" t="s">
        <v>215</v>
      </c>
    </row>
    <row r="175" spans="1:20" x14ac:dyDescent="0.3">
      <c r="C175" s="113" t="s">
        <v>216</v>
      </c>
    </row>
    <row r="176" spans="1:20" x14ac:dyDescent="0.3">
      <c r="B176" s="231" t="s">
        <v>232</v>
      </c>
      <c r="C176" s="234">
        <v>4000000</v>
      </c>
      <c r="D176" s="193">
        <f t="shared" ref="D176:R176" si="103">+C176</f>
        <v>4000000</v>
      </c>
      <c r="E176" s="193">
        <f t="shared" si="103"/>
        <v>4000000</v>
      </c>
      <c r="F176" s="193">
        <f t="shared" si="103"/>
        <v>4000000</v>
      </c>
      <c r="G176" s="193">
        <f t="shared" si="103"/>
        <v>4000000</v>
      </c>
      <c r="H176" s="193">
        <f t="shared" si="103"/>
        <v>4000000</v>
      </c>
      <c r="I176" s="193">
        <f t="shared" si="103"/>
        <v>4000000</v>
      </c>
      <c r="J176" s="193">
        <f t="shared" si="103"/>
        <v>4000000</v>
      </c>
      <c r="K176" s="193">
        <f t="shared" si="103"/>
        <v>4000000</v>
      </c>
      <c r="L176" s="193">
        <f t="shared" si="103"/>
        <v>4000000</v>
      </c>
      <c r="M176" s="193">
        <f t="shared" si="103"/>
        <v>4000000</v>
      </c>
      <c r="N176" s="193">
        <f t="shared" si="103"/>
        <v>4000000</v>
      </c>
      <c r="O176" s="193">
        <f t="shared" si="103"/>
        <v>4000000</v>
      </c>
      <c r="P176" s="193">
        <f t="shared" si="103"/>
        <v>4000000</v>
      </c>
      <c r="Q176" s="193">
        <f t="shared" si="103"/>
        <v>4000000</v>
      </c>
      <c r="R176" s="194">
        <f t="shared" si="103"/>
        <v>4000000</v>
      </c>
    </row>
    <row r="177" spans="1:18" x14ac:dyDescent="0.3">
      <c r="B177" s="31" t="s">
        <v>233</v>
      </c>
      <c r="C177" s="235">
        <v>1200000</v>
      </c>
      <c r="D177" s="195">
        <f t="shared" ref="D177:R177" si="104">+C177</f>
        <v>1200000</v>
      </c>
      <c r="E177" s="195">
        <f t="shared" si="104"/>
        <v>1200000</v>
      </c>
      <c r="F177" s="195">
        <f t="shared" si="104"/>
        <v>1200000</v>
      </c>
      <c r="G177" s="195">
        <f t="shared" si="104"/>
        <v>1200000</v>
      </c>
      <c r="H177" s="195">
        <f t="shared" si="104"/>
        <v>1200000</v>
      </c>
      <c r="I177" s="195">
        <f t="shared" si="104"/>
        <v>1200000</v>
      </c>
      <c r="J177" s="195">
        <f t="shared" si="104"/>
        <v>1200000</v>
      </c>
      <c r="K177" s="195">
        <f t="shared" si="104"/>
        <v>1200000</v>
      </c>
      <c r="L177" s="195">
        <f t="shared" si="104"/>
        <v>1200000</v>
      </c>
      <c r="M177" s="195">
        <f t="shared" si="104"/>
        <v>1200000</v>
      </c>
      <c r="N177" s="195">
        <f t="shared" si="104"/>
        <v>1200000</v>
      </c>
      <c r="O177" s="195">
        <f t="shared" si="104"/>
        <v>1200000</v>
      </c>
      <c r="P177" s="195">
        <f t="shared" si="104"/>
        <v>1200000</v>
      </c>
      <c r="Q177" s="195">
        <f t="shared" si="104"/>
        <v>1200000</v>
      </c>
      <c r="R177" s="196">
        <f t="shared" si="104"/>
        <v>1200000</v>
      </c>
    </row>
    <row r="178" spans="1:18" x14ac:dyDescent="0.3">
      <c r="B178" s="31" t="s">
        <v>235</v>
      </c>
      <c r="C178" s="235">
        <v>500000</v>
      </c>
      <c r="D178" s="195">
        <f t="shared" ref="D178:R178" si="105">+C178</f>
        <v>500000</v>
      </c>
      <c r="E178" s="195">
        <f t="shared" si="105"/>
        <v>500000</v>
      </c>
      <c r="F178" s="195">
        <f t="shared" si="105"/>
        <v>500000</v>
      </c>
      <c r="G178" s="195">
        <f t="shared" si="105"/>
        <v>500000</v>
      </c>
      <c r="H178" s="195">
        <f t="shared" si="105"/>
        <v>500000</v>
      </c>
      <c r="I178" s="195">
        <f t="shared" si="105"/>
        <v>500000</v>
      </c>
      <c r="J178" s="195">
        <f t="shared" si="105"/>
        <v>500000</v>
      </c>
      <c r="K178" s="195">
        <f t="shared" si="105"/>
        <v>500000</v>
      </c>
      <c r="L178" s="195">
        <f t="shared" si="105"/>
        <v>500000</v>
      </c>
      <c r="M178" s="195">
        <f t="shared" si="105"/>
        <v>500000</v>
      </c>
      <c r="N178" s="195">
        <f t="shared" si="105"/>
        <v>500000</v>
      </c>
      <c r="O178" s="195">
        <f t="shared" si="105"/>
        <v>500000</v>
      </c>
      <c r="P178" s="195">
        <f t="shared" si="105"/>
        <v>500000</v>
      </c>
      <c r="Q178" s="195">
        <f t="shared" si="105"/>
        <v>500000</v>
      </c>
      <c r="R178" s="196">
        <f t="shared" si="105"/>
        <v>500000</v>
      </c>
    </row>
    <row r="179" spans="1:18" x14ac:dyDescent="0.3">
      <c r="B179" s="31" t="s">
        <v>237</v>
      </c>
      <c r="C179" s="235">
        <v>200000</v>
      </c>
      <c r="D179" s="195">
        <f t="shared" ref="D179:R179" si="106">+C179</f>
        <v>200000</v>
      </c>
      <c r="E179" s="195">
        <f t="shared" si="106"/>
        <v>200000</v>
      </c>
      <c r="F179" s="195">
        <f t="shared" si="106"/>
        <v>200000</v>
      </c>
      <c r="G179" s="195">
        <f t="shared" si="106"/>
        <v>200000</v>
      </c>
      <c r="H179" s="195">
        <f t="shared" si="106"/>
        <v>200000</v>
      </c>
      <c r="I179" s="195">
        <f t="shared" si="106"/>
        <v>200000</v>
      </c>
      <c r="J179" s="195">
        <f t="shared" si="106"/>
        <v>200000</v>
      </c>
      <c r="K179" s="195">
        <f t="shared" si="106"/>
        <v>200000</v>
      </c>
      <c r="L179" s="195">
        <f t="shared" si="106"/>
        <v>200000</v>
      </c>
      <c r="M179" s="195">
        <f t="shared" si="106"/>
        <v>200000</v>
      </c>
      <c r="N179" s="195">
        <f t="shared" si="106"/>
        <v>200000</v>
      </c>
      <c r="O179" s="195">
        <f t="shared" si="106"/>
        <v>200000</v>
      </c>
      <c r="P179" s="195">
        <f t="shared" si="106"/>
        <v>200000</v>
      </c>
      <c r="Q179" s="195">
        <f t="shared" si="106"/>
        <v>200000</v>
      </c>
      <c r="R179" s="196">
        <f t="shared" si="106"/>
        <v>200000</v>
      </c>
    </row>
    <row r="180" spans="1:18" x14ac:dyDescent="0.3">
      <c r="B180" s="31" t="s">
        <v>239</v>
      </c>
      <c r="C180" s="235">
        <v>5000000</v>
      </c>
      <c r="D180" s="195">
        <f t="shared" ref="D180:R180" si="107">+C180</f>
        <v>5000000</v>
      </c>
      <c r="E180" s="195">
        <f t="shared" si="107"/>
        <v>5000000</v>
      </c>
      <c r="F180" s="195">
        <f t="shared" si="107"/>
        <v>5000000</v>
      </c>
      <c r="G180" s="195">
        <f t="shared" si="107"/>
        <v>5000000</v>
      </c>
      <c r="H180" s="195">
        <f t="shared" si="107"/>
        <v>5000000</v>
      </c>
      <c r="I180" s="195">
        <f t="shared" si="107"/>
        <v>5000000</v>
      </c>
      <c r="J180" s="195">
        <f t="shared" si="107"/>
        <v>5000000</v>
      </c>
      <c r="K180" s="195">
        <f t="shared" si="107"/>
        <v>5000000</v>
      </c>
      <c r="L180" s="195">
        <f t="shared" si="107"/>
        <v>5000000</v>
      </c>
      <c r="M180" s="195">
        <f t="shared" si="107"/>
        <v>5000000</v>
      </c>
      <c r="N180" s="195">
        <f t="shared" si="107"/>
        <v>5000000</v>
      </c>
      <c r="O180" s="195">
        <f t="shared" si="107"/>
        <v>5000000</v>
      </c>
      <c r="P180" s="195">
        <f t="shared" si="107"/>
        <v>5000000</v>
      </c>
      <c r="Q180" s="195">
        <f t="shared" si="107"/>
        <v>5000000</v>
      </c>
      <c r="R180" s="196">
        <f t="shared" si="107"/>
        <v>5000000</v>
      </c>
    </row>
    <row r="181" spans="1:18" x14ac:dyDescent="0.3">
      <c r="B181" s="35" t="s">
        <v>240</v>
      </c>
      <c r="C181" s="236">
        <v>1000000</v>
      </c>
      <c r="D181" s="197">
        <f t="shared" ref="D181:R181" si="108">+C181</f>
        <v>1000000</v>
      </c>
      <c r="E181" s="197">
        <f t="shared" si="108"/>
        <v>1000000</v>
      </c>
      <c r="F181" s="197">
        <f t="shared" si="108"/>
        <v>1000000</v>
      </c>
      <c r="G181" s="197">
        <f t="shared" si="108"/>
        <v>1000000</v>
      </c>
      <c r="H181" s="197">
        <f t="shared" si="108"/>
        <v>1000000</v>
      </c>
      <c r="I181" s="197">
        <f t="shared" si="108"/>
        <v>1000000</v>
      </c>
      <c r="J181" s="197">
        <f t="shared" si="108"/>
        <v>1000000</v>
      </c>
      <c r="K181" s="197">
        <f t="shared" si="108"/>
        <v>1000000</v>
      </c>
      <c r="L181" s="197">
        <f t="shared" si="108"/>
        <v>1000000</v>
      </c>
      <c r="M181" s="197">
        <f t="shared" si="108"/>
        <v>1000000</v>
      </c>
      <c r="N181" s="197">
        <f t="shared" si="108"/>
        <v>1000000</v>
      </c>
      <c r="O181" s="197">
        <f t="shared" si="108"/>
        <v>1000000</v>
      </c>
      <c r="P181" s="197">
        <f t="shared" si="108"/>
        <v>1000000</v>
      </c>
      <c r="Q181" s="197">
        <f t="shared" si="108"/>
        <v>1000000</v>
      </c>
      <c r="R181" s="198">
        <f t="shared" si="108"/>
        <v>1000000</v>
      </c>
    </row>
    <row r="184" spans="1:18" x14ac:dyDescent="0.3">
      <c r="A184" s="113" t="s">
        <v>175</v>
      </c>
      <c r="B184" s="188" t="s">
        <v>217</v>
      </c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</row>
    <row r="186" spans="1:18" x14ac:dyDescent="0.3">
      <c r="B186" s="231" t="s">
        <v>232</v>
      </c>
      <c r="C186" s="246">
        <f t="shared" ref="C186:R186" si="109">+C165*C176</f>
        <v>48000000</v>
      </c>
      <c r="D186" s="237">
        <f t="shared" si="109"/>
        <v>48000000</v>
      </c>
      <c r="E186" s="237">
        <f t="shared" si="109"/>
        <v>48000000</v>
      </c>
      <c r="F186" s="237">
        <f t="shared" si="109"/>
        <v>48000000</v>
      </c>
      <c r="G186" s="237">
        <f t="shared" si="109"/>
        <v>48000000</v>
      </c>
      <c r="H186" s="237">
        <f t="shared" si="109"/>
        <v>48000000</v>
      </c>
      <c r="I186" s="237">
        <f t="shared" si="109"/>
        <v>48000000</v>
      </c>
      <c r="J186" s="237">
        <f t="shared" si="109"/>
        <v>48000000</v>
      </c>
      <c r="K186" s="237">
        <f t="shared" si="109"/>
        <v>48000000</v>
      </c>
      <c r="L186" s="237">
        <f t="shared" si="109"/>
        <v>48000000</v>
      </c>
      <c r="M186" s="237">
        <f t="shared" si="109"/>
        <v>48000000</v>
      </c>
      <c r="N186" s="237">
        <f t="shared" si="109"/>
        <v>48000000</v>
      </c>
      <c r="O186" s="237">
        <f t="shared" si="109"/>
        <v>48000000</v>
      </c>
      <c r="P186" s="237">
        <f t="shared" si="109"/>
        <v>48000000</v>
      </c>
      <c r="Q186" s="237">
        <f t="shared" si="109"/>
        <v>48000000</v>
      </c>
      <c r="R186" s="179">
        <f t="shared" si="109"/>
        <v>48000000</v>
      </c>
    </row>
    <row r="187" spans="1:18" x14ac:dyDescent="0.3">
      <c r="B187" s="31" t="s">
        <v>233</v>
      </c>
      <c r="C187" s="247">
        <f t="shared" ref="C187:R187" si="110">+C166*C177*C147</f>
        <v>1200000000</v>
      </c>
      <c r="D187" s="159">
        <f t="shared" si="110"/>
        <v>1200000000</v>
      </c>
      <c r="E187" s="159">
        <f t="shared" si="110"/>
        <v>1200000000</v>
      </c>
      <c r="F187" s="159">
        <f t="shared" si="110"/>
        <v>1200000000</v>
      </c>
      <c r="G187" s="159">
        <f t="shared" si="110"/>
        <v>1200000000</v>
      </c>
      <c r="H187" s="159">
        <f t="shared" si="110"/>
        <v>1200000000</v>
      </c>
      <c r="I187" s="159">
        <f t="shared" si="110"/>
        <v>1200000000</v>
      </c>
      <c r="J187" s="159">
        <f t="shared" si="110"/>
        <v>1200000000</v>
      </c>
      <c r="K187" s="159">
        <f t="shared" si="110"/>
        <v>1200000000</v>
      </c>
      <c r="L187" s="159">
        <f t="shared" si="110"/>
        <v>1200000000</v>
      </c>
      <c r="M187" s="159">
        <f t="shared" si="110"/>
        <v>1200000000</v>
      </c>
      <c r="N187" s="159">
        <f t="shared" si="110"/>
        <v>1200000000</v>
      </c>
      <c r="O187" s="159">
        <f t="shared" si="110"/>
        <v>1200000000</v>
      </c>
      <c r="P187" s="159">
        <f t="shared" si="110"/>
        <v>1200000000</v>
      </c>
      <c r="Q187" s="159">
        <f t="shared" si="110"/>
        <v>1200000000</v>
      </c>
      <c r="R187" s="181">
        <f t="shared" si="110"/>
        <v>1200000000</v>
      </c>
    </row>
    <row r="188" spans="1:18" x14ac:dyDescent="0.3">
      <c r="A188" s="245">
        <v>1</v>
      </c>
      <c r="B188" s="31" t="s">
        <v>235</v>
      </c>
      <c r="C188" s="247">
        <f t="shared" ref="C188:R188" si="111">+C167*C178*$A$188</f>
        <v>2000000</v>
      </c>
      <c r="D188" s="159">
        <f t="shared" si="111"/>
        <v>2000000</v>
      </c>
      <c r="E188" s="159">
        <f t="shared" si="111"/>
        <v>2000000</v>
      </c>
      <c r="F188" s="159">
        <f t="shared" si="111"/>
        <v>2000000</v>
      </c>
      <c r="G188" s="159">
        <f t="shared" si="111"/>
        <v>2000000</v>
      </c>
      <c r="H188" s="159">
        <f t="shared" si="111"/>
        <v>2000000</v>
      </c>
      <c r="I188" s="159">
        <f t="shared" si="111"/>
        <v>2000000</v>
      </c>
      <c r="J188" s="159">
        <f t="shared" si="111"/>
        <v>2000000</v>
      </c>
      <c r="K188" s="159">
        <f t="shared" si="111"/>
        <v>2000000</v>
      </c>
      <c r="L188" s="159">
        <f t="shared" si="111"/>
        <v>2000000</v>
      </c>
      <c r="M188" s="159">
        <f t="shared" si="111"/>
        <v>2000000</v>
      </c>
      <c r="N188" s="159">
        <f t="shared" si="111"/>
        <v>2000000</v>
      </c>
      <c r="O188" s="159">
        <f t="shared" si="111"/>
        <v>2000000</v>
      </c>
      <c r="P188" s="159">
        <f t="shared" si="111"/>
        <v>2000000</v>
      </c>
      <c r="Q188" s="159">
        <f t="shared" si="111"/>
        <v>2000000</v>
      </c>
      <c r="R188" s="181">
        <f t="shared" si="111"/>
        <v>2000000</v>
      </c>
    </row>
    <row r="189" spans="1:18" x14ac:dyDescent="0.3">
      <c r="A189" s="245">
        <v>1</v>
      </c>
      <c r="B189" s="31" t="s">
        <v>237</v>
      </c>
      <c r="C189" s="247">
        <f t="shared" ref="C189:R189" si="112">+C168*C179*$A$189</f>
        <v>2400000</v>
      </c>
      <c r="D189" s="159">
        <f t="shared" si="112"/>
        <v>2400000</v>
      </c>
      <c r="E189" s="159">
        <f t="shared" si="112"/>
        <v>2400000</v>
      </c>
      <c r="F189" s="159">
        <f t="shared" si="112"/>
        <v>2400000</v>
      </c>
      <c r="G189" s="159">
        <f t="shared" si="112"/>
        <v>2400000</v>
      </c>
      <c r="H189" s="159">
        <f t="shared" si="112"/>
        <v>2400000</v>
      </c>
      <c r="I189" s="159">
        <f t="shared" si="112"/>
        <v>2400000</v>
      </c>
      <c r="J189" s="159">
        <f t="shared" si="112"/>
        <v>2400000</v>
      </c>
      <c r="K189" s="159">
        <f t="shared" si="112"/>
        <v>2400000</v>
      </c>
      <c r="L189" s="159">
        <f t="shared" si="112"/>
        <v>2400000</v>
      </c>
      <c r="M189" s="159">
        <f t="shared" si="112"/>
        <v>2400000</v>
      </c>
      <c r="N189" s="159">
        <f t="shared" si="112"/>
        <v>2400000</v>
      </c>
      <c r="O189" s="159">
        <f t="shared" si="112"/>
        <v>2400000</v>
      </c>
      <c r="P189" s="159">
        <f t="shared" si="112"/>
        <v>2400000</v>
      </c>
      <c r="Q189" s="159">
        <f t="shared" si="112"/>
        <v>2400000</v>
      </c>
      <c r="R189" s="181">
        <f t="shared" si="112"/>
        <v>2400000</v>
      </c>
    </row>
    <row r="190" spans="1:18" x14ac:dyDescent="0.3">
      <c r="A190" s="245"/>
      <c r="B190" s="31" t="s">
        <v>239</v>
      </c>
      <c r="C190" s="247">
        <f t="shared" ref="C190:R190" si="113">+C169*C180*$C$147</f>
        <v>1000000000</v>
      </c>
      <c r="D190" s="159">
        <f t="shared" si="113"/>
        <v>1000000000</v>
      </c>
      <c r="E190" s="159">
        <f t="shared" si="113"/>
        <v>1000000000</v>
      </c>
      <c r="F190" s="159">
        <f t="shared" si="113"/>
        <v>1000000000</v>
      </c>
      <c r="G190" s="159">
        <f t="shared" si="113"/>
        <v>1000000000</v>
      </c>
      <c r="H190" s="159">
        <f t="shared" si="113"/>
        <v>1000000000</v>
      </c>
      <c r="I190" s="159">
        <f t="shared" si="113"/>
        <v>1000000000</v>
      </c>
      <c r="J190" s="159">
        <f t="shared" si="113"/>
        <v>1000000000</v>
      </c>
      <c r="K190" s="159">
        <f t="shared" si="113"/>
        <v>1000000000</v>
      </c>
      <c r="L190" s="159">
        <f t="shared" si="113"/>
        <v>1000000000</v>
      </c>
      <c r="M190" s="159">
        <f t="shared" si="113"/>
        <v>1000000000</v>
      </c>
      <c r="N190" s="159">
        <f t="shared" si="113"/>
        <v>1000000000</v>
      </c>
      <c r="O190" s="159">
        <f t="shared" si="113"/>
        <v>1000000000</v>
      </c>
      <c r="P190" s="159">
        <f t="shared" si="113"/>
        <v>1000000000</v>
      </c>
      <c r="Q190" s="159">
        <f t="shared" si="113"/>
        <v>1000000000</v>
      </c>
      <c r="R190" s="181">
        <f t="shared" si="113"/>
        <v>1000000000</v>
      </c>
    </row>
    <row r="191" spans="1:18" x14ac:dyDescent="0.3">
      <c r="B191" s="35" t="s">
        <v>240</v>
      </c>
      <c r="C191" s="248">
        <f t="shared" ref="C191:R191" si="114">+C170*C181*C147</f>
        <v>1200000000</v>
      </c>
      <c r="D191" s="176">
        <f t="shared" si="114"/>
        <v>1200000000</v>
      </c>
      <c r="E191" s="176">
        <f t="shared" si="114"/>
        <v>1200000000</v>
      </c>
      <c r="F191" s="176">
        <f t="shared" si="114"/>
        <v>1200000000</v>
      </c>
      <c r="G191" s="176">
        <f t="shared" si="114"/>
        <v>1200000000</v>
      </c>
      <c r="H191" s="176">
        <f t="shared" si="114"/>
        <v>1200000000</v>
      </c>
      <c r="I191" s="176">
        <f t="shared" si="114"/>
        <v>1200000000</v>
      </c>
      <c r="J191" s="176">
        <f t="shared" si="114"/>
        <v>1200000000</v>
      </c>
      <c r="K191" s="176">
        <f t="shared" si="114"/>
        <v>1200000000</v>
      </c>
      <c r="L191" s="176">
        <f t="shared" si="114"/>
        <v>1200000000</v>
      </c>
      <c r="M191" s="176">
        <f t="shared" si="114"/>
        <v>1200000000</v>
      </c>
      <c r="N191" s="176">
        <f t="shared" si="114"/>
        <v>1200000000</v>
      </c>
      <c r="O191" s="176">
        <f t="shared" si="114"/>
        <v>1200000000</v>
      </c>
      <c r="P191" s="176">
        <f t="shared" si="114"/>
        <v>1200000000</v>
      </c>
      <c r="Q191" s="176">
        <f t="shared" si="114"/>
        <v>1200000000</v>
      </c>
      <c r="R191" s="182">
        <f t="shared" si="114"/>
        <v>1200000000</v>
      </c>
    </row>
    <row r="192" spans="1:18" x14ac:dyDescent="0.3">
      <c r="B192" s="139" t="s">
        <v>218</v>
      </c>
      <c r="C192" s="199">
        <f t="shared" ref="C192:R192" si="115">SUM(C186:C191)</f>
        <v>3452400000</v>
      </c>
      <c r="D192" s="199">
        <f t="shared" si="115"/>
        <v>3452400000</v>
      </c>
      <c r="E192" s="199">
        <f t="shared" si="115"/>
        <v>3452400000</v>
      </c>
      <c r="F192" s="199">
        <f t="shared" si="115"/>
        <v>3452400000</v>
      </c>
      <c r="G192" s="199">
        <f t="shared" si="115"/>
        <v>3452400000</v>
      </c>
      <c r="H192" s="199">
        <f t="shared" si="115"/>
        <v>3452400000</v>
      </c>
      <c r="I192" s="199">
        <f t="shared" si="115"/>
        <v>3452400000</v>
      </c>
      <c r="J192" s="199">
        <f t="shared" si="115"/>
        <v>3452400000</v>
      </c>
      <c r="K192" s="199">
        <f t="shared" si="115"/>
        <v>3452400000</v>
      </c>
      <c r="L192" s="199">
        <f t="shared" si="115"/>
        <v>3452400000</v>
      </c>
      <c r="M192" s="199">
        <f t="shared" si="115"/>
        <v>3452400000</v>
      </c>
      <c r="N192" s="199">
        <f t="shared" si="115"/>
        <v>3452400000</v>
      </c>
      <c r="O192" s="199">
        <f t="shared" si="115"/>
        <v>3452400000</v>
      </c>
      <c r="P192" s="199">
        <f t="shared" si="115"/>
        <v>3452400000</v>
      </c>
      <c r="Q192" s="199">
        <f t="shared" si="115"/>
        <v>3452400000</v>
      </c>
      <c r="R192" s="199">
        <f t="shared" si="115"/>
        <v>3452400000</v>
      </c>
    </row>
    <row r="194" spans="1:20" x14ac:dyDescent="0.3">
      <c r="B194" s="8" t="s">
        <v>241</v>
      </c>
      <c r="C194" s="158">
        <f t="shared" ref="C194:R194" si="116">+C192/1000000</f>
        <v>3452.4</v>
      </c>
      <c r="D194" s="158">
        <f t="shared" si="116"/>
        <v>3452.4</v>
      </c>
      <c r="E194" s="158">
        <f t="shared" si="116"/>
        <v>3452.4</v>
      </c>
      <c r="F194" s="158">
        <f t="shared" si="116"/>
        <v>3452.4</v>
      </c>
      <c r="G194" s="158">
        <f t="shared" si="116"/>
        <v>3452.4</v>
      </c>
      <c r="H194" s="158">
        <f t="shared" si="116"/>
        <v>3452.4</v>
      </c>
      <c r="I194" s="158">
        <f t="shared" si="116"/>
        <v>3452.4</v>
      </c>
      <c r="J194" s="158">
        <f t="shared" si="116"/>
        <v>3452.4</v>
      </c>
      <c r="K194" s="158">
        <f t="shared" si="116"/>
        <v>3452.4</v>
      </c>
      <c r="L194" s="158">
        <f t="shared" si="116"/>
        <v>3452.4</v>
      </c>
      <c r="M194" s="158">
        <f t="shared" si="116"/>
        <v>3452.4</v>
      </c>
      <c r="N194" s="158">
        <f t="shared" si="116"/>
        <v>3452.4</v>
      </c>
      <c r="O194" s="158">
        <f t="shared" si="116"/>
        <v>3452.4</v>
      </c>
      <c r="P194" s="158">
        <f t="shared" si="116"/>
        <v>3452.4</v>
      </c>
      <c r="Q194" s="158">
        <f t="shared" si="116"/>
        <v>3452.4</v>
      </c>
      <c r="R194" s="158">
        <f t="shared" si="116"/>
        <v>3452.4</v>
      </c>
    </row>
    <row r="195" spans="1:20" x14ac:dyDescent="0.3">
      <c r="B195" s="238" t="s">
        <v>242</v>
      </c>
      <c r="C195" s="240">
        <f>+C194</f>
        <v>3452.4</v>
      </c>
      <c r="D195" s="240">
        <f t="shared" ref="D195:R195" si="117">+C195*(1+D148)</f>
        <v>3625.0200000000004</v>
      </c>
      <c r="E195" s="240">
        <f t="shared" si="117"/>
        <v>3770.0208000000007</v>
      </c>
      <c r="F195" s="240">
        <f t="shared" si="117"/>
        <v>3883.1214240000008</v>
      </c>
      <c r="G195" s="240">
        <f t="shared" si="117"/>
        <v>3999.6150667200009</v>
      </c>
      <c r="H195" s="240">
        <f t="shared" si="117"/>
        <v>4119.6035187216012</v>
      </c>
      <c r="I195" s="240">
        <f t="shared" si="117"/>
        <v>4243.1916242832494</v>
      </c>
      <c r="J195" s="240">
        <f t="shared" si="117"/>
        <v>4370.487373011747</v>
      </c>
      <c r="K195" s="240">
        <f t="shared" si="117"/>
        <v>4501.6019942020994</v>
      </c>
      <c r="L195" s="240">
        <f t="shared" si="117"/>
        <v>4636.6500540281622</v>
      </c>
      <c r="M195" s="240">
        <f t="shared" si="117"/>
        <v>4775.7495556490076</v>
      </c>
      <c r="N195" s="240">
        <f t="shared" si="117"/>
        <v>4919.0220423184783</v>
      </c>
      <c r="O195" s="240">
        <f t="shared" si="117"/>
        <v>5066.5927035880331</v>
      </c>
      <c r="P195" s="240">
        <f t="shared" si="117"/>
        <v>5218.5904846956746</v>
      </c>
      <c r="Q195" s="240">
        <f t="shared" si="117"/>
        <v>5375.1481992365452</v>
      </c>
      <c r="R195" s="240">
        <f t="shared" si="117"/>
        <v>5536.4026452136413</v>
      </c>
    </row>
    <row r="197" spans="1:20" x14ac:dyDescent="0.3">
      <c r="B197" s="141" t="s">
        <v>243</v>
      </c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</row>
    <row r="198" spans="1:20" ht="14.5" x14ac:dyDescent="0.3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ht="14.5" x14ac:dyDescent="0.35">
      <c r="A199" s="113" t="s">
        <v>175</v>
      </c>
      <c r="B199" s="188" t="s">
        <v>176</v>
      </c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x14ac:dyDescent="0.3">
      <c r="C200" s="113" t="s">
        <v>178</v>
      </c>
    </row>
    <row r="201" spans="1:20" x14ac:dyDescent="0.3">
      <c r="A201" s="4" t="s">
        <v>231</v>
      </c>
      <c r="B201" s="231" t="s">
        <v>244</v>
      </c>
      <c r="C201" s="232">
        <v>3</v>
      </c>
      <c r="D201" s="177">
        <f t="shared" ref="D201:R201" si="118">+C201</f>
        <v>3</v>
      </c>
      <c r="E201" s="177">
        <f t="shared" si="118"/>
        <v>3</v>
      </c>
      <c r="F201" s="177">
        <f t="shared" si="118"/>
        <v>3</v>
      </c>
      <c r="G201" s="177">
        <f t="shared" si="118"/>
        <v>3</v>
      </c>
      <c r="H201" s="177">
        <f t="shared" si="118"/>
        <v>3</v>
      </c>
      <c r="I201" s="177">
        <f t="shared" si="118"/>
        <v>3</v>
      </c>
      <c r="J201" s="177">
        <f t="shared" si="118"/>
        <v>3</v>
      </c>
      <c r="K201" s="177">
        <f t="shared" si="118"/>
        <v>3</v>
      </c>
      <c r="L201" s="177">
        <f t="shared" si="118"/>
        <v>3</v>
      </c>
      <c r="M201" s="177">
        <f t="shared" si="118"/>
        <v>3</v>
      </c>
      <c r="N201" s="177">
        <f t="shared" si="118"/>
        <v>3</v>
      </c>
      <c r="O201" s="177">
        <f t="shared" si="118"/>
        <v>3</v>
      </c>
      <c r="P201" s="177">
        <f t="shared" si="118"/>
        <v>3</v>
      </c>
      <c r="Q201" s="177">
        <f t="shared" si="118"/>
        <v>3</v>
      </c>
      <c r="R201" s="209">
        <f t="shared" si="118"/>
        <v>3</v>
      </c>
    </row>
    <row r="202" spans="1:20" x14ac:dyDescent="0.3">
      <c r="B202" s="35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7"/>
    </row>
    <row r="204" spans="1:20" x14ac:dyDescent="0.3">
      <c r="A204" s="113" t="s">
        <v>175</v>
      </c>
      <c r="B204" s="188" t="s">
        <v>215</v>
      </c>
    </row>
    <row r="205" spans="1:20" x14ac:dyDescent="0.3">
      <c r="C205" s="113" t="s">
        <v>216</v>
      </c>
    </row>
    <row r="206" spans="1:20" x14ac:dyDescent="0.3">
      <c r="B206" s="231" t="s">
        <v>244</v>
      </c>
      <c r="C206" s="241">
        <v>3500000</v>
      </c>
      <c r="D206" s="193">
        <f t="shared" ref="D206:R206" si="119">+C206</f>
        <v>3500000</v>
      </c>
      <c r="E206" s="193">
        <f t="shared" si="119"/>
        <v>3500000</v>
      </c>
      <c r="F206" s="193">
        <f t="shared" si="119"/>
        <v>3500000</v>
      </c>
      <c r="G206" s="193">
        <f t="shared" si="119"/>
        <v>3500000</v>
      </c>
      <c r="H206" s="193">
        <f t="shared" si="119"/>
        <v>3500000</v>
      </c>
      <c r="I206" s="193">
        <f t="shared" si="119"/>
        <v>3500000</v>
      </c>
      <c r="J206" s="193">
        <f t="shared" si="119"/>
        <v>3500000</v>
      </c>
      <c r="K206" s="193">
        <f t="shared" si="119"/>
        <v>3500000</v>
      </c>
      <c r="L206" s="193">
        <f t="shared" si="119"/>
        <v>3500000</v>
      </c>
      <c r="M206" s="193">
        <f t="shared" si="119"/>
        <v>3500000</v>
      </c>
      <c r="N206" s="193">
        <f t="shared" si="119"/>
        <v>3500000</v>
      </c>
      <c r="O206" s="193">
        <f t="shared" si="119"/>
        <v>3500000</v>
      </c>
      <c r="P206" s="193">
        <f t="shared" si="119"/>
        <v>3500000</v>
      </c>
      <c r="Q206" s="193">
        <f t="shared" si="119"/>
        <v>3500000</v>
      </c>
      <c r="R206" s="194">
        <f t="shared" si="119"/>
        <v>3500000</v>
      </c>
    </row>
    <row r="207" spans="1:20" x14ac:dyDescent="0.3">
      <c r="B207" s="35"/>
      <c r="C207" s="242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8"/>
    </row>
    <row r="209" spans="1:18" x14ac:dyDescent="0.3">
      <c r="A209" s="113" t="s">
        <v>175</v>
      </c>
      <c r="B209" s="188" t="s">
        <v>217</v>
      </c>
    </row>
    <row r="211" spans="1:18" x14ac:dyDescent="0.3">
      <c r="B211" s="231" t="s">
        <v>244</v>
      </c>
      <c r="C211" s="243">
        <f t="shared" ref="C211:R211" si="120">+C206*C201</f>
        <v>10500000</v>
      </c>
      <c r="D211" s="193">
        <f t="shared" si="120"/>
        <v>10500000</v>
      </c>
      <c r="E211" s="193">
        <f t="shared" si="120"/>
        <v>10500000</v>
      </c>
      <c r="F211" s="193">
        <f t="shared" si="120"/>
        <v>10500000</v>
      </c>
      <c r="G211" s="193">
        <f t="shared" si="120"/>
        <v>10500000</v>
      </c>
      <c r="H211" s="193">
        <f t="shared" si="120"/>
        <v>10500000</v>
      </c>
      <c r="I211" s="193">
        <f t="shared" si="120"/>
        <v>10500000</v>
      </c>
      <c r="J211" s="193">
        <f t="shared" si="120"/>
        <v>10500000</v>
      </c>
      <c r="K211" s="193">
        <f t="shared" si="120"/>
        <v>10500000</v>
      </c>
      <c r="L211" s="193">
        <f t="shared" si="120"/>
        <v>10500000</v>
      </c>
      <c r="M211" s="193">
        <f t="shared" si="120"/>
        <v>10500000</v>
      </c>
      <c r="N211" s="193">
        <f t="shared" si="120"/>
        <v>10500000</v>
      </c>
      <c r="O211" s="193">
        <f t="shared" si="120"/>
        <v>10500000</v>
      </c>
      <c r="P211" s="193">
        <f t="shared" si="120"/>
        <v>10500000</v>
      </c>
      <c r="Q211" s="193">
        <f t="shared" si="120"/>
        <v>10500000</v>
      </c>
      <c r="R211" s="194">
        <f t="shared" si="120"/>
        <v>10500000</v>
      </c>
    </row>
    <row r="212" spans="1:18" x14ac:dyDescent="0.3">
      <c r="B212" s="35"/>
      <c r="C212" s="244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8"/>
    </row>
    <row r="214" spans="1:18" x14ac:dyDescent="0.3">
      <c r="B214" s="8" t="s">
        <v>241</v>
      </c>
      <c r="C214" s="140">
        <f t="shared" ref="C214:R214" si="121">+C211/1000000</f>
        <v>10.5</v>
      </c>
      <c r="D214" s="140">
        <f t="shared" si="121"/>
        <v>10.5</v>
      </c>
      <c r="E214" s="140">
        <f t="shared" si="121"/>
        <v>10.5</v>
      </c>
      <c r="F214" s="140">
        <f t="shared" si="121"/>
        <v>10.5</v>
      </c>
      <c r="G214" s="140">
        <f t="shared" si="121"/>
        <v>10.5</v>
      </c>
      <c r="H214" s="140">
        <f t="shared" si="121"/>
        <v>10.5</v>
      </c>
      <c r="I214" s="140">
        <f t="shared" si="121"/>
        <v>10.5</v>
      </c>
      <c r="J214" s="140">
        <f t="shared" si="121"/>
        <v>10.5</v>
      </c>
      <c r="K214" s="140">
        <f t="shared" si="121"/>
        <v>10.5</v>
      </c>
      <c r="L214" s="140">
        <f t="shared" si="121"/>
        <v>10.5</v>
      </c>
      <c r="M214" s="140">
        <f t="shared" si="121"/>
        <v>10.5</v>
      </c>
      <c r="N214" s="140">
        <f t="shared" si="121"/>
        <v>10.5</v>
      </c>
      <c r="O214" s="140">
        <f t="shared" si="121"/>
        <v>10.5</v>
      </c>
      <c r="P214" s="140">
        <f t="shared" si="121"/>
        <v>10.5</v>
      </c>
      <c r="Q214" s="140">
        <f t="shared" si="121"/>
        <v>10.5</v>
      </c>
      <c r="R214" s="140">
        <f t="shared" si="121"/>
        <v>10.5</v>
      </c>
    </row>
    <row r="215" spans="1:18" x14ac:dyDescent="0.3">
      <c r="B215" s="238" t="s">
        <v>242</v>
      </c>
      <c r="C215" s="239">
        <f>+C214</f>
        <v>10.5</v>
      </c>
      <c r="D215" s="239">
        <f t="shared" ref="D215:R215" si="122">+C215*(1+D148)</f>
        <v>11.025</v>
      </c>
      <c r="E215" s="239">
        <f t="shared" si="122"/>
        <v>11.466000000000001</v>
      </c>
      <c r="F215" s="239">
        <f t="shared" si="122"/>
        <v>11.809980000000001</v>
      </c>
      <c r="G215" s="239">
        <f t="shared" si="122"/>
        <v>12.164279400000002</v>
      </c>
      <c r="H215" s="239">
        <f t="shared" si="122"/>
        <v>12.529207782000002</v>
      </c>
      <c r="I215" s="239">
        <f t="shared" si="122"/>
        <v>12.905084015460002</v>
      </c>
      <c r="J215" s="239">
        <f t="shared" si="122"/>
        <v>13.292236535923802</v>
      </c>
      <c r="K215" s="239">
        <f t="shared" si="122"/>
        <v>13.691003632001516</v>
      </c>
      <c r="L215" s="239">
        <f t="shared" si="122"/>
        <v>14.101733740961562</v>
      </c>
      <c r="M215" s="239">
        <f t="shared" si="122"/>
        <v>14.524785753190409</v>
      </c>
      <c r="N215" s="239">
        <f t="shared" si="122"/>
        <v>14.960529325786123</v>
      </c>
      <c r="O215" s="239">
        <f t="shared" si="122"/>
        <v>15.409345205559706</v>
      </c>
      <c r="P215" s="239">
        <f t="shared" si="122"/>
        <v>15.871625561726498</v>
      </c>
      <c r="Q215" s="239">
        <f t="shared" si="122"/>
        <v>16.347774328578293</v>
      </c>
      <c r="R215" s="239">
        <f t="shared" si="122"/>
        <v>16.838207558435641</v>
      </c>
    </row>
    <row r="217" spans="1:18" x14ac:dyDescent="0.3">
      <c r="B217" s="87" t="s">
        <v>245</v>
      </c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9"/>
    </row>
    <row r="219" spans="1:18" x14ac:dyDescent="0.3">
      <c r="B219" s="141" t="s">
        <v>230</v>
      </c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</row>
    <row r="220" spans="1:18" ht="14.5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</row>
    <row r="221" spans="1:18" x14ac:dyDescent="0.3">
      <c r="B221" s="188" t="s">
        <v>246</v>
      </c>
      <c r="C221" s="156">
        <v>0.03</v>
      </c>
      <c r="D221" s="60">
        <f>+C221</f>
        <v>0.03</v>
      </c>
      <c r="E221" s="60">
        <f t="shared" ref="E221:R221" si="123">+D221</f>
        <v>0.03</v>
      </c>
      <c r="F221" s="60">
        <f t="shared" si="123"/>
        <v>0.03</v>
      </c>
      <c r="G221" s="60">
        <f t="shared" si="123"/>
        <v>0.03</v>
      </c>
      <c r="H221" s="60">
        <f t="shared" si="123"/>
        <v>0.03</v>
      </c>
      <c r="I221" s="60">
        <f t="shared" si="123"/>
        <v>0.03</v>
      </c>
      <c r="J221" s="60">
        <f t="shared" si="123"/>
        <v>0.03</v>
      </c>
      <c r="K221" s="60">
        <f t="shared" si="123"/>
        <v>0.03</v>
      </c>
      <c r="L221" s="60">
        <f t="shared" si="123"/>
        <v>0.03</v>
      </c>
      <c r="M221" s="60">
        <f t="shared" si="123"/>
        <v>0.03</v>
      </c>
      <c r="N221" s="60">
        <f t="shared" si="123"/>
        <v>0.03</v>
      </c>
      <c r="O221" s="60">
        <f t="shared" si="123"/>
        <v>0.03</v>
      </c>
      <c r="P221" s="60">
        <f t="shared" si="123"/>
        <v>0.03</v>
      </c>
      <c r="Q221" s="60">
        <f t="shared" si="123"/>
        <v>0.03</v>
      </c>
      <c r="R221" s="60">
        <f t="shared" si="123"/>
        <v>0.03</v>
      </c>
    </row>
    <row r="223" spans="1:18" x14ac:dyDescent="0.3">
      <c r="B223" s="8" t="s">
        <v>241</v>
      </c>
      <c r="C223" s="158">
        <f>+C221*C3</f>
        <v>0</v>
      </c>
      <c r="D223" s="158">
        <f t="shared" ref="D223:R223" si="124">+D221*D3</f>
        <v>0</v>
      </c>
      <c r="E223" s="158">
        <f t="shared" si="124"/>
        <v>0</v>
      </c>
      <c r="F223" s="158">
        <f t="shared" si="124"/>
        <v>542.94568501401898</v>
      </c>
      <c r="G223" s="158">
        <f t="shared" si="124"/>
        <v>770.00661348048459</v>
      </c>
      <c r="H223" s="158">
        <f t="shared" si="124"/>
        <v>983.13635117865545</v>
      </c>
      <c r="I223" s="158">
        <f t="shared" si="124"/>
        <v>1182.9691983508108</v>
      </c>
      <c r="J223" s="158">
        <f t="shared" si="124"/>
        <v>1851.5049869671068</v>
      </c>
      <c r="K223" s="158">
        <f t="shared" si="124"/>
        <v>1889.6615860354507</v>
      </c>
      <c r="L223" s="158">
        <f t="shared" si="124"/>
        <v>1875.3791717291904</v>
      </c>
      <c r="M223" s="158">
        <f t="shared" si="124"/>
        <v>1860.3096235275186</v>
      </c>
      <c r="N223" s="158">
        <f t="shared" si="124"/>
        <v>1844.51294860035</v>
      </c>
      <c r="O223" s="158">
        <f t="shared" si="124"/>
        <v>1910.4970555019017</v>
      </c>
      <c r="P223" s="158">
        <f t="shared" si="124"/>
        <v>1854.0485947345521</v>
      </c>
      <c r="Q223" s="158">
        <f t="shared" si="124"/>
        <v>1799.2903318699969</v>
      </c>
      <c r="R223" s="158">
        <f t="shared" si="124"/>
        <v>1688.2026519593285</v>
      </c>
    </row>
    <row r="224" spans="1:18" x14ac:dyDescent="0.3">
      <c r="B224" s="238" t="s">
        <v>242</v>
      </c>
      <c r="C224" s="240">
        <f t="shared" ref="C224:E224" si="125">+C223</f>
        <v>0</v>
      </c>
      <c r="D224" s="240">
        <f t="shared" si="125"/>
        <v>0</v>
      </c>
      <c r="E224" s="240">
        <f t="shared" si="125"/>
        <v>0</v>
      </c>
      <c r="F224" s="240">
        <f>+F223</f>
        <v>542.94568501401898</v>
      </c>
      <c r="G224" s="240">
        <f t="shared" ref="G224:R224" si="126">+G223</f>
        <v>770.00661348048459</v>
      </c>
      <c r="H224" s="240">
        <f t="shared" si="126"/>
        <v>983.13635117865545</v>
      </c>
      <c r="I224" s="240">
        <f t="shared" si="126"/>
        <v>1182.9691983508108</v>
      </c>
      <c r="J224" s="240">
        <f t="shared" si="126"/>
        <v>1851.5049869671068</v>
      </c>
      <c r="K224" s="240">
        <f t="shared" si="126"/>
        <v>1889.6615860354507</v>
      </c>
      <c r="L224" s="240">
        <f t="shared" si="126"/>
        <v>1875.3791717291904</v>
      </c>
      <c r="M224" s="240">
        <f t="shared" si="126"/>
        <v>1860.3096235275186</v>
      </c>
      <c r="N224" s="240">
        <f t="shared" si="126"/>
        <v>1844.51294860035</v>
      </c>
      <c r="O224" s="240">
        <f t="shared" si="126"/>
        <v>1910.4970555019017</v>
      </c>
      <c r="P224" s="240">
        <f t="shared" si="126"/>
        <v>1854.0485947345521</v>
      </c>
      <c r="Q224" s="240">
        <f t="shared" si="126"/>
        <v>1799.2903318699969</v>
      </c>
      <c r="R224" s="240">
        <f t="shared" si="126"/>
        <v>1688.2026519593285</v>
      </c>
    </row>
    <row r="228" spans="1:18" ht="14.5" x14ac:dyDescent="0.35">
      <c r="A228" s="127"/>
      <c r="B228" s="87" t="s">
        <v>247</v>
      </c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9"/>
    </row>
    <row r="229" spans="1:18" customFormat="1" ht="14.5" x14ac:dyDescent="0.35"/>
    <row r="230" spans="1:18" x14ac:dyDescent="0.3">
      <c r="A230" s="85"/>
      <c r="B230" s="10"/>
      <c r="C230" s="20">
        <f>+Presentación!C1</f>
        <v>2021</v>
      </c>
      <c r="D230" s="20">
        <f>+Presentación!D1</f>
        <v>2022</v>
      </c>
      <c r="E230" s="20">
        <f>+Presentación!E1</f>
        <v>2023</v>
      </c>
      <c r="F230" s="20">
        <f>+Presentación!F1</f>
        <v>2024</v>
      </c>
      <c r="G230" s="20">
        <f>+Presentación!G1</f>
        <v>2025</v>
      </c>
      <c r="H230" s="20">
        <f>+Presentación!H1</f>
        <v>2026</v>
      </c>
      <c r="I230" s="20">
        <f>+Presentación!I1</f>
        <v>2027</v>
      </c>
      <c r="J230" s="20">
        <f>+Presentación!J1</f>
        <v>2028</v>
      </c>
      <c r="K230" s="20">
        <f>+Presentación!K1</f>
        <v>2029</v>
      </c>
      <c r="L230" s="20">
        <f>+Presentación!L1</f>
        <v>2030</v>
      </c>
      <c r="M230" s="20">
        <f>+Presentación!M1</f>
        <v>2031</v>
      </c>
      <c r="N230" s="20">
        <f>+Presentación!N1</f>
        <v>2032</v>
      </c>
      <c r="O230" s="20">
        <f>+Presentación!O1</f>
        <v>2033</v>
      </c>
      <c r="P230" s="20">
        <f>+Presentación!P1</f>
        <v>2034</v>
      </c>
      <c r="Q230" s="20">
        <f>+Presentación!Q1</f>
        <v>2035</v>
      </c>
      <c r="R230" s="20">
        <f>+Presentación!R1</f>
        <v>2036</v>
      </c>
    </row>
    <row r="231" spans="1:18" x14ac:dyDescent="0.3">
      <c r="A231" s="86"/>
    </row>
    <row r="232" spans="1:18" x14ac:dyDescent="0.3">
      <c r="A232" s="86"/>
      <c r="B232" s="56" t="s">
        <v>238</v>
      </c>
      <c r="C232" s="56">
        <v>0</v>
      </c>
      <c r="D232" s="56">
        <v>1</v>
      </c>
      <c r="E232" s="56">
        <v>2</v>
      </c>
      <c r="F232" s="56">
        <v>3</v>
      </c>
      <c r="G232" s="56">
        <v>4</v>
      </c>
      <c r="H232" s="56">
        <v>5</v>
      </c>
      <c r="I232" s="56">
        <v>6</v>
      </c>
      <c r="J232" s="56">
        <v>7</v>
      </c>
      <c r="K232" s="56">
        <v>8</v>
      </c>
      <c r="L232" s="56">
        <v>9</v>
      </c>
      <c r="M232" s="56">
        <v>10</v>
      </c>
      <c r="N232" s="56">
        <v>11</v>
      </c>
      <c r="O232" s="56">
        <v>12</v>
      </c>
      <c r="P232" s="56">
        <v>13</v>
      </c>
      <c r="Q232" s="56">
        <v>14</v>
      </c>
      <c r="R232" s="56">
        <v>15</v>
      </c>
    </row>
    <row r="233" spans="1:18" x14ac:dyDescent="0.3">
      <c r="A233" s="86"/>
    </row>
    <row r="234" spans="1:18" ht="14.5" x14ac:dyDescent="0.35">
      <c r="A234" s="86"/>
      <c r="C234" s="118"/>
      <c r="D234" s="118"/>
      <c r="E234"/>
    </row>
    <row r="235" spans="1:18" ht="14.5" x14ac:dyDescent="0.35">
      <c r="A235" s="86"/>
      <c r="B235" s="119" t="s">
        <v>248</v>
      </c>
      <c r="C235" s="431" t="s">
        <v>249</v>
      </c>
      <c r="D235" s="432"/>
      <c r="E235"/>
    </row>
    <row r="236" spans="1:18" ht="14.5" x14ac:dyDescent="0.35">
      <c r="A236" s="86"/>
      <c r="B236" s="120" t="s">
        <v>250</v>
      </c>
      <c r="C236" s="429" t="s">
        <v>251</v>
      </c>
      <c r="D236" s="430"/>
      <c r="E236"/>
    </row>
    <row r="237" spans="1:18" ht="14.5" x14ac:dyDescent="0.35">
      <c r="A237" s="86"/>
      <c r="B237" s="121"/>
      <c r="C237" s="118"/>
      <c r="D237" s="122"/>
      <c r="E237"/>
    </row>
    <row r="238" spans="1:18" x14ac:dyDescent="0.3">
      <c r="A238" s="86"/>
      <c r="B238" s="120" t="s">
        <v>252</v>
      </c>
      <c r="C238" s="287">
        <f>7*5</f>
        <v>35</v>
      </c>
      <c r="D238" s="122"/>
      <c r="E238" s="118"/>
    </row>
    <row r="239" spans="1:18" x14ac:dyDescent="0.3">
      <c r="A239" s="86"/>
      <c r="B239" s="120" t="s">
        <v>253</v>
      </c>
      <c r="C239" s="287">
        <v>35</v>
      </c>
      <c r="D239" s="288"/>
      <c r="E239" s="118"/>
    </row>
    <row r="240" spans="1:18" x14ac:dyDescent="0.3">
      <c r="A240" s="86"/>
      <c r="B240" s="120" t="s">
        <v>254</v>
      </c>
      <c r="C240" s="110" t="s">
        <v>255</v>
      </c>
      <c r="D240" s="122"/>
      <c r="E240" s="118"/>
    </row>
    <row r="241" spans="1:18" x14ac:dyDescent="0.3">
      <c r="A241" s="86"/>
      <c r="B241" s="123" t="s">
        <v>256</v>
      </c>
      <c r="C241" s="429" t="s">
        <v>257</v>
      </c>
      <c r="D241" s="430"/>
      <c r="E241" s="118"/>
    </row>
    <row r="242" spans="1:18" x14ac:dyDescent="0.3">
      <c r="A242" s="86"/>
      <c r="B242" s="120" t="s">
        <v>258</v>
      </c>
      <c r="C242" s="429" t="s">
        <v>259</v>
      </c>
      <c r="D242" s="430"/>
      <c r="E242" s="118"/>
    </row>
    <row r="243" spans="1:18" x14ac:dyDescent="0.3">
      <c r="A243" s="86"/>
      <c r="B243" s="120" t="s">
        <v>260</v>
      </c>
      <c r="C243" s="111">
        <v>10000</v>
      </c>
      <c r="D243" s="288" t="s">
        <v>261</v>
      </c>
      <c r="E243" s="118"/>
    </row>
    <row r="244" spans="1:18" x14ac:dyDescent="0.3">
      <c r="A244" s="86"/>
      <c r="B244" s="124" t="s">
        <v>262</v>
      </c>
      <c r="C244" s="125">
        <f>C243/C239</f>
        <v>285.71428571428572</v>
      </c>
      <c r="D244" s="126"/>
      <c r="E244" s="118"/>
    </row>
    <row r="245" spans="1:18" x14ac:dyDescent="0.3">
      <c r="B245" s="104"/>
      <c r="C245" s="112"/>
      <c r="D245" s="287"/>
      <c r="E245" s="118"/>
    </row>
    <row r="246" spans="1:18" x14ac:dyDescent="0.3">
      <c r="B246" s="9" t="s">
        <v>263</v>
      </c>
      <c r="C246" s="58"/>
      <c r="D246" s="58"/>
      <c r="E246" s="58"/>
    </row>
    <row r="247" spans="1:18" x14ac:dyDescent="0.3">
      <c r="B247" s="9"/>
      <c r="C247" s="58"/>
      <c r="D247" s="58"/>
      <c r="E247" s="58"/>
      <c r="H247" s="58"/>
    </row>
    <row r="248" spans="1:18" x14ac:dyDescent="0.3">
      <c r="B248" s="115" t="s">
        <v>264</v>
      </c>
      <c r="C248" s="116">
        <v>0</v>
      </c>
      <c r="D248" s="116">
        <f t="shared" ref="D248:I248" si="127">12*(D232)-10</f>
        <v>2</v>
      </c>
      <c r="E248" s="116">
        <f t="shared" si="127"/>
        <v>14</v>
      </c>
      <c r="F248" s="116">
        <f t="shared" si="127"/>
        <v>26</v>
      </c>
      <c r="G248" s="116">
        <f t="shared" si="127"/>
        <v>38</v>
      </c>
      <c r="H248" s="116">
        <f t="shared" si="127"/>
        <v>50</v>
      </c>
      <c r="I248" s="116">
        <f t="shared" si="127"/>
        <v>62</v>
      </c>
      <c r="J248" s="117">
        <v>100</v>
      </c>
    </row>
    <row r="249" spans="1:18" x14ac:dyDescent="0.3">
      <c r="B249" s="104"/>
      <c r="C249" s="109"/>
      <c r="D249" s="109"/>
      <c r="E249" s="58"/>
    </row>
    <row r="251" spans="1:18" x14ac:dyDescent="0.3">
      <c r="A251" s="133">
        <f>+C243</f>
        <v>10000</v>
      </c>
      <c r="B251" s="9" t="s">
        <v>265</v>
      </c>
      <c r="C251" s="65">
        <v>200</v>
      </c>
      <c r="D251" s="66">
        <f t="shared" ref="D251:R251" si="128">+C251</f>
        <v>200</v>
      </c>
      <c r="E251" s="66">
        <f t="shared" si="128"/>
        <v>200</v>
      </c>
      <c r="F251" s="66">
        <f t="shared" si="128"/>
        <v>200</v>
      </c>
      <c r="G251" s="66">
        <f t="shared" si="128"/>
        <v>200</v>
      </c>
      <c r="H251" s="66">
        <f t="shared" si="128"/>
        <v>200</v>
      </c>
      <c r="I251" s="66">
        <f t="shared" si="128"/>
        <v>200</v>
      </c>
      <c r="J251" s="66">
        <f t="shared" si="128"/>
        <v>200</v>
      </c>
      <c r="K251" s="66">
        <f t="shared" si="128"/>
        <v>200</v>
      </c>
      <c r="L251" s="66">
        <f t="shared" si="128"/>
        <v>200</v>
      </c>
      <c r="M251" s="66">
        <f t="shared" si="128"/>
        <v>200</v>
      </c>
      <c r="N251" s="66">
        <f t="shared" si="128"/>
        <v>200</v>
      </c>
      <c r="O251" s="66">
        <f t="shared" si="128"/>
        <v>200</v>
      </c>
      <c r="P251" s="66">
        <f t="shared" si="128"/>
        <v>200</v>
      </c>
      <c r="Q251" s="66">
        <f t="shared" si="128"/>
        <v>200</v>
      </c>
      <c r="R251" s="66">
        <f t="shared" si="128"/>
        <v>200</v>
      </c>
    </row>
    <row r="252" spans="1:18" x14ac:dyDescent="0.3">
      <c r="B252" s="4" t="s">
        <v>266</v>
      </c>
      <c r="C252" s="59">
        <v>0.95</v>
      </c>
      <c r="D252" s="60">
        <f t="shared" ref="D252:R252" si="129">+C252</f>
        <v>0.95</v>
      </c>
      <c r="E252" s="60">
        <f t="shared" si="129"/>
        <v>0.95</v>
      </c>
      <c r="F252" s="60">
        <f t="shared" si="129"/>
        <v>0.95</v>
      </c>
      <c r="G252" s="60">
        <f t="shared" si="129"/>
        <v>0.95</v>
      </c>
      <c r="H252" s="60">
        <f t="shared" si="129"/>
        <v>0.95</v>
      </c>
      <c r="I252" s="60">
        <f t="shared" si="129"/>
        <v>0.95</v>
      </c>
      <c r="J252" s="60">
        <f t="shared" si="129"/>
        <v>0.95</v>
      </c>
      <c r="K252" s="60">
        <f t="shared" si="129"/>
        <v>0.95</v>
      </c>
      <c r="L252" s="60">
        <f t="shared" si="129"/>
        <v>0.95</v>
      </c>
      <c r="M252" s="60">
        <f t="shared" si="129"/>
        <v>0.95</v>
      </c>
      <c r="N252" s="60">
        <f t="shared" si="129"/>
        <v>0.95</v>
      </c>
      <c r="O252" s="60">
        <f t="shared" si="129"/>
        <v>0.95</v>
      </c>
      <c r="P252" s="60">
        <f t="shared" si="129"/>
        <v>0.95</v>
      </c>
      <c r="Q252" s="60">
        <f t="shared" si="129"/>
        <v>0.95</v>
      </c>
      <c r="R252" s="60">
        <f t="shared" si="129"/>
        <v>0.95</v>
      </c>
    </row>
    <row r="253" spans="1:18" x14ac:dyDescent="0.3">
      <c r="B253" s="4" t="s">
        <v>267</v>
      </c>
      <c r="C253" s="61">
        <f>100%-C252</f>
        <v>5.0000000000000044E-2</v>
      </c>
      <c r="D253" s="61">
        <f t="shared" ref="D253:R253" si="130">100%-D252</f>
        <v>5.0000000000000044E-2</v>
      </c>
      <c r="E253" s="61">
        <f t="shared" si="130"/>
        <v>5.0000000000000044E-2</v>
      </c>
      <c r="F253" s="61">
        <f t="shared" si="130"/>
        <v>5.0000000000000044E-2</v>
      </c>
      <c r="G253" s="61">
        <f t="shared" si="130"/>
        <v>5.0000000000000044E-2</v>
      </c>
      <c r="H253" s="61">
        <f t="shared" si="130"/>
        <v>5.0000000000000044E-2</v>
      </c>
      <c r="I253" s="61">
        <f t="shared" si="130"/>
        <v>5.0000000000000044E-2</v>
      </c>
      <c r="J253" s="61">
        <f t="shared" si="130"/>
        <v>5.0000000000000044E-2</v>
      </c>
      <c r="K253" s="61">
        <f t="shared" si="130"/>
        <v>5.0000000000000044E-2</v>
      </c>
      <c r="L253" s="61">
        <f t="shared" si="130"/>
        <v>5.0000000000000044E-2</v>
      </c>
      <c r="M253" s="61">
        <f t="shared" si="130"/>
        <v>5.0000000000000044E-2</v>
      </c>
      <c r="N253" s="61">
        <f t="shared" si="130"/>
        <v>5.0000000000000044E-2</v>
      </c>
      <c r="O253" s="61">
        <f t="shared" si="130"/>
        <v>5.0000000000000044E-2</v>
      </c>
      <c r="P253" s="61">
        <f t="shared" si="130"/>
        <v>5.0000000000000044E-2</v>
      </c>
      <c r="Q253" s="61">
        <f t="shared" si="130"/>
        <v>5.0000000000000044E-2</v>
      </c>
      <c r="R253" s="61">
        <f t="shared" si="130"/>
        <v>5.0000000000000044E-2</v>
      </c>
    </row>
    <row r="254" spans="1:18" x14ac:dyDescent="0.3">
      <c r="C254" s="80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</row>
    <row r="256" spans="1:18" x14ac:dyDescent="0.3">
      <c r="A256" s="134">
        <f>7*5</f>
        <v>35</v>
      </c>
      <c r="B256" s="9" t="s">
        <v>268</v>
      </c>
    </row>
    <row r="257" spans="1:21" x14ac:dyDescent="0.3">
      <c r="A257" s="135">
        <v>0.95</v>
      </c>
      <c r="B257" s="4" t="s">
        <v>269</v>
      </c>
      <c r="C257" s="114">
        <f>+C244</f>
        <v>285.71428571428572</v>
      </c>
      <c r="D257" s="74">
        <f t="shared" ref="D257:R257" si="131">+(C257*$A$257)</f>
        <v>271.42857142857144</v>
      </c>
      <c r="E257" s="74">
        <f t="shared" si="131"/>
        <v>257.85714285714283</v>
      </c>
      <c r="F257" s="74">
        <f t="shared" si="131"/>
        <v>244.96428571428567</v>
      </c>
      <c r="G257" s="74">
        <f t="shared" si="131"/>
        <v>232.71607142857138</v>
      </c>
      <c r="H257" s="74">
        <f t="shared" si="131"/>
        <v>221.08026785714281</v>
      </c>
      <c r="I257" s="74">
        <f t="shared" si="131"/>
        <v>210.02625446428567</v>
      </c>
      <c r="J257" s="74">
        <f t="shared" si="131"/>
        <v>199.52494174107139</v>
      </c>
      <c r="K257" s="74">
        <f t="shared" si="131"/>
        <v>189.54869465401782</v>
      </c>
      <c r="L257" s="74">
        <f t="shared" si="131"/>
        <v>180.07125992131694</v>
      </c>
      <c r="M257" s="74">
        <f t="shared" si="131"/>
        <v>171.06769692525108</v>
      </c>
      <c r="N257" s="74">
        <f t="shared" si="131"/>
        <v>162.51431207898852</v>
      </c>
      <c r="O257" s="74">
        <f t="shared" si="131"/>
        <v>154.38859647503909</v>
      </c>
      <c r="P257" s="74">
        <f t="shared" si="131"/>
        <v>146.66916665128713</v>
      </c>
      <c r="Q257" s="74">
        <f t="shared" si="131"/>
        <v>139.33570831872277</v>
      </c>
      <c r="R257" s="74">
        <f t="shared" si="131"/>
        <v>132.36892290278661</v>
      </c>
      <c r="T257" s="70"/>
    </row>
    <row r="258" spans="1:21" x14ac:dyDescent="0.3">
      <c r="A258" s="132">
        <v>0.2</v>
      </c>
      <c r="B258" s="4" t="s">
        <v>270</v>
      </c>
      <c r="H258" s="57">
        <f>+ROUND(H257*$A$258,0)</f>
        <v>44</v>
      </c>
      <c r="I258" s="74">
        <f t="shared" ref="I258:R258" si="132">+(H258*$A$257)</f>
        <v>41.8</v>
      </c>
      <c r="J258" s="74">
        <f t="shared" si="132"/>
        <v>39.709999999999994</v>
      </c>
      <c r="K258" s="74">
        <f t="shared" si="132"/>
        <v>37.724499999999992</v>
      </c>
      <c r="L258" s="74">
        <f t="shared" si="132"/>
        <v>35.838274999999989</v>
      </c>
      <c r="M258" s="74">
        <f t="shared" si="132"/>
        <v>34.04636124999999</v>
      </c>
      <c r="N258" s="74">
        <f t="shared" si="132"/>
        <v>32.344043187499992</v>
      </c>
      <c r="O258" s="74">
        <f t="shared" si="132"/>
        <v>30.726841028124991</v>
      </c>
      <c r="P258" s="74">
        <f t="shared" si="132"/>
        <v>29.190498976718739</v>
      </c>
      <c r="Q258" s="74">
        <f t="shared" si="132"/>
        <v>27.730974027882802</v>
      </c>
      <c r="R258" s="74">
        <f t="shared" si="132"/>
        <v>26.344425326488661</v>
      </c>
    </row>
    <row r="259" spans="1:21" ht="14.5" x14ac:dyDescent="0.35">
      <c r="A259" s="132"/>
      <c r="B259" s="4" t="s">
        <v>271</v>
      </c>
      <c r="H259" s="81"/>
      <c r="I259" s="58"/>
      <c r="J259" s="58"/>
      <c r="K259" s="58"/>
      <c r="L259" s="58"/>
      <c r="M259" s="57">
        <f>+ROUND((M257+M258)*$A$258,0)</f>
        <v>41</v>
      </c>
      <c r="N259" s="74">
        <f>+(M259*$A$257)</f>
        <v>38.949999999999996</v>
      </c>
      <c r="O259" s="74">
        <f>+(N259*$A$257)</f>
        <v>37.002499999999998</v>
      </c>
      <c r="P259" s="74">
        <f>+(O259*$A$257)</f>
        <v>35.152374999999999</v>
      </c>
      <c r="Q259" s="74">
        <f>+(P259*$A$257)</f>
        <v>33.39475625</v>
      </c>
      <c r="R259" s="74">
        <f>+(Q259*$A$257)</f>
        <v>31.725018437499998</v>
      </c>
    </row>
    <row r="260" spans="1:21" ht="14.5" x14ac:dyDescent="0.35">
      <c r="H260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T260"/>
      <c r="U260"/>
    </row>
    <row r="261" spans="1:21" ht="14.5" x14ac:dyDescent="0.35">
      <c r="B261" s="9" t="s">
        <v>272</v>
      </c>
      <c r="C261" s="76">
        <f t="shared" ref="C261:R261" si="133">+C262+C263+C264</f>
        <v>54285.71428571429</v>
      </c>
      <c r="D261" s="76">
        <f t="shared" si="133"/>
        <v>51571.428571428572</v>
      </c>
      <c r="E261" s="76">
        <f t="shared" si="133"/>
        <v>48992.857142857138</v>
      </c>
      <c r="F261" s="76">
        <f t="shared" si="133"/>
        <v>46543.214285714275</v>
      </c>
      <c r="G261" s="76">
        <f t="shared" si="133"/>
        <v>44216.053571428565</v>
      </c>
      <c r="H261" s="76">
        <f t="shared" si="133"/>
        <v>50365.250892857133</v>
      </c>
      <c r="I261" s="138">
        <f t="shared" si="133"/>
        <v>47846.988348214276</v>
      </c>
      <c r="J261" s="76">
        <f t="shared" si="133"/>
        <v>45454.638930803565</v>
      </c>
      <c r="K261" s="76">
        <f t="shared" si="133"/>
        <v>43181.906984263383</v>
      </c>
      <c r="L261" s="76">
        <f t="shared" si="133"/>
        <v>41022.81163505021</v>
      </c>
      <c r="M261" s="76">
        <f t="shared" si="133"/>
        <v>46761.671053297701</v>
      </c>
      <c r="N261" s="76">
        <f t="shared" si="133"/>
        <v>44423.587500632821</v>
      </c>
      <c r="O261" s="76">
        <f t="shared" si="133"/>
        <v>42202.408125601178</v>
      </c>
      <c r="P261" s="76">
        <f t="shared" si="133"/>
        <v>40092.287719321117</v>
      </c>
      <c r="Q261" s="76">
        <f t="shared" si="133"/>
        <v>38087.673333355058</v>
      </c>
      <c r="R261" s="76">
        <f t="shared" si="133"/>
        <v>36183.289666687298</v>
      </c>
      <c r="T261"/>
      <c r="U261"/>
    </row>
    <row r="262" spans="1:21" ht="14.5" x14ac:dyDescent="0.35">
      <c r="B262" s="4" t="s">
        <v>273</v>
      </c>
      <c r="C262" s="71">
        <f t="shared" ref="C262:R262" si="134">+(C251*C252)*C257</f>
        <v>54285.71428571429</v>
      </c>
      <c r="D262" s="71">
        <f t="shared" si="134"/>
        <v>51571.428571428572</v>
      </c>
      <c r="E262" s="71">
        <f t="shared" si="134"/>
        <v>48992.857142857138</v>
      </c>
      <c r="F262" s="71">
        <f t="shared" si="134"/>
        <v>46543.214285714275</v>
      </c>
      <c r="G262" s="71">
        <f t="shared" si="134"/>
        <v>44216.053571428565</v>
      </c>
      <c r="H262" s="71">
        <f t="shared" si="134"/>
        <v>42005.250892857133</v>
      </c>
      <c r="I262" s="140">
        <f t="shared" si="134"/>
        <v>39904.988348214276</v>
      </c>
      <c r="J262" s="71">
        <f t="shared" si="134"/>
        <v>37909.738930803564</v>
      </c>
      <c r="K262" s="71">
        <f t="shared" si="134"/>
        <v>36014.251984263385</v>
      </c>
      <c r="L262" s="71">
        <f t="shared" si="134"/>
        <v>34213.539385050215</v>
      </c>
      <c r="M262" s="71">
        <f t="shared" si="134"/>
        <v>32502.862415797706</v>
      </c>
      <c r="N262" s="71">
        <f t="shared" si="134"/>
        <v>30877.719295007821</v>
      </c>
      <c r="O262" s="71">
        <f t="shared" si="134"/>
        <v>29333.833330257428</v>
      </c>
      <c r="P262" s="71">
        <f t="shared" si="134"/>
        <v>27867.141663744555</v>
      </c>
      <c r="Q262" s="71">
        <f t="shared" si="134"/>
        <v>26473.784580557327</v>
      </c>
      <c r="R262" s="71">
        <f t="shared" si="134"/>
        <v>25150.095351529457</v>
      </c>
      <c r="T262"/>
      <c r="U262"/>
    </row>
    <row r="263" spans="1:21" ht="14.5" x14ac:dyDescent="0.35">
      <c r="B263" s="4" t="s">
        <v>274</v>
      </c>
      <c r="C263" s="71">
        <f t="shared" ref="C263:R263" si="135">+(C251*C252)*C258</f>
        <v>0</v>
      </c>
      <c r="D263" s="71">
        <f t="shared" si="135"/>
        <v>0</v>
      </c>
      <c r="E263" s="71">
        <f t="shared" si="135"/>
        <v>0</v>
      </c>
      <c r="F263" s="71">
        <f t="shared" si="135"/>
        <v>0</v>
      </c>
      <c r="G263" s="71">
        <f t="shared" si="135"/>
        <v>0</v>
      </c>
      <c r="H263" s="71">
        <f t="shared" si="135"/>
        <v>8360</v>
      </c>
      <c r="I263" s="71">
        <f t="shared" si="135"/>
        <v>7941.9999999999991</v>
      </c>
      <c r="J263" s="71">
        <f t="shared" si="135"/>
        <v>7544.8999999999987</v>
      </c>
      <c r="K263" s="71">
        <f t="shared" si="135"/>
        <v>7167.6549999999988</v>
      </c>
      <c r="L263" s="71">
        <f t="shared" si="135"/>
        <v>6809.2722499999982</v>
      </c>
      <c r="M263" s="71">
        <f t="shared" si="135"/>
        <v>6468.8086374999984</v>
      </c>
      <c r="N263" s="71">
        <f t="shared" si="135"/>
        <v>6145.3682056249982</v>
      </c>
      <c r="O263" s="71">
        <f t="shared" si="135"/>
        <v>5838.0997953437482</v>
      </c>
      <c r="P263" s="71">
        <f t="shared" si="135"/>
        <v>5546.1948055765606</v>
      </c>
      <c r="Q263" s="71">
        <f t="shared" si="135"/>
        <v>5268.8850652977326</v>
      </c>
      <c r="R263" s="71">
        <f t="shared" si="135"/>
        <v>5005.4408120328453</v>
      </c>
      <c r="T263"/>
      <c r="U263"/>
    </row>
    <row r="264" spans="1:21" ht="14.5" x14ac:dyDescent="0.35">
      <c r="B264" s="4" t="s">
        <v>275</v>
      </c>
      <c r="C264" s="71">
        <f t="shared" ref="C264:R264" si="136">+(C251*C252)*C259</f>
        <v>0</v>
      </c>
      <c r="D264" s="71">
        <f t="shared" si="136"/>
        <v>0</v>
      </c>
      <c r="E264" s="71">
        <f t="shared" si="136"/>
        <v>0</v>
      </c>
      <c r="F264" s="71">
        <f t="shared" si="136"/>
        <v>0</v>
      </c>
      <c r="G264" s="71">
        <f t="shared" si="136"/>
        <v>0</v>
      </c>
      <c r="H264" s="71">
        <f t="shared" si="136"/>
        <v>0</v>
      </c>
      <c r="I264" s="71">
        <f t="shared" si="136"/>
        <v>0</v>
      </c>
      <c r="J264" s="71">
        <f t="shared" si="136"/>
        <v>0</v>
      </c>
      <c r="K264" s="71">
        <f t="shared" si="136"/>
        <v>0</v>
      </c>
      <c r="L264" s="71">
        <f t="shared" si="136"/>
        <v>0</v>
      </c>
      <c r="M264" s="71">
        <f t="shared" si="136"/>
        <v>7790</v>
      </c>
      <c r="N264" s="71">
        <f t="shared" si="136"/>
        <v>7400.4999999999991</v>
      </c>
      <c r="O264" s="71">
        <f t="shared" si="136"/>
        <v>7030.4749999999995</v>
      </c>
      <c r="P264" s="71">
        <f t="shared" si="136"/>
        <v>6678.9512500000001</v>
      </c>
      <c r="Q264" s="71">
        <f t="shared" si="136"/>
        <v>6345.0036875000005</v>
      </c>
      <c r="R264" s="71">
        <f t="shared" si="136"/>
        <v>6027.753503125</v>
      </c>
      <c r="T264"/>
      <c r="U264"/>
    </row>
    <row r="265" spans="1:21" ht="14.5" x14ac:dyDescent="0.35">
      <c r="B265" s="4" t="s">
        <v>276</v>
      </c>
      <c r="C265" s="77">
        <f t="shared" ref="C265:R265" si="137">+C261/(C251*C252)</f>
        <v>285.71428571428572</v>
      </c>
      <c r="D265" s="77">
        <f t="shared" si="137"/>
        <v>271.42857142857144</v>
      </c>
      <c r="E265" s="77">
        <f t="shared" si="137"/>
        <v>257.85714285714283</v>
      </c>
      <c r="F265" s="77">
        <f t="shared" si="137"/>
        <v>244.96428571428567</v>
      </c>
      <c r="G265" s="77">
        <f t="shared" si="137"/>
        <v>232.71607142857138</v>
      </c>
      <c r="H265" s="77">
        <f t="shared" si="137"/>
        <v>265.08026785714281</v>
      </c>
      <c r="I265" s="77">
        <f t="shared" si="137"/>
        <v>251.82625446428565</v>
      </c>
      <c r="J265" s="77">
        <f t="shared" si="137"/>
        <v>239.2349417410714</v>
      </c>
      <c r="K265" s="77">
        <f t="shared" si="137"/>
        <v>227.2731946540178</v>
      </c>
      <c r="L265" s="77">
        <f t="shared" si="137"/>
        <v>215.90953492131689</v>
      </c>
      <c r="M265" s="77">
        <f t="shared" si="137"/>
        <v>246.11405817525105</v>
      </c>
      <c r="N265" s="77">
        <f t="shared" si="137"/>
        <v>233.80835526648852</v>
      </c>
      <c r="O265" s="77">
        <f t="shared" si="137"/>
        <v>222.11793750316409</v>
      </c>
      <c r="P265" s="77">
        <f t="shared" si="137"/>
        <v>211.01204062800588</v>
      </c>
      <c r="Q265" s="77">
        <f t="shared" si="137"/>
        <v>200.46143859660557</v>
      </c>
      <c r="R265" s="77">
        <f t="shared" si="137"/>
        <v>190.43836666677527</v>
      </c>
      <c r="T265"/>
      <c r="U265"/>
    </row>
    <row r="266" spans="1:21" ht="14.5" x14ac:dyDescent="0.35"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T266"/>
      <c r="U266"/>
    </row>
    <row r="267" spans="1:21" ht="14.5" x14ac:dyDescent="0.35">
      <c r="T267"/>
      <c r="U267"/>
    </row>
    <row r="268" spans="1:21" ht="14.5" x14ac:dyDescent="0.35">
      <c r="B268" s="9" t="s">
        <v>277</v>
      </c>
      <c r="T268"/>
      <c r="U268"/>
    </row>
    <row r="269" spans="1:21" ht="14.5" x14ac:dyDescent="0.35">
      <c r="B269" s="8"/>
      <c r="T269"/>
      <c r="U269"/>
    </row>
    <row r="270" spans="1:21" ht="14.5" x14ac:dyDescent="0.35">
      <c r="B270" s="8" t="s">
        <v>269</v>
      </c>
      <c r="T270"/>
      <c r="U270"/>
    </row>
    <row r="271" spans="1:21" ht="14.5" x14ac:dyDescent="0.35">
      <c r="B271" s="78" t="s">
        <v>278</v>
      </c>
      <c r="C271" s="62">
        <f t="shared" ref="C271:R271" si="138">100%-SUM(C272:C273)</f>
        <v>1</v>
      </c>
      <c r="D271" s="62">
        <f t="shared" si="138"/>
        <v>1</v>
      </c>
      <c r="E271" s="62">
        <f t="shared" si="138"/>
        <v>1</v>
      </c>
      <c r="F271" s="62">
        <f t="shared" si="138"/>
        <v>0.74</v>
      </c>
      <c r="G271" s="62">
        <f t="shared" si="138"/>
        <v>0.62</v>
      </c>
      <c r="H271" s="62">
        <f t="shared" si="138"/>
        <v>0.5</v>
      </c>
      <c r="I271" s="62">
        <f t="shared" si="138"/>
        <v>0.38</v>
      </c>
      <c r="J271" s="62">
        <f t="shared" si="138"/>
        <v>0</v>
      </c>
      <c r="K271" s="62">
        <f t="shared" si="138"/>
        <v>0</v>
      </c>
      <c r="L271" s="62">
        <f t="shared" si="138"/>
        <v>0</v>
      </c>
      <c r="M271" s="62">
        <f t="shared" si="138"/>
        <v>0</v>
      </c>
      <c r="N271" s="62">
        <f t="shared" si="138"/>
        <v>0</v>
      </c>
      <c r="O271" s="62">
        <f t="shared" si="138"/>
        <v>0</v>
      </c>
      <c r="P271" s="62">
        <f t="shared" si="138"/>
        <v>0</v>
      </c>
      <c r="Q271" s="62">
        <f t="shared" si="138"/>
        <v>0</v>
      </c>
      <c r="R271" s="63">
        <f t="shared" si="138"/>
        <v>0</v>
      </c>
      <c r="T271"/>
      <c r="U271"/>
    </row>
    <row r="272" spans="1:21" x14ac:dyDescent="0.3">
      <c r="A272" s="136" t="s">
        <v>255</v>
      </c>
      <c r="B272" s="34" t="s">
        <v>279</v>
      </c>
      <c r="F272" s="68">
        <f>+((12*F232)-10)/F287</f>
        <v>0.26</v>
      </c>
      <c r="G272" s="68">
        <f>+((12*G232)-10)/G287</f>
        <v>0.38</v>
      </c>
      <c r="H272" s="68">
        <f>+((12*H232)-10)/H287</f>
        <v>0.5</v>
      </c>
      <c r="I272" s="68">
        <f>+((12*I232)-10)/I287</f>
        <v>0.62</v>
      </c>
      <c r="R272" s="32"/>
    </row>
    <row r="273" spans="1:21" x14ac:dyDescent="0.3">
      <c r="A273" s="136">
        <v>0.8</v>
      </c>
      <c r="B273" s="79" t="s">
        <v>280</v>
      </c>
      <c r="C273" s="36"/>
      <c r="D273" s="36"/>
      <c r="E273" s="36"/>
      <c r="F273" s="36"/>
      <c r="G273" s="36"/>
      <c r="H273" s="36"/>
      <c r="I273" s="36"/>
      <c r="J273" s="68">
        <v>1</v>
      </c>
      <c r="K273" s="68">
        <v>1</v>
      </c>
      <c r="L273" s="68">
        <v>1</v>
      </c>
      <c r="M273" s="68">
        <v>1</v>
      </c>
      <c r="N273" s="68">
        <v>1</v>
      </c>
      <c r="O273" s="68">
        <v>1</v>
      </c>
      <c r="P273" s="68">
        <v>1</v>
      </c>
      <c r="Q273" s="68">
        <v>1</v>
      </c>
      <c r="R273" s="68">
        <v>1</v>
      </c>
    </row>
    <row r="275" spans="1:21" x14ac:dyDescent="0.3">
      <c r="B275" s="8" t="s">
        <v>270</v>
      </c>
      <c r="S275" s="61"/>
      <c r="T275" s="61"/>
      <c r="U275" s="61"/>
    </row>
    <row r="276" spans="1:21" x14ac:dyDescent="0.3">
      <c r="B276" s="78" t="s">
        <v>278</v>
      </c>
      <c r="C276" s="29"/>
      <c r="D276" s="29"/>
      <c r="E276" s="29"/>
      <c r="F276" s="29"/>
      <c r="G276" s="29"/>
      <c r="H276" s="62">
        <f t="shared" ref="H276:R276" si="139">100%-SUM(H277:H278)</f>
        <v>1</v>
      </c>
      <c r="I276" s="62">
        <f t="shared" si="139"/>
        <v>1</v>
      </c>
      <c r="J276" s="62">
        <f t="shared" si="139"/>
        <v>1</v>
      </c>
      <c r="K276" s="62">
        <f t="shared" si="139"/>
        <v>0.74</v>
      </c>
      <c r="L276" s="62">
        <f t="shared" si="139"/>
        <v>0.62</v>
      </c>
      <c r="M276" s="62">
        <f t="shared" si="139"/>
        <v>0.5</v>
      </c>
      <c r="N276" s="62">
        <f t="shared" si="139"/>
        <v>0.38</v>
      </c>
      <c r="O276" s="62">
        <f t="shared" si="139"/>
        <v>0</v>
      </c>
      <c r="P276" s="62">
        <f t="shared" si="139"/>
        <v>0</v>
      </c>
      <c r="Q276" s="62">
        <f t="shared" si="139"/>
        <v>0</v>
      </c>
      <c r="R276" s="63">
        <f t="shared" si="139"/>
        <v>0.19999999999999996</v>
      </c>
      <c r="S276" s="61"/>
      <c r="T276" s="61"/>
      <c r="U276" s="61"/>
    </row>
    <row r="277" spans="1:21" x14ac:dyDescent="0.3">
      <c r="A277" s="86"/>
      <c r="B277" s="34" t="s">
        <v>279</v>
      </c>
      <c r="K277" s="68">
        <f>+F272</f>
        <v>0.26</v>
      </c>
      <c r="L277" s="68">
        <f>+G272</f>
        <v>0.38</v>
      </c>
      <c r="M277" s="68">
        <f>+H272</f>
        <v>0.5</v>
      </c>
      <c r="N277" s="68">
        <f>+I272</f>
        <v>0.62</v>
      </c>
      <c r="R277" s="32"/>
    </row>
    <row r="278" spans="1:21" x14ac:dyDescent="0.3">
      <c r="A278" s="86"/>
      <c r="B278" s="79" t="s">
        <v>280</v>
      </c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68">
        <v>1</v>
      </c>
      <c r="P278" s="64">
        <f>+O278</f>
        <v>1</v>
      </c>
      <c r="Q278" s="64">
        <f>+P278</f>
        <v>1</v>
      </c>
      <c r="R278" s="68">
        <f>+Q278*$A$273</f>
        <v>0.8</v>
      </c>
      <c r="S278" s="67"/>
      <c r="T278" s="67"/>
      <c r="U278" s="67"/>
    </row>
    <row r="279" spans="1:21" x14ac:dyDescent="0.3">
      <c r="A279" s="86"/>
      <c r="B279" s="82"/>
      <c r="O279" s="84"/>
      <c r="P279" s="67"/>
      <c r="Q279" s="67"/>
      <c r="R279" s="83"/>
      <c r="S279" s="67"/>
      <c r="T279" s="67"/>
      <c r="U279" s="67"/>
    </row>
    <row r="280" spans="1:21" x14ac:dyDescent="0.3">
      <c r="A280" s="86"/>
      <c r="B280" s="8" t="s">
        <v>271</v>
      </c>
      <c r="S280" s="67"/>
      <c r="T280" s="67"/>
      <c r="U280" s="67"/>
    </row>
    <row r="281" spans="1:21" x14ac:dyDescent="0.3">
      <c r="A281" s="86"/>
      <c r="B281" s="78" t="s">
        <v>278</v>
      </c>
      <c r="C281" s="29"/>
      <c r="D281" s="29"/>
      <c r="E281" s="29"/>
      <c r="F281" s="29"/>
      <c r="G281" s="29"/>
      <c r="H281" s="62"/>
      <c r="I281" s="62"/>
      <c r="J281" s="62"/>
      <c r="K281" s="62"/>
      <c r="L281" s="62"/>
      <c r="M281" s="62">
        <f t="shared" ref="M281:R281" si="140">100%-SUM(M282:M283)</f>
        <v>1</v>
      </c>
      <c r="N281" s="62">
        <f t="shared" si="140"/>
        <v>1</v>
      </c>
      <c r="O281" s="62">
        <f t="shared" si="140"/>
        <v>1</v>
      </c>
      <c r="P281" s="62">
        <f t="shared" si="140"/>
        <v>0.74</v>
      </c>
      <c r="Q281" s="62">
        <f t="shared" si="140"/>
        <v>0.62</v>
      </c>
      <c r="R281" s="63">
        <f t="shared" si="140"/>
        <v>0.5</v>
      </c>
      <c r="S281" s="61"/>
      <c r="T281" s="67"/>
      <c r="U281" s="67"/>
    </row>
    <row r="282" spans="1:21" x14ac:dyDescent="0.3">
      <c r="A282" s="86"/>
      <c r="B282" s="34" t="s">
        <v>279</v>
      </c>
      <c r="K282" s="83"/>
      <c r="L282" s="84"/>
      <c r="P282" s="68">
        <f>+K277</f>
        <v>0.26</v>
      </c>
      <c r="Q282" s="68">
        <f>+L277</f>
        <v>0.38</v>
      </c>
      <c r="R282" s="68">
        <f>+M277</f>
        <v>0.5</v>
      </c>
      <c r="S282" s="84"/>
      <c r="T282" s="67"/>
      <c r="U282" s="67"/>
    </row>
    <row r="283" spans="1:21" x14ac:dyDescent="0.3">
      <c r="A283" s="86"/>
      <c r="B283" s="79" t="s">
        <v>280</v>
      </c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7"/>
      <c r="T283" s="67"/>
      <c r="U283" s="67"/>
    </row>
    <row r="284" spans="1:21" x14ac:dyDescent="0.3">
      <c r="A284" s="86"/>
    </row>
    <row r="285" spans="1:21" x14ac:dyDescent="0.3">
      <c r="A285" s="86"/>
      <c r="F285" s="72">
        <f>+F289/F261</f>
        <v>26</v>
      </c>
    </row>
    <row r="286" spans="1:21" x14ac:dyDescent="0.3">
      <c r="A286" s="86"/>
      <c r="B286" s="9" t="s">
        <v>281</v>
      </c>
    </row>
    <row r="287" spans="1:21" x14ac:dyDescent="0.3">
      <c r="A287" s="86"/>
      <c r="B287" s="4" t="s">
        <v>282</v>
      </c>
      <c r="C287" s="69">
        <f>+J248</f>
        <v>100</v>
      </c>
      <c r="D287" s="58">
        <f t="shared" ref="D287:R287" si="141">+C287</f>
        <v>100</v>
      </c>
      <c r="E287" s="58">
        <f t="shared" si="141"/>
        <v>100</v>
      </c>
      <c r="F287" s="58">
        <f t="shared" si="141"/>
        <v>100</v>
      </c>
      <c r="G287" s="58">
        <f t="shared" si="141"/>
        <v>100</v>
      </c>
      <c r="H287" s="58">
        <f t="shared" si="141"/>
        <v>100</v>
      </c>
      <c r="I287" s="58">
        <f t="shared" si="141"/>
        <v>100</v>
      </c>
      <c r="J287" s="58">
        <f t="shared" si="141"/>
        <v>100</v>
      </c>
      <c r="K287" s="58">
        <f t="shared" si="141"/>
        <v>100</v>
      </c>
      <c r="L287" s="58">
        <f t="shared" si="141"/>
        <v>100</v>
      </c>
      <c r="M287" s="58">
        <f t="shared" si="141"/>
        <v>100</v>
      </c>
      <c r="N287" s="58">
        <f t="shared" si="141"/>
        <v>100</v>
      </c>
      <c r="O287" s="58">
        <f t="shared" si="141"/>
        <v>100</v>
      </c>
      <c r="P287" s="58">
        <f t="shared" si="141"/>
        <v>100</v>
      </c>
      <c r="Q287" s="58">
        <f t="shared" si="141"/>
        <v>100</v>
      </c>
      <c r="R287" s="58">
        <f t="shared" si="141"/>
        <v>100</v>
      </c>
    </row>
    <row r="288" spans="1:21" x14ac:dyDescent="0.3">
      <c r="A288" s="86"/>
    </row>
    <row r="289" spans="1:20" x14ac:dyDescent="0.3">
      <c r="A289" s="86"/>
      <c r="B289" s="9" t="s">
        <v>283</v>
      </c>
      <c r="C289" s="73">
        <f t="shared" ref="C289:R289" si="142">+C290+C291</f>
        <v>0</v>
      </c>
      <c r="D289" s="73">
        <f t="shared" si="142"/>
        <v>0</v>
      </c>
      <c r="E289" s="73">
        <f t="shared" si="142"/>
        <v>0</v>
      </c>
      <c r="F289" s="73">
        <f t="shared" si="142"/>
        <v>1210123.5714285711</v>
      </c>
      <c r="G289" s="73">
        <f t="shared" si="142"/>
        <v>1680210.0357142854</v>
      </c>
      <c r="H289" s="73">
        <f t="shared" si="142"/>
        <v>2100262.5446428568</v>
      </c>
      <c r="I289" s="73">
        <f t="shared" si="142"/>
        <v>2474109.2775892853</v>
      </c>
      <c r="J289" s="73">
        <f t="shared" si="142"/>
        <v>3790973.8930803565</v>
      </c>
      <c r="K289" s="73">
        <f t="shared" si="142"/>
        <v>3787784.2284263382</v>
      </c>
      <c r="L289" s="73">
        <f t="shared" si="142"/>
        <v>3680106.2840050212</v>
      </c>
      <c r="M289" s="73">
        <f t="shared" si="142"/>
        <v>3573726.6734547704</v>
      </c>
      <c r="N289" s="73">
        <f t="shared" si="142"/>
        <v>3468784.758249532</v>
      </c>
      <c r="O289" s="73">
        <f t="shared" si="142"/>
        <v>3517193.3125601178</v>
      </c>
      <c r="P289" s="73">
        <f t="shared" si="142"/>
        <v>3341333.6469321116</v>
      </c>
      <c r="Q289" s="73">
        <f t="shared" si="142"/>
        <v>3174266.9645855059</v>
      </c>
      <c r="R289" s="73">
        <f t="shared" si="142"/>
        <v>2915444.8001155732</v>
      </c>
    </row>
    <row r="290" spans="1:20" x14ac:dyDescent="0.3">
      <c r="A290" s="86"/>
      <c r="B290" s="4" t="s">
        <v>269</v>
      </c>
      <c r="C290" s="71">
        <f t="shared" ref="C290:R290" si="143">+(C272*C287*C262)+(C273*C287*C262)</f>
        <v>0</v>
      </c>
      <c r="D290" s="71">
        <f t="shared" si="143"/>
        <v>0</v>
      </c>
      <c r="E290" s="71">
        <f t="shared" si="143"/>
        <v>0</v>
      </c>
      <c r="F290" s="71">
        <f t="shared" si="143"/>
        <v>1210123.5714285711</v>
      </c>
      <c r="G290" s="71">
        <f t="shared" si="143"/>
        <v>1680210.0357142854</v>
      </c>
      <c r="H290" s="71">
        <f t="shared" si="143"/>
        <v>2100262.5446428568</v>
      </c>
      <c r="I290" s="71">
        <f t="shared" si="143"/>
        <v>2474109.2775892853</v>
      </c>
      <c r="J290" s="71">
        <f t="shared" si="143"/>
        <v>3790973.8930803565</v>
      </c>
      <c r="K290" s="71">
        <f t="shared" si="143"/>
        <v>3601425.1984263384</v>
      </c>
      <c r="L290" s="71">
        <f t="shared" si="143"/>
        <v>3421353.9385050214</v>
      </c>
      <c r="M290" s="71">
        <f t="shared" si="143"/>
        <v>3250286.2415797706</v>
      </c>
      <c r="N290" s="71">
        <f t="shared" si="143"/>
        <v>3087771.9295007819</v>
      </c>
      <c r="O290" s="71">
        <f t="shared" si="143"/>
        <v>2933383.3330257428</v>
      </c>
      <c r="P290" s="71">
        <f t="shared" si="143"/>
        <v>2786714.1663744557</v>
      </c>
      <c r="Q290" s="71">
        <f t="shared" si="143"/>
        <v>2647378.4580557328</v>
      </c>
      <c r="R290" s="71">
        <f t="shared" si="143"/>
        <v>2515009.5351529457</v>
      </c>
    </row>
    <row r="291" spans="1:20" x14ac:dyDescent="0.3">
      <c r="A291" s="86"/>
      <c r="B291" s="4" t="s">
        <v>270</v>
      </c>
      <c r="C291" s="72">
        <f t="shared" ref="C291:R291" si="144">+(C263*C287*C277)+(C263*C278*C287)</f>
        <v>0</v>
      </c>
      <c r="D291" s="72">
        <f t="shared" si="144"/>
        <v>0</v>
      </c>
      <c r="E291" s="72">
        <f t="shared" si="144"/>
        <v>0</v>
      </c>
      <c r="F291" s="72">
        <f t="shared" si="144"/>
        <v>0</v>
      </c>
      <c r="G291" s="72">
        <f t="shared" si="144"/>
        <v>0</v>
      </c>
      <c r="H291" s="72">
        <f t="shared" si="144"/>
        <v>0</v>
      </c>
      <c r="I291" s="72">
        <f t="shared" si="144"/>
        <v>0</v>
      </c>
      <c r="J291" s="72">
        <f t="shared" si="144"/>
        <v>0</v>
      </c>
      <c r="K291" s="72">
        <f t="shared" si="144"/>
        <v>186359.02999999997</v>
      </c>
      <c r="L291" s="72">
        <f t="shared" si="144"/>
        <v>258752.34549999994</v>
      </c>
      <c r="M291" s="72">
        <f t="shared" si="144"/>
        <v>323440.43187499989</v>
      </c>
      <c r="N291" s="72">
        <f t="shared" si="144"/>
        <v>381012.82874874986</v>
      </c>
      <c r="O291" s="72">
        <f t="shared" si="144"/>
        <v>583809.97953437478</v>
      </c>
      <c r="P291" s="72">
        <f t="shared" si="144"/>
        <v>554619.48055765603</v>
      </c>
      <c r="Q291" s="72">
        <f t="shared" si="144"/>
        <v>526888.50652977324</v>
      </c>
      <c r="R291" s="72">
        <f t="shared" si="144"/>
        <v>400435.26496262767</v>
      </c>
    </row>
    <row r="292" spans="1:20" x14ac:dyDescent="0.3">
      <c r="A292" s="86"/>
      <c r="B292" s="4" t="s">
        <v>271</v>
      </c>
      <c r="C292" s="72">
        <f t="shared" ref="C292:R292" si="145">+(C264*C287*C282)+(C264*C283*C287)</f>
        <v>0</v>
      </c>
      <c r="D292" s="72">
        <f t="shared" si="145"/>
        <v>0</v>
      </c>
      <c r="E292" s="72">
        <f t="shared" si="145"/>
        <v>0</v>
      </c>
      <c r="F292" s="72">
        <f t="shared" si="145"/>
        <v>0</v>
      </c>
      <c r="G292" s="72">
        <f t="shared" si="145"/>
        <v>0</v>
      </c>
      <c r="H292" s="72">
        <f t="shared" si="145"/>
        <v>0</v>
      </c>
      <c r="I292" s="72">
        <f t="shared" si="145"/>
        <v>0</v>
      </c>
      <c r="J292" s="72">
        <f t="shared" si="145"/>
        <v>0</v>
      </c>
      <c r="K292" s="72">
        <f t="shared" si="145"/>
        <v>0</v>
      </c>
      <c r="L292" s="72">
        <f t="shared" si="145"/>
        <v>0</v>
      </c>
      <c r="M292" s="72">
        <f t="shared" si="145"/>
        <v>0</v>
      </c>
      <c r="N292" s="72">
        <f t="shared" si="145"/>
        <v>0</v>
      </c>
      <c r="O292" s="72">
        <f t="shared" si="145"/>
        <v>0</v>
      </c>
      <c r="P292" s="72">
        <f t="shared" si="145"/>
        <v>173652.73250000001</v>
      </c>
      <c r="Q292" s="72">
        <f t="shared" si="145"/>
        <v>241110.14012500001</v>
      </c>
      <c r="R292" s="72">
        <f t="shared" si="145"/>
        <v>301387.67515625001</v>
      </c>
    </row>
    <row r="293" spans="1:20" x14ac:dyDescent="0.3">
      <c r="A293" s="86"/>
    </row>
    <row r="294" spans="1:20" x14ac:dyDescent="0.3">
      <c r="A294" s="86"/>
      <c r="B294" s="4" t="s">
        <v>284</v>
      </c>
      <c r="C294" s="74">
        <f t="shared" ref="C294:R294" si="146">+C289/(C251*C252)</f>
        <v>0</v>
      </c>
      <c r="D294" s="74">
        <f t="shared" si="146"/>
        <v>0</v>
      </c>
      <c r="E294" s="74">
        <f t="shared" si="146"/>
        <v>0</v>
      </c>
      <c r="F294" s="74">
        <f t="shared" si="146"/>
        <v>6369.0714285714266</v>
      </c>
      <c r="G294" s="74">
        <f t="shared" si="146"/>
        <v>8843.210714285713</v>
      </c>
      <c r="H294" s="74">
        <f t="shared" si="146"/>
        <v>11054.013392857141</v>
      </c>
      <c r="I294" s="74">
        <f t="shared" si="146"/>
        <v>13021.627776785712</v>
      </c>
      <c r="J294" s="74">
        <f t="shared" si="146"/>
        <v>19952.494174107138</v>
      </c>
      <c r="K294" s="74">
        <f t="shared" si="146"/>
        <v>19935.706465401781</v>
      </c>
      <c r="L294" s="74">
        <f t="shared" si="146"/>
        <v>19368.980442131691</v>
      </c>
      <c r="M294" s="74">
        <f t="shared" si="146"/>
        <v>18809.087755025106</v>
      </c>
      <c r="N294" s="74">
        <f t="shared" si="146"/>
        <v>18256.761885523851</v>
      </c>
      <c r="O294" s="74">
        <f t="shared" si="146"/>
        <v>18511.54375031641</v>
      </c>
      <c r="P294" s="74">
        <f t="shared" si="146"/>
        <v>17585.966562800586</v>
      </c>
      <c r="Q294" s="74">
        <f t="shared" si="146"/>
        <v>16706.668234660556</v>
      </c>
      <c r="R294" s="74">
        <f t="shared" si="146"/>
        <v>15344.446316397754</v>
      </c>
    </row>
    <row r="295" spans="1:20" x14ac:dyDescent="0.3">
      <c r="A295" s="86"/>
      <c r="B295" s="4" t="s">
        <v>76</v>
      </c>
      <c r="C295" s="75">
        <f t="shared" ref="C295:R295" si="147">+C294/1000</f>
        <v>0</v>
      </c>
      <c r="D295" s="75">
        <f t="shared" si="147"/>
        <v>0</v>
      </c>
      <c r="E295" s="75">
        <f t="shared" si="147"/>
        <v>0</v>
      </c>
      <c r="F295" s="75">
        <f t="shared" si="147"/>
        <v>6.3690714285714263</v>
      </c>
      <c r="G295" s="75">
        <f t="shared" si="147"/>
        <v>8.8432107142857124</v>
      </c>
      <c r="H295" s="75">
        <f t="shared" si="147"/>
        <v>11.054013392857142</v>
      </c>
      <c r="I295" s="75">
        <f t="shared" si="147"/>
        <v>13.021627776785712</v>
      </c>
      <c r="J295" s="75">
        <f t="shared" si="147"/>
        <v>19.952494174107137</v>
      </c>
      <c r="K295" s="75">
        <f t="shared" si="147"/>
        <v>19.935706465401783</v>
      </c>
      <c r="L295" s="75">
        <f t="shared" si="147"/>
        <v>19.36898044213169</v>
      </c>
      <c r="M295" s="75">
        <f t="shared" si="147"/>
        <v>18.809087755025107</v>
      </c>
      <c r="N295" s="75">
        <f t="shared" si="147"/>
        <v>18.256761885523851</v>
      </c>
      <c r="O295" s="75">
        <f t="shared" si="147"/>
        <v>18.51154375031641</v>
      </c>
      <c r="P295" s="75">
        <f t="shared" si="147"/>
        <v>17.585966562800586</v>
      </c>
      <c r="Q295" s="75">
        <f t="shared" si="147"/>
        <v>16.706668234660555</v>
      </c>
      <c r="R295" s="75">
        <f t="shared" si="147"/>
        <v>15.344446316397754</v>
      </c>
    </row>
    <row r="296" spans="1:20" x14ac:dyDescent="0.3">
      <c r="A296" s="86"/>
    </row>
    <row r="297" spans="1:20" x14ac:dyDescent="0.3">
      <c r="A297" s="86"/>
    </row>
    <row r="298" spans="1:20" x14ac:dyDescent="0.3">
      <c r="A298" s="86"/>
    </row>
    <row r="299" spans="1:20" x14ac:dyDescent="0.3">
      <c r="A299" s="86"/>
    </row>
    <row r="300" spans="1:20" ht="14.5" x14ac:dyDescent="0.35">
      <c r="A300" s="127"/>
      <c r="B300" s="87" t="s">
        <v>285</v>
      </c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9"/>
    </row>
    <row r="301" spans="1:20" x14ac:dyDescent="0.3">
      <c r="A301" s="86"/>
    </row>
    <row r="302" spans="1:20" ht="14.5" x14ac:dyDescent="0.35">
      <c r="A302" s="86"/>
      <c r="B302" s="4" t="s">
        <v>286</v>
      </c>
      <c r="C302" s="156">
        <v>0.06</v>
      </c>
      <c r="D302" s="156">
        <v>0.04</v>
      </c>
      <c r="E302" s="156">
        <v>0.03</v>
      </c>
      <c r="F302" s="156">
        <v>0.02</v>
      </c>
      <c r="G302" s="60">
        <f t="shared" ref="G302:R302" si="148">+F302</f>
        <v>0.02</v>
      </c>
      <c r="H302" s="60">
        <f t="shared" si="148"/>
        <v>0.02</v>
      </c>
      <c r="I302" s="60">
        <f t="shared" si="148"/>
        <v>0.02</v>
      </c>
      <c r="J302" s="60">
        <f t="shared" si="148"/>
        <v>0.02</v>
      </c>
      <c r="K302" s="60">
        <f t="shared" si="148"/>
        <v>0.02</v>
      </c>
      <c r="L302" s="60">
        <f t="shared" si="148"/>
        <v>0.02</v>
      </c>
      <c r="M302" s="60">
        <f t="shared" si="148"/>
        <v>0.02</v>
      </c>
      <c r="N302" s="60">
        <f t="shared" si="148"/>
        <v>0.02</v>
      </c>
      <c r="O302" s="60">
        <f t="shared" si="148"/>
        <v>0.02</v>
      </c>
      <c r="P302" s="60">
        <f t="shared" si="148"/>
        <v>0.02</v>
      </c>
      <c r="Q302" s="60">
        <f t="shared" si="148"/>
        <v>0.02</v>
      </c>
      <c r="R302" s="60">
        <f t="shared" si="148"/>
        <v>0.02</v>
      </c>
      <c r="S302"/>
    </row>
    <row r="303" spans="1:20" ht="14.5" x14ac:dyDescent="0.35">
      <c r="A303" s="86"/>
      <c r="B303" s="4" t="s">
        <v>287</v>
      </c>
      <c r="C303" s="156">
        <v>0.06</v>
      </c>
      <c r="D303" s="156">
        <v>0.05</v>
      </c>
      <c r="E303" s="156">
        <v>0.04</v>
      </c>
      <c r="F303" s="156">
        <v>0.03</v>
      </c>
      <c r="G303" s="60">
        <f t="shared" ref="D303:R304" si="149">+F303</f>
        <v>0.03</v>
      </c>
      <c r="H303" s="60">
        <f t="shared" si="149"/>
        <v>0.03</v>
      </c>
      <c r="I303" s="60">
        <f t="shared" si="149"/>
        <v>0.03</v>
      </c>
      <c r="J303" s="60">
        <f t="shared" si="149"/>
        <v>0.03</v>
      </c>
      <c r="K303" s="60">
        <f t="shared" si="149"/>
        <v>0.03</v>
      </c>
      <c r="L303" s="60">
        <f t="shared" si="149"/>
        <v>0.03</v>
      </c>
      <c r="M303" s="60">
        <f t="shared" si="149"/>
        <v>0.03</v>
      </c>
      <c r="N303" s="60">
        <f t="shared" si="149"/>
        <v>0.03</v>
      </c>
      <c r="O303" s="60">
        <f t="shared" si="149"/>
        <v>0.03</v>
      </c>
      <c r="P303" s="60">
        <f t="shared" si="149"/>
        <v>0.03</v>
      </c>
      <c r="Q303" s="60">
        <f t="shared" si="149"/>
        <v>0.03</v>
      </c>
      <c r="R303" s="60">
        <f t="shared" si="149"/>
        <v>0.03</v>
      </c>
      <c r="S303"/>
    </row>
    <row r="304" spans="1:20" ht="14.5" x14ac:dyDescent="0.35">
      <c r="A304" s="86"/>
      <c r="B304" s="4" t="s">
        <v>288</v>
      </c>
      <c r="C304" s="156">
        <v>0.05</v>
      </c>
      <c r="D304" s="60">
        <f t="shared" si="149"/>
        <v>0.05</v>
      </c>
      <c r="E304" s="60">
        <f t="shared" ref="E304:R304" si="150">+D304</f>
        <v>0.05</v>
      </c>
      <c r="F304" s="60">
        <f t="shared" si="150"/>
        <v>0.05</v>
      </c>
      <c r="G304" s="60">
        <f t="shared" si="150"/>
        <v>0.05</v>
      </c>
      <c r="H304" s="60">
        <f t="shared" si="150"/>
        <v>0.05</v>
      </c>
      <c r="I304" s="60">
        <f t="shared" si="150"/>
        <v>0.05</v>
      </c>
      <c r="J304" s="60">
        <f t="shared" si="150"/>
        <v>0.05</v>
      </c>
      <c r="K304" s="60">
        <f t="shared" si="150"/>
        <v>0.05</v>
      </c>
      <c r="L304" s="60">
        <f t="shared" si="150"/>
        <v>0.05</v>
      </c>
      <c r="M304" s="60">
        <f t="shared" si="150"/>
        <v>0.05</v>
      </c>
      <c r="N304" s="60">
        <f t="shared" si="150"/>
        <v>0.05</v>
      </c>
      <c r="O304" s="60">
        <f t="shared" si="150"/>
        <v>0.05</v>
      </c>
      <c r="P304" s="60">
        <f t="shared" si="150"/>
        <v>0.05</v>
      </c>
      <c r="Q304" s="60">
        <f t="shared" si="150"/>
        <v>0.05</v>
      </c>
      <c r="R304" s="60">
        <f t="shared" si="150"/>
        <v>0.05</v>
      </c>
      <c r="T304"/>
    </row>
    <row r="305" spans="1:20" ht="14.5" x14ac:dyDescent="0.35">
      <c r="A305" s="86"/>
      <c r="D305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T305" s="145" t="s">
        <v>289</v>
      </c>
    </row>
    <row r="306" spans="1:20" x14ac:dyDescent="0.3">
      <c r="A306" s="86"/>
      <c r="B306" s="8" t="s">
        <v>290</v>
      </c>
      <c r="C306" s="140">
        <f>+Inputs!M13*(1+C303)</f>
        <v>7550.7787903750932</v>
      </c>
      <c r="D306" s="157">
        <f t="shared" ref="D306:R306" si="151">+C306*(1+D303)</f>
        <v>7928.3177298938481</v>
      </c>
      <c r="E306" s="157">
        <f t="shared" si="151"/>
        <v>8245.4504390896018</v>
      </c>
      <c r="F306" s="157">
        <f t="shared" si="151"/>
        <v>8492.8139522622896</v>
      </c>
      <c r="G306" s="157">
        <f t="shared" si="151"/>
        <v>8747.5983708301592</v>
      </c>
      <c r="H306" s="157">
        <f t="shared" si="151"/>
        <v>9010.0263219550634</v>
      </c>
      <c r="I306" s="157">
        <f t="shared" si="151"/>
        <v>9280.3271116137148</v>
      </c>
      <c r="J306" s="157">
        <f t="shared" si="151"/>
        <v>9558.7369249621261</v>
      </c>
      <c r="K306" s="157">
        <f t="shared" si="151"/>
        <v>9845.4990327109899</v>
      </c>
      <c r="L306" s="157">
        <f t="shared" si="151"/>
        <v>10140.864003692321</v>
      </c>
      <c r="M306" s="157">
        <f t="shared" si="151"/>
        <v>10445.089923803091</v>
      </c>
      <c r="N306" s="157">
        <f t="shared" si="151"/>
        <v>10758.442621517184</v>
      </c>
      <c r="O306" s="157">
        <f t="shared" si="151"/>
        <v>11081.1959001627</v>
      </c>
      <c r="P306" s="157">
        <f t="shared" si="151"/>
        <v>11413.631777167582</v>
      </c>
      <c r="Q306" s="157">
        <f t="shared" si="151"/>
        <v>11756.040730482609</v>
      </c>
      <c r="R306" s="157">
        <f t="shared" si="151"/>
        <v>12108.721952397089</v>
      </c>
      <c r="T306" s="146">
        <f>+RATE(16,0,C306,-R306)</f>
        <v>2.9957157435798805E-2</v>
      </c>
    </row>
    <row r="307" spans="1:20" x14ac:dyDescent="0.3">
      <c r="A307" s="86"/>
      <c r="B307" s="8" t="s">
        <v>291</v>
      </c>
      <c r="C307" s="416">
        <f>+Inputs!M10*(1+PyG!C302)</f>
        <v>3914.8723833333302</v>
      </c>
      <c r="D307" s="157">
        <f>+C307*(1+PyG!D302)</f>
        <v>4071.4672786666633</v>
      </c>
      <c r="E307" s="157">
        <f>+D307*(1+PyG!E302)</f>
        <v>4193.6112970266631</v>
      </c>
      <c r="F307" s="157">
        <f>+E307*(1+PyG!F302)</f>
        <v>4277.4835229671962</v>
      </c>
      <c r="G307" s="157">
        <f>+F307*(1+PyG!G302)</f>
        <v>4363.0331934265405</v>
      </c>
      <c r="H307" s="157">
        <f>+G307*(1+PyG!H302)</f>
        <v>4450.2938572950716</v>
      </c>
      <c r="I307" s="157">
        <f>+H307*(1+PyG!I302)</f>
        <v>4539.2997344409732</v>
      </c>
      <c r="J307" s="157">
        <f>+I307*(1+PyG!J302)</f>
        <v>4630.0857291297925</v>
      </c>
      <c r="K307" s="157">
        <f>+J307*(1+PyG!K302)</f>
        <v>4722.6874437123888</v>
      </c>
      <c r="L307" s="157">
        <f>+K307*(1+PyG!L302)</f>
        <v>4817.1411925866369</v>
      </c>
      <c r="M307" s="157">
        <f>+L307*(1+PyG!M302)</f>
        <v>4913.4840164383695</v>
      </c>
      <c r="N307" s="157">
        <f>+M307*(1+PyG!N302)</f>
        <v>5011.7536967671367</v>
      </c>
      <c r="O307" s="157">
        <f>+N307*(1+PyG!O302)</f>
        <v>5111.9887707024791</v>
      </c>
      <c r="P307" s="157">
        <f>+O307*(1+PyG!P302)</f>
        <v>5214.2285461165284</v>
      </c>
      <c r="Q307" s="157">
        <f>+P307*(1+PyG!Q302)</f>
        <v>5318.5131170388595</v>
      </c>
      <c r="R307" s="157">
        <f>+Q307*(1+PyG!R302)</f>
        <v>5424.8833793796366</v>
      </c>
    </row>
    <row r="308" spans="1:20" x14ac:dyDescent="0.3">
      <c r="A308" s="86"/>
    </row>
    <row r="309" spans="1:20" x14ac:dyDescent="0.3">
      <c r="A309" s="86"/>
      <c r="B309" s="9" t="s">
        <v>292</v>
      </c>
    </row>
    <row r="310" spans="1:20" x14ac:dyDescent="0.3">
      <c r="A310" s="61">
        <v>0.75</v>
      </c>
      <c r="B310" s="4" t="s">
        <v>293</v>
      </c>
      <c r="C310" s="72">
        <f>+$A$310*C289</f>
        <v>0</v>
      </c>
      <c r="D310" s="72">
        <f t="shared" ref="D310:R310" si="152">+$A$310*D289</f>
        <v>0</v>
      </c>
      <c r="E310" s="72">
        <f t="shared" si="152"/>
        <v>0</v>
      </c>
      <c r="F310" s="72">
        <f>+$A$310*F289</f>
        <v>907592.67857142841</v>
      </c>
      <c r="G310" s="72">
        <f t="shared" si="152"/>
        <v>1260157.5267857141</v>
      </c>
      <c r="H310" s="72">
        <f t="shared" si="152"/>
        <v>1575196.9084821427</v>
      </c>
      <c r="I310" s="72">
        <f t="shared" si="152"/>
        <v>1855581.9581919638</v>
      </c>
      <c r="J310" s="72">
        <f t="shared" si="152"/>
        <v>2843230.4198102672</v>
      </c>
      <c r="K310" s="72">
        <f t="shared" si="152"/>
        <v>2840838.1713197539</v>
      </c>
      <c r="L310" s="72">
        <f t="shared" si="152"/>
        <v>2760079.7130037658</v>
      </c>
      <c r="M310" s="72">
        <f t="shared" si="152"/>
        <v>2680295.0050910776</v>
      </c>
      <c r="N310" s="72">
        <f t="shared" si="152"/>
        <v>2601588.5686871489</v>
      </c>
      <c r="O310" s="72">
        <f t="shared" si="152"/>
        <v>2637894.9844200881</v>
      </c>
      <c r="P310" s="72">
        <f t="shared" si="152"/>
        <v>2506000.2351990836</v>
      </c>
      <c r="Q310" s="72">
        <f t="shared" si="152"/>
        <v>2380700.2234391295</v>
      </c>
      <c r="R310" s="72">
        <f t="shared" si="152"/>
        <v>2186583.6000866797</v>
      </c>
    </row>
    <row r="311" spans="1:20" x14ac:dyDescent="0.3">
      <c r="A311" s="61">
        <v>0.25</v>
      </c>
      <c r="B311" s="4" t="s">
        <v>294</v>
      </c>
      <c r="C311" s="72">
        <f>+$A$311*C289</f>
        <v>0</v>
      </c>
      <c r="D311" s="72">
        <f t="shared" ref="D311:R311" si="153">+$A$311*D289</f>
        <v>0</v>
      </c>
      <c r="E311" s="72">
        <f t="shared" si="153"/>
        <v>0</v>
      </c>
      <c r="F311" s="72">
        <f t="shared" si="153"/>
        <v>302530.89285714278</v>
      </c>
      <c r="G311" s="72">
        <f t="shared" si="153"/>
        <v>420052.50892857136</v>
      </c>
      <c r="H311" s="72">
        <f t="shared" si="153"/>
        <v>525065.6361607142</v>
      </c>
      <c r="I311" s="72">
        <f t="shared" si="153"/>
        <v>618527.31939732132</v>
      </c>
      <c r="J311" s="72">
        <f t="shared" si="153"/>
        <v>947743.47327008913</v>
      </c>
      <c r="K311" s="72">
        <f t="shared" si="153"/>
        <v>946946.05710658454</v>
      </c>
      <c r="L311" s="72">
        <f t="shared" si="153"/>
        <v>920026.5710012553</v>
      </c>
      <c r="M311" s="72">
        <f t="shared" si="153"/>
        <v>893431.66836369259</v>
      </c>
      <c r="N311" s="72">
        <f t="shared" si="153"/>
        <v>867196.18956238299</v>
      </c>
      <c r="O311" s="72">
        <f t="shared" si="153"/>
        <v>879298.32814002945</v>
      </c>
      <c r="P311" s="72">
        <f t="shared" si="153"/>
        <v>835333.4117330279</v>
      </c>
      <c r="Q311" s="72">
        <f t="shared" si="153"/>
        <v>793566.74114637647</v>
      </c>
      <c r="R311" s="72">
        <f t="shared" si="153"/>
        <v>728861.2000288933</v>
      </c>
    </row>
    <row r="312" spans="1:20" x14ac:dyDescent="0.3">
      <c r="A312" s="86"/>
    </row>
    <row r="313" spans="1:20" x14ac:dyDescent="0.3">
      <c r="A313" s="86"/>
      <c r="B313" s="9" t="s">
        <v>295</v>
      </c>
    </row>
    <row r="314" spans="1:20" x14ac:dyDescent="0.3">
      <c r="A314" s="415">
        <v>4</v>
      </c>
      <c r="B314" s="4" t="s">
        <v>293</v>
      </c>
      <c r="C314" s="417">
        <f>+($A$314*C307)*C310</f>
        <v>0</v>
      </c>
      <c r="D314" s="417">
        <f t="shared" ref="D314:R314" si="154">+($A$314*D307)*D310</f>
        <v>0</v>
      </c>
      <c r="E314" s="417">
        <f t="shared" si="154"/>
        <v>0</v>
      </c>
      <c r="F314" s="159">
        <f>+($A$314*F307)*F310</f>
        <v>15528850912.619791</v>
      </c>
      <c r="G314" s="159">
        <f t="shared" si="154"/>
        <v>21992436473.249462</v>
      </c>
      <c r="H314" s="159">
        <f t="shared" si="154"/>
        <v>28040356503.393066</v>
      </c>
      <c r="I314" s="159">
        <f t="shared" si="154"/>
        <v>33692170760.216969</v>
      </c>
      <c r="J314" s="159">
        <f t="shared" si="154"/>
        <v>52657602365.564911</v>
      </c>
      <c r="K314" s="159">
        <f t="shared" si="154"/>
        <v>53665563045.242661</v>
      </c>
      <c r="L314" s="159">
        <f t="shared" si="154"/>
        <v>53182774721.332573</v>
      </c>
      <c r="M314" s="159">
        <f t="shared" si="154"/>
        <v>52678346667.418434</v>
      </c>
      <c r="N314" s="159">
        <f t="shared" si="154"/>
        <v>52154084506.339767</v>
      </c>
      <c r="O314" s="159">
        <f t="shared" si="154"/>
        <v>53939558154.591522</v>
      </c>
      <c r="P314" s="159">
        <f t="shared" si="154"/>
        <v>52267431851.799179</v>
      </c>
      <c r="Q314" s="159">
        <f t="shared" si="154"/>
        <v>50647141464.393417</v>
      </c>
      <c r="R314" s="159">
        <f t="shared" si="154"/>
        <v>47447844118.937279</v>
      </c>
    </row>
    <row r="315" spans="1:20" x14ac:dyDescent="0.3">
      <c r="A315" s="86"/>
      <c r="B315" s="4" t="s">
        <v>294</v>
      </c>
      <c r="C315" s="417">
        <f>+C311*C306</f>
        <v>0</v>
      </c>
      <c r="D315" s="417">
        <f t="shared" ref="D315:R315" si="155">+D311*D306</f>
        <v>0</v>
      </c>
      <c r="E315" s="417">
        <f t="shared" si="155"/>
        <v>0</v>
      </c>
      <c r="F315" s="417">
        <f>+F311*F306</f>
        <v>2569338587.8475099</v>
      </c>
      <c r="G315" s="417">
        <f t="shared" si="155"/>
        <v>3674450642.7666917</v>
      </c>
      <c r="H315" s="417">
        <f t="shared" si="155"/>
        <v>4730855202.5621157</v>
      </c>
      <c r="I315" s="417">
        <f t="shared" si="155"/>
        <v>5740135851.476717</v>
      </c>
      <c r="J315" s="417">
        <f t="shared" si="155"/>
        <v>9059230533.3386574</v>
      </c>
      <c r="K315" s="417">
        <f t="shared" si="155"/>
        <v>9323156489.2723637</v>
      </c>
      <c r="L315" s="417">
        <f t="shared" si="155"/>
        <v>9329864336.3071079</v>
      </c>
      <c r="M315" s="417">
        <f t="shared" si="155"/>
        <v>9331974116.8321896</v>
      </c>
      <c r="N315" s="417">
        <f t="shared" si="155"/>
        <v>9329680447.0052376</v>
      </c>
      <c r="O315" s="417">
        <f t="shared" si="155"/>
        <v>9743677028.8052101</v>
      </c>
      <c r="P315" s="417">
        <f t="shared" si="155"/>
        <v>9534187972.6858997</v>
      </c>
      <c r="Q315" s="417">
        <f t="shared" si="155"/>
        <v>9329202931.2731514</v>
      </c>
      <c r="R315" s="417">
        <f t="shared" si="155"/>
        <v>8825577613.0403461</v>
      </c>
    </row>
    <row r="316" spans="1:20" x14ac:dyDescent="0.3">
      <c r="A316" s="86"/>
    </row>
    <row r="317" spans="1:20" x14ac:dyDescent="0.3">
      <c r="A317" s="86"/>
      <c r="B317" s="9" t="s">
        <v>296</v>
      </c>
    </row>
    <row r="318" spans="1:20" x14ac:dyDescent="0.3">
      <c r="A318" s="86"/>
      <c r="B318" s="4" t="s">
        <v>293</v>
      </c>
      <c r="F318" s="158">
        <f>+F314/F310</f>
        <v>17109.934091868785</v>
      </c>
      <c r="G318" s="158">
        <f t="shared" ref="G318:R318" si="156">+G314/G310</f>
        <v>17452.132773706162</v>
      </c>
      <c r="H318" s="158">
        <f t="shared" si="156"/>
        <v>17801.175429180286</v>
      </c>
      <c r="I318" s="158">
        <f t="shared" si="156"/>
        <v>18157.198937763893</v>
      </c>
      <c r="J318" s="158">
        <f t="shared" si="156"/>
        <v>18520.34291651917</v>
      </c>
      <c r="K318" s="158">
        <f t="shared" si="156"/>
        <v>18890.749774849555</v>
      </c>
      <c r="L318" s="158">
        <f t="shared" si="156"/>
        <v>19268.564770346547</v>
      </c>
      <c r="M318" s="158">
        <f t="shared" si="156"/>
        <v>19653.936065753478</v>
      </c>
      <c r="N318" s="158">
        <f t="shared" si="156"/>
        <v>20047.014787068547</v>
      </c>
      <c r="O318" s="158">
        <f t="shared" si="156"/>
        <v>20447.955082809916</v>
      </c>
      <c r="P318" s="158">
        <f t="shared" si="156"/>
        <v>20856.914184466114</v>
      </c>
      <c r="Q318" s="158">
        <f t="shared" si="156"/>
        <v>21274.052468155438</v>
      </c>
      <c r="R318" s="158">
        <f t="shared" si="156"/>
        <v>21699.533517518546</v>
      </c>
    </row>
    <row r="319" spans="1:20" x14ac:dyDescent="0.3">
      <c r="A319" s="86"/>
      <c r="B319" s="4" t="s">
        <v>294</v>
      </c>
      <c r="F319" s="158">
        <f>+F315/F311</f>
        <v>8492.8139522622896</v>
      </c>
      <c r="G319" s="158">
        <f t="shared" ref="G319:R319" si="157">+G315/G311</f>
        <v>8747.5983708301592</v>
      </c>
      <c r="H319" s="158">
        <f t="shared" si="157"/>
        <v>9010.0263219550634</v>
      </c>
      <c r="I319" s="158">
        <f t="shared" si="157"/>
        <v>9280.3271116137148</v>
      </c>
      <c r="J319" s="158">
        <f t="shared" si="157"/>
        <v>9558.7369249621261</v>
      </c>
      <c r="K319" s="158">
        <f t="shared" si="157"/>
        <v>9845.4990327109899</v>
      </c>
      <c r="L319" s="158">
        <f t="shared" si="157"/>
        <v>10140.864003692323</v>
      </c>
      <c r="M319" s="158">
        <f t="shared" si="157"/>
        <v>10445.089923803091</v>
      </c>
      <c r="N319" s="158">
        <f t="shared" si="157"/>
        <v>10758.442621517186</v>
      </c>
      <c r="O319" s="158">
        <f t="shared" si="157"/>
        <v>11081.195900162698</v>
      </c>
      <c r="P319" s="158">
        <f t="shared" si="157"/>
        <v>11413.631777167584</v>
      </c>
      <c r="Q319" s="158">
        <f t="shared" si="157"/>
        <v>11756.040730482609</v>
      </c>
      <c r="R319" s="158">
        <f t="shared" si="157"/>
        <v>12108.721952397089</v>
      </c>
    </row>
    <row r="320" spans="1:20" x14ac:dyDescent="0.3">
      <c r="A320" s="86"/>
    </row>
    <row r="321" spans="1:18" x14ac:dyDescent="0.3">
      <c r="A321" s="86"/>
      <c r="B321" s="419" t="s">
        <v>297</v>
      </c>
      <c r="C321" s="420">
        <f>+C314+C315</f>
        <v>0</v>
      </c>
      <c r="D321" s="420">
        <f t="shared" ref="D321:R321" si="158">+D314+D315</f>
        <v>0</v>
      </c>
      <c r="E321" s="420">
        <f t="shared" si="158"/>
        <v>0</v>
      </c>
      <c r="F321" s="420">
        <f t="shared" si="158"/>
        <v>18098189500.4673</v>
      </c>
      <c r="G321" s="420">
        <f t="shared" si="158"/>
        <v>25666887116.016155</v>
      </c>
      <c r="H321" s="420">
        <f t="shared" si="158"/>
        <v>32771211705.955181</v>
      </c>
      <c r="I321" s="420">
        <f t="shared" si="158"/>
        <v>39432306611.693687</v>
      </c>
      <c r="J321" s="420">
        <f t="shared" si="158"/>
        <v>61716832898.903564</v>
      </c>
      <c r="K321" s="420">
        <f t="shared" si="158"/>
        <v>62988719534.515022</v>
      </c>
      <c r="L321" s="420">
        <f t="shared" si="158"/>
        <v>62512639057.639679</v>
      </c>
      <c r="M321" s="420">
        <f t="shared" si="158"/>
        <v>62010320784.250626</v>
      </c>
      <c r="N321" s="420">
        <f t="shared" si="158"/>
        <v>61483764953.345001</v>
      </c>
      <c r="O321" s="420">
        <f t="shared" si="158"/>
        <v>63683235183.396729</v>
      </c>
      <c r="P321" s="420">
        <f t="shared" si="158"/>
        <v>61801619824.485077</v>
      </c>
      <c r="Q321" s="420">
        <f t="shared" si="158"/>
        <v>59976344395.666565</v>
      </c>
      <c r="R321" s="421">
        <f t="shared" si="158"/>
        <v>56273421731.977623</v>
      </c>
    </row>
    <row r="322" spans="1:18" x14ac:dyDescent="0.3">
      <c r="A322" s="86"/>
    </row>
    <row r="324" spans="1:18" x14ac:dyDescent="0.3">
      <c r="A324" s="86"/>
    </row>
    <row r="325" spans="1:18" x14ac:dyDescent="0.3">
      <c r="A325" s="86"/>
    </row>
    <row r="326" spans="1:18" ht="14.5" x14ac:dyDescent="0.35">
      <c r="A326" s="127"/>
      <c r="B326" s="87" t="s">
        <v>298</v>
      </c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9"/>
    </row>
    <row r="327" spans="1:18" x14ac:dyDescent="0.3">
      <c r="A327" s="86"/>
    </row>
    <row r="328" spans="1:18" x14ac:dyDescent="0.3">
      <c r="A328" s="60">
        <v>0.25</v>
      </c>
      <c r="B328" s="419" t="s">
        <v>299</v>
      </c>
      <c r="C328" s="422">
        <f t="shared" ref="C328:R328" si="159">+C321*$A$328</f>
        <v>0</v>
      </c>
      <c r="D328" s="422">
        <f t="shared" si="159"/>
        <v>0</v>
      </c>
      <c r="E328" s="422">
        <f t="shared" si="159"/>
        <v>0</v>
      </c>
      <c r="F328" s="422">
        <f t="shared" si="159"/>
        <v>4524547375.1168251</v>
      </c>
      <c r="G328" s="422">
        <f t="shared" si="159"/>
        <v>6416721779.0040388</v>
      </c>
      <c r="H328" s="422">
        <f t="shared" si="159"/>
        <v>8192802926.4887953</v>
      </c>
      <c r="I328" s="422">
        <f t="shared" si="159"/>
        <v>9858076652.9234219</v>
      </c>
      <c r="J328" s="422">
        <f t="shared" si="159"/>
        <v>15429208224.725891</v>
      </c>
      <c r="K328" s="422">
        <f t="shared" si="159"/>
        <v>15747179883.628756</v>
      </c>
      <c r="L328" s="422">
        <f t="shared" si="159"/>
        <v>15628159764.40992</v>
      </c>
      <c r="M328" s="422">
        <f t="shared" si="159"/>
        <v>15502580196.062656</v>
      </c>
      <c r="N328" s="422">
        <f t="shared" si="159"/>
        <v>15370941238.33625</v>
      </c>
      <c r="O328" s="422">
        <f t="shared" si="159"/>
        <v>15920808795.849182</v>
      </c>
      <c r="P328" s="422">
        <f t="shared" si="159"/>
        <v>15450404956.121269</v>
      </c>
      <c r="Q328" s="422">
        <f t="shared" si="159"/>
        <v>14994086098.916641</v>
      </c>
      <c r="R328" s="423">
        <f t="shared" si="159"/>
        <v>14068355432.994406</v>
      </c>
    </row>
    <row r="330" spans="1:18" x14ac:dyDescent="0.3">
      <c r="B330" s="87" t="s">
        <v>300</v>
      </c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9"/>
    </row>
    <row r="332" spans="1:18" x14ac:dyDescent="0.3">
      <c r="A332" s="61">
        <v>0.01</v>
      </c>
      <c r="B332" s="4" t="s">
        <v>301</v>
      </c>
      <c r="C332" s="158">
        <f>+C321*$A$332</f>
        <v>0</v>
      </c>
      <c r="D332" s="158">
        <f t="shared" ref="D332:R332" si="160">+D321*$A$332</f>
        <v>0</v>
      </c>
      <c r="E332" s="158">
        <f t="shared" si="160"/>
        <v>0</v>
      </c>
      <c r="F332" s="158">
        <f t="shared" si="160"/>
        <v>180981895.004673</v>
      </c>
      <c r="G332" s="158">
        <f t="shared" si="160"/>
        <v>256668871.16016155</v>
      </c>
      <c r="H332" s="158">
        <f t="shared" si="160"/>
        <v>327712117.05955184</v>
      </c>
      <c r="I332" s="158">
        <f t="shared" si="160"/>
        <v>394323066.11693686</v>
      </c>
      <c r="J332" s="158">
        <f t="shared" si="160"/>
        <v>617168328.98903561</v>
      </c>
      <c r="K332" s="158">
        <f t="shared" si="160"/>
        <v>629887195.34515023</v>
      </c>
      <c r="L332" s="158">
        <f t="shared" si="160"/>
        <v>625126390.57639682</v>
      </c>
      <c r="M332" s="158">
        <f t="shared" si="160"/>
        <v>620103207.84250629</v>
      </c>
      <c r="N332" s="158">
        <f t="shared" si="160"/>
        <v>614837649.53345001</v>
      </c>
      <c r="O332" s="158">
        <f t="shared" si="160"/>
        <v>636832351.83396733</v>
      </c>
      <c r="P332" s="158">
        <f t="shared" si="160"/>
        <v>618016198.24485075</v>
      </c>
      <c r="Q332" s="158">
        <f t="shared" si="160"/>
        <v>599763443.95666564</v>
      </c>
      <c r="R332" s="158">
        <f t="shared" si="160"/>
        <v>562734217.3197763</v>
      </c>
    </row>
  </sheetData>
  <mergeCells count="4">
    <mergeCell ref="C241:D241"/>
    <mergeCell ref="C242:D242"/>
    <mergeCell ref="C235:D235"/>
    <mergeCell ref="C236:D236"/>
  </mergeCells>
  <pageMargins left="0.7" right="0.7" top="0.75" bottom="0.75" header="0.3" footer="0.3"/>
  <pageSetup orientation="portrait" r:id="rId1"/>
  <ignoredErrors>
    <ignoredError sqref="F224" formula="1"/>
  </ignoredErrors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9804519F-5677-4A05-9109-3B03AAFAD553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PyG!C295:R295</xm:f>
              <xm:sqref>A295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818A-E763-4397-919B-044C4F64F175}">
  <sheetPr>
    <tabColor theme="3" tint="0.39997558519241921"/>
  </sheetPr>
  <dimension ref="A1:T71"/>
  <sheetViews>
    <sheetView showGridLines="0" zoomScale="80" zoomScaleNormal="80" workbookViewId="0">
      <pane xSplit="2" ySplit="1" topLeftCell="C41" activePane="bottomRight" state="frozen"/>
      <selection pane="topRight" activeCell="J37" sqref="J37"/>
      <selection pane="bottomLeft" activeCell="J37" sqref="J37"/>
      <selection pane="bottomRight" activeCell="G56" sqref="G56"/>
    </sheetView>
  </sheetViews>
  <sheetFormatPr baseColWidth="10" defaultColWidth="11.453125" defaultRowHeight="13" x14ac:dyDescent="0.3"/>
  <cols>
    <col min="1" max="1" width="7.1796875" style="4" customWidth="1"/>
    <col min="2" max="2" width="43.7265625" style="4" customWidth="1"/>
    <col min="3" max="18" width="13.453125" style="4" bestFit="1" customWidth="1"/>
    <col min="19" max="16384" width="11.453125" style="4"/>
  </cols>
  <sheetData>
    <row r="1" spans="1:20" ht="16.5" customHeight="1" x14ac:dyDescent="0.3">
      <c r="A1" s="160" t="str">
        <f>+Presentación!A1</f>
        <v>$COP</v>
      </c>
      <c r="B1" s="170" t="s">
        <v>153</v>
      </c>
      <c r="C1" s="161">
        <f>+Presentación!C1</f>
        <v>2021</v>
      </c>
      <c r="D1" s="161">
        <f>+Presentación!D1</f>
        <v>2022</v>
      </c>
      <c r="E1" s="161">
        <f>+Presentación!E1</f>
        <v>2023</v>
      </c>
      <c r="F1" s="161">
        <f>+Presentación!F1</f>
        <v>2024</v>
      </c>
      <c r="G1" s="161">
        <f>+Presentación!G1</f>
        <v>2025</v>
      </c>
      <c r="H1" s="161">
        <f>+Presentación!H1</f>
        <v>2026</v>
      </c>
      <c r="I1" s="161">
        <f>+Presentación!I1</f>
        <v>2027</v>
      </c>
      <c r="J1" s="161">
        <f>+Presentación!J1</f>
        <v>2028</v>
      </c>
      <c r="K1" s="161">
        <f>+Presentación!K1</f>
        <v>2029</v>
      </c>
      <c r="L1" s="161">
        <f>+Presentación!L1</f>
        <v>2030</v>
      </c>
      <c r="M1" s="161">
        <f>+Presentación!M1</f>
        <v>2031</v>
      </c>
      <c r="N1" s="161">
        <f>+Presentación!N1</f>
        <v>2032</v>
      </c>
      <c r="O1" s="161">
        <f>+Presentación!O1</f>
        <v>2033</v>
      </c>
      <c r="P1" s="161">
        <f>+Presentación!P1</f>
        <v>2034</v>
      </c>
      <c r="Q1" s="161">
        <f>+Presentación!Q1</f>
        <v>2035</v>
      </c>
      <c r="R1" s="349">
        <f>+Presentación!R1</f>
        <v>2036</v>
      </c>
    </row>
    <row r="2" spans="1:20" ht="8.25" customHeight="1" x14ac:dyDescent="0.3"/>
    <row r="3" spans="1:20" x14ac:dyDescent="0.3">
      <c r="B3" s="9" t="s">
        <v>302</v>
      </c>
    </row>
    <row r="4" spans="1:20" ht="8.25" customHeight="1" x14ac:dyDescent="0.3"/>
    <row r="5" spans="1:20" x14ac:dyDescent="0.3">
      <c r="B5" s="4" t="s">
        <v>24</v>
      </c>
      <c r="C5" s="251">
        <f ca="1">+CF!C37</f>
        <v>0</v>
      </c>
      <c r="D5" s="251">
        <f ca="1">+CF!D37</f>
        <v>0</v>
      </c>
      <c r="E5" s="251">
        <f ca="1">+CF!E37</f>
        <v>0</v>
      </c>
      <c r="F5" s="251">
        <f ca="1">+CF!F37</f>
        <v>25460.019667762252</v>
      </c>
      <c r="G5" s="251">
        <f ca="1">+CF!G37</f>
        <v>59935.132093149834</v>
      </c>
      <c r="H5" s="251">
        <f ca="1">+CF!H37</f>
        <v>100205.17734838562</v>
      </c>
      <c r="I5" s="251">
        <f ca="1">+CF!I37</f>
        <v>146060.07984300412</v>
      </c>
      <c r="J5" s="251">
        <f ca="1">+CF!J37</f>
        <v>182873.48289513591</v>
      </c>
      <c r="K5" s="251">
        <f ca="1">+CF!K37</f>
        <v>226828.19108453766</v>
      </c>
      <c r="L5" s="251">
        <f ca="1">+CF!L37</f>
        <v>271660.88284966571</v>
      </c>
      <c r="M5" s="251">
        <f ca="1">+CF!M37</f>
        <v>316906.13154612528</v>
      </c>
      <c r="N5" s="251">
        <f ca="1">+CF!N37</f>
        <v>362550.1568492474</v>
      </c>
      <c r="O5" s="251">
        <f ca="1">+CF!O37</f>
        <v>409816.48983302363</v>
      </c>
      <c r="P5" s="251">
        <f ca="1">+CF!P37</f>
        <v>457626.36289862497</v>
      </c>
      <c r="Q5" s="251">
        <f ca="1">+CF!Q37</f>
        <v>504920.51378576277</v>
      </c>
      <c r="R5" s="251">
        <f ca="1">+CF!R37</f>
        <v>550854.21836486133</v>
      </c>
    </row>
    <row r="6" spans="1:20" x14ac:dyDescent="0.3">
      <c r="B6" s="4" t="s">
        <v>303</v>
      </c>
      <c r="C6" s="253">
        <f>+(PyG!C4*(('Balance G.'!C46/365)))</f>
        <v>848.95890410958907</v>
      </c>
      <c r="D6" s="253">
        <f>+(PyG!D4*(('Balance G.'!D46/365)))</f>
        <v>891.40684931506848</v>
      </c>
      <c r="E6" s="253">
        <f>+(PyG!E4*(('Balance G.'!E46/365)))</f>
        <v>882.9172602739726</v>
      </c>
      <c r="F6" s="253">
        <f>+(PyG!F4*(('Balance G.'!F46/365)))</f>
        <v>1859.4030308699278</v>
      </c>
      <c r="G6" s="253">
        <f>+(PyG!G4*(('Balance G.'!G46/365)))</f>
        <v>2637.0089502756323</v>
      </c>
      <c r="H6" s="253">
        <f>+(PyG!H4*(('Balance G.'!H46/365)))</f>
        <v>3366.9053122556693</v>
      </c>
      <c r="I6" s="253">
        <f>+(PyG!I4*(('Balance G.'!I46/365)))</f>
        <v>4051.2643779137352</v>
      </c>
      <c r="J6" s="253">
        <f>+(PyG!J4*(('Balance G.'!J46/365)))</f>
        <v>6340.7705033120101</v>
      </c>
      <c r="K6" s="253">
        <f>+(PyG!K4*(('Balance G.'!K46/365)))</f>
        <v>6471.4437877926393</v>
      </c>
      <c r="L6" s="253">
        <f>+(PyG!L4*(('Balance G.'!L46/365)))</f>
        <v>6422.5314100314736</v>
      </c>
      <c r="M6" s="253">
        <f>+(PyG!M4*(('Balance G.'!M46/365)))</f>
        <v>6370.9233682449267</v>
      </c>
      <c r="N6" s="253">
        <f>+(PyG!N4*(('Balance G.'!N46/365)))</f>
        <v>6316.8251664395548</v>
      </c>
      <c r="O6" s="253">
        <f>+(PyG!O4*(('Balance G.'!O46/365)))</f>
        <v>6542.7981352804854</v>
      </c>
      <c r="P6" s="253">
        <f>+(PyG!P4*(('Balance G.'!P46/365)))</f>
        <v>6349.4814888169594</v>
      </c>
      <c r="Q6" s="253">
        <f>+(PyG!Q4*(('Balance G.'!Q46/365)))</f>
        <v>6161.9531913356059</v>
      </c>
      <c r="R6" s="253">
        <f>+(PyG!R4*(('Balance G.'!R46/365)))</f>
        <v>5781.5159313675631</v>
      </c>
    </row>
    <row r="7" spans="1:20" x14ac:dyDescent="0.3">
      <c r="A7" s="260"/>
      <c r="B7" s="4" t="s">
        <v>304</v>
      </c>
      <c r="C7" s="251">
        <f>+(PyG!C3*(('Balance G.'!C45/365)))</f>
        <v>0</v>
      </c>
      <c r="D7" s="251">
        <f>+(PyG!D3*(('Balance G.'!D45/365)))</f>
        <v>0</v>
      </c>
      <c r="E7" s="251">
        <f>+(PyG!E3*(('Balance G.'!E45/365)))</f>
        <v>0</v>
      </c>
      <c r="F7" s="251">
        <f>+(PyG!F3*(('Balance G.'!F45/365)))</f>
        <v>2975.0448493918848</v>
      </c>
      <c r="G7" s="251">
        <f>+(PyG!G3*(('Balance G.'!G45/365)))</f>
        <v>4219.2143204410113</v>
      </c>
      <c r="H7" s="251">
        <f>+(PyG!H3*(('Balance G.'!H45/365)))</f>
        <v>5387.0484996090709</v>
      </c>
      <c r="I7" s="251">
        <f>+(PyG!I3*(('Balance G.'!I45/365)))</f>
        <v>6482.0230046619763</v>
      </c>
      <c r="J7" s="251">
        <f>+(PyG!J3*(('Balance G.'!J45/365)))</f>
        <v>10145.232805299216</v>
      </c>
      <c r="K7" s="251">
        <f>+(PyG!K3*(('Balance G.'!K45/365)))</f>
        <v>10354.310060468222</v>
      </c>
      <c r="L7" s="251">
        <f>+(PyG!L3*(('Balance G.'!L45/365)))</f>
        <v>10276.050256050357</v>
      </c>
      <c r="M7" s="251">
        <f>+(PyG!M3*(('Balance G.'!M45/365)))</f>
        <v>10193.477389191883</v>
      </c>
      <c r="N7" s="251">
        <f>+(PyG!N3*(('Balance G.'!N45/365)))</f>
        <v>10106.920266303288</v>
      </c>
      <c r="O7" s="251">
        <f>+(PyG!O3*(('Balance G.'!O45/365)))</f>
        <v>10468.477016448776</v>
      </c>
      <c r="P7" s="251">
        <f>+(PyG!P3*(('Balance G.'!P45/365)))</f>
        <v>10159.170382107135</v>
      </c>
      <c r="Q7" s="251">
        <f>+(PyG!Q3*(('Balance G.'!Q45/365)))</f>
        <v>9859.1251061369694</v>
      </c>
      <c r="R7" s="251">
        <f>+(PyG!R3*(('Balance G.'!R45/365)))</f>
        <v>9250.4254901881013</v>
      </c>
      <c r="S7" s="251"/>
      <c r="T7" s="251"/>
    </row>
    <row r="8" spans="1:20" x14ac:dyDescent="0.3">
      <c r="A8" s="260"/>
      <c r="B8" s="137" t="s">
        <v>305</v>
      </c>
      <c r="C8" s="249">
        <f ca="1">SUM(C5:C7)</f>
        <v>848.95890410958907</v>
      </c>
      <c r="D8" s="249">
        <f t="shared" ref="D8:R8" ca="1" si="0">SUM(D5:D7)</f>
        <v>891.40684931506848</v>
      </c>
      <c r="E8" s="249">
        <f t="shared" ca="1" si="0"/>
        <v>882.9172602739726</v>
      </c>
      <c r="F8" s="249">
        <f t="shared" ca="1" si="0"/>
        <v>30294.467548024066</v>
      </c>
      <c r="G8" s="249">
        <f t="shared" ca="1" si="0"/>
        <v>66791.355363866474</v>
      </c>
      <c r="H8" s="249">
        <f t="shared" ca="1" si="0"/>
        <v>108959.13116025036</v>
      </c>
      <c r="I8" s="249">
        <f t="shared" ca="1" si="0"/>
        <v>156593.36722557983</v>
      </c>
      <c r="J8" s="249">
        <f t="shared" ca="1" si="0"/>
        <v>199359.48620374713</v>
      </c>
      <c r="K8" s="249">
        <f t="shared" ca="1" si="0"/>
        <v>243653.94493279851</v>
      </c>
      <c r="L8" s="249">
        <f t="shared" ca="1" si="0"/>
        <v>288359.46451574756</v>
      </c>
      <c r="M8" s="249">
        <f t="shared" ca="1" si="0"/>
        <v>333470.53230356204</v>
      </c>
      <c r="N8" s="249">
        <f t="shared" ca="1" si="0"/>
        <v>378973.90228199027</v>
      </c>
      <c r="O8" s="249">
        <f t="shared" ca="1" si="0"/>
        <v>426827.76498475292</v>
      </c>
      <c r="P8" s="249">
        <f t="shared" ca="1" si="0"/>
        <v>474135.01476954907</v>
      </c>
      <c r="Q8" s="249">
        <f t="shared" ca="1" si="0"/>
        <v>520941.59208323533</v>
      </c>
      <c r="R8" s="249">
        <f t="shared" ca="1" si="0"/>
        <v>565886.15978641692</v>
      </c>
    </row>
    <row r="9" spans="1:20" x14ac:dyDescent="0.3">
      <c r="A9" s="260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</row>
    <row r="10" spans="1:20" x14ac:dyDescent="0.3">
      <c r="B10" s="4" t="s">
        <v>306</v>
      </c>
      <c r="C10" s="253">
        <f>+C64+C65+'Capex&amp;DA'!C43</f>
        <v>43928.82</v>
      </c>
      <c r="D10" s="253">
        <f>+D64+D65+'Capex&amp;DA'!D43</f>
        <v>43973.64</v>
      </c>
      <c r="E10" s="253">
        <f>+E64+E65+'Capex&amp;DA'!E43</f>
        <v>44018.46</v>
      </c>
      <c r="F10" s="253">
        <f>+F64+F65+'Capex&amp;DA'!F43</f>
        <v>44063.28</v>
      </c>
      <c r="G10" s="253">
        <f>+G64+G65+'Capex&amp;DA'!G43</f>
        <v>44108.1</v>
      </c>
      <c r="H10" s="253">
        <f>+H64+H65+'Capex&amp;DA'!H43</f>
        <v>44152.92</v>
      </c>
      <c r="I10" s="253">
        <f>+I64+I65+'Capex&amp;DA'!I43</f>
        <v>44197.74</v>
      </c>
      <c r="J10" s="253">
        <f>+J64+J65+'Capex&amp;DA'!J43</f>
        <v>44242.559999999998</v>
      </c>
      <c r="K10" s="253">
        <f>+K64+K65+'Capex&amp;DA'!K43</f>
        <v>44287.38</v>
      </c>
      <c r="L10" s="253">
        <f>+L64+L65+'Capex&amp;DA'!L43</f>
        <v>44332.2</v>
      </c>
      <c r="M10" s="253">
        <f>+M64+M65+'Capex&amp;DA'!M43</f>
        <v>44377.02</v>
      </c>
      <c r="N10" s="253">
        <f>+N64+N65+'Capex&amp;DA'!N43</f>
        <v>44421.84</v>
      </c>
      <c r="O10" s="253">
        <f>+O64+O65+'Capex&amp;DA'!O43</f>
        <v>44466.66</v>
      </c>
      <c r="P10" s="253">
        <f>+P64+P65+'Capex&amp;DA'!P43</f>
        <v>44511.48</v>
      </c>
      <c r="Q10" s="253">
        <f>+Q64+Q65+'Capex&amp;DA'!Q43</f>
        <v>44556.3</v>
      </c>
      <c r="R10" s="253">
        <f>+R64+R65+'Capex&amp;DA'!R43</f>
        <v>44601.120000000003</v>
      </c>
    </row>
    <row r="11" spans="1:20" x14ac:dyDescent="0.3">
      <c r="A11" s="260"/>
      <c r="B11" s="4" t="s">
        <v>307</v>
      </c>
      <c r="C11" s="251">
        <f>+'Capex&amp;DA'!C28</f>
        <v>360</v>
      </c>
      <c r="D11" s="251">
        <f>+C11*(1+$A$11)</f>
        <v>360</v>
      </c>
      <c r="E11" s="251">
        <f t="shared" ref="E11:R11" si="1">+D11*(1+$A$11)</f>
        <v>360</v>
      </c>
      <c r="F11" s="251">
        <f t="shared" si="1"/>
        <v>360</v>
      </c>
      <c r="G11" s="251">
        <f t="shared" si="1"/>
        <v>360</v>
      </c>
      <c r="H11" s="251">
        <f t="shared" si="1"/>
        <v>360</v>
      </c>
      <c r="I11" s="251">
        <f t="shared" si="1"/>
        <v>360</v>
      </c>
      <c r="J11" s="251">
        <f t="shared" si="1"/>
        <v>360</v>
      </c>
      <c r="K11" s="251">
        <f t="shared" si="1"/>
        <v>360</v>
      </c>
      <c r="L11" s="251">
        <f t="shared" si="1"/>
        <v>360</v>
      </c>
      <c r="M11" s="251">
        <f t="shared" si="1"/>
        <v>360</v>
      </c>
      <c r="N11" s="251">
        <f t="shared" si="1"/>
        <v>360</v>
      </c>
      <c r="O11" s="251">
        <f t="shared" si="1"/>
        <v>360</v>
      </c>
      <c r="P11" s="251">
        <f t="shared" si="1"/>
        <v>360</v>
      </c>
      <c r="Q11" s="251">
        <f t="shared" si="1"/>
        <v>360</v>
      </c>
      <c r="R11" s="251">
        <f t="shared" si="1"/>
        <v>360</v>
      </c>
    </row>
    <row r="12" spans="1:20" x14ac:dyDescent="0.3">
      <c r="A12" s="260"/>
      <c r="B12" s="4" t="s">
        <v>308</v>
      </c>
      <c r="C12" s="251">
        <f>+'Capex&amp;DA'!C30</f>
        <v>1080</v>
      </c>
      <c r="D12" s="251">
        <f>+C12*(1+$A$12)</f>
        <v>1080</v>
      </c>
      <c r="E12" s="251">
        <f t="shared" ref="E12:R12" si="2">+D12*(1+$A$12)</f>
        <v>1080</v>
      </c>
      <c r="F12" s="251">
        <f t="shared" si="2"/>
        <v>1080</v>
      </c>
      <c r="G12" s="251">
        <f t="shared" si="2"/>
        <v>1080</v>
      </c>
      <c r="H12" s="251">
        <f t="shared" si="2"/>
        <v>1080</v>
      </c>
      <c r="I12" s="251">
        <f t="shared" si="2"/>
        <v>1080</v>
      </c>
      <c r="J12" s="251">
        <f t="shared" si="2"/>
        <v>1080</v>
      </c>
      <c r="K12" s="251">
        <f t="shared" si="2"/>
        <v>1080</v>
      </c>
      <c r="L12" s="251">
        <f t="shared" si="2"/>
        <v>1080</v>
      </c>
      <c r="M12" s="251">
        <f t="shared" si="2"/>
        <v>1080</v>
      </c>
      <c r="N12" s="251">
        <f t="shared" si="2"/>
        <v>1080</v>
      </c>
      <c r="O12" s="251">
        <f t="shared" si="2"/>
        <v>1080</v>
      </c>
      <c r="P12" s="251">
        <f t="shared" si="2"/>
        <v>1080</v>
      </c>
      <c r="Q12" s="251">
        <f t="shared" si="2"/>
        <v>1080</v>
      </c>
      <c r="R12" s="251">
        <f t="shared" si="2"/>
        <v>1080</v>
      </c>
    </row>
    <row r="13" spans="1:20" x14ac:dyDescent="0.3">
      <c r="A13" s="260"/>
      <c r="B13" s="4" t="s">
        <v>309</v>
      </c>
      <c r="C13" s="251">
        <f>+'Capex&amp;DA'!C54</f>
        <v>-394.2</v>
      </c>
      <c r="D13" s="251">
        <f>+'Capex&amp;DA'!D54</f>
        <v>-788.4</v>
      </c>
      <c r="E13" s="251">
        <f>+'Capex&amp;DA'!E54</f>
        <v>-1182.5999999999999</v>
      </c>
      <c r="F13" s="251">
        <f>+'Capex&amp;DA'!F54</f>
        <v>-1576.8</v>
      </c>
      <c r="G13" s="251">
        <f>+'Capex&amp;DA'!G54</f>
        <v>-1971</v>
      </c>
      <c r="H13" s="251">
        <f>+'Capex&amp;DA'!H54</f>
        <v>-2365.1999999999998</v>
      </c>
      <c r="I13" s="251">
        <f>+'Capex&amp;DA'!I54</f>
        <v>-2759.3999999999996</v>
      </c>
      <c r="J13" s="251">
        <f>+'Capex&amp;DA'!J54</f>
        <v>-3153.5999999999995</v>
      </c>
      <c r="K13" s="251">
        <f>+'Capex&amp;DA'!K54</f>
        <v>-3547.7999999999993</v>
      </c>
      <c r="L13" s="251">
        <f>+'Capex&amp;DA'!L54</f>
        <v>-3941.9999999999991</v>
      </c>
      <c r="M13" s="251">
        <f>+'Capex&amp;DA'!M54</f>
        <v>-4336.1999999999989</v>
      </c>
      <c r="N13" s="251">
        <f>+'Capex&amp;DA'!N54</f>
        <v>-4730.3999999999987</v>
      </c>
      <c r="O13" s="251">
        <f>+'Capex&amp;DA'!O54</f>
        <v>-5124.5999999999985</v>
      </c>
      <c r="P13" s="251">
        <f>+'Capex&amp;DA'!P54</f>
        <v>-5518.7999999999984</v>
      </c>
      <c r="Q13" s="251">
        <f>+'Capex&amp;DA'!Q54</f>
        <v>-5912.9999999999982</v>
      </c>
      <c r="R13" s="251">
        <f>+'Capex&amp;DA'!R54</f>
        <v>-6307.199999999998</v>
      </c>
    </row>
    <row r="14" spans="1:20" x14ac:dyDescent="0.3">
      <c r="A14" s="260"/>
      <c r="B14" s="137" t="s">
        <v>310</v>
      </c>
      <c r="C14" s="249">
        <f>SUM(C10:C13)</f>
        <v>44974.62</v>
      </c>
      <c r="D14" s="249">
        <f t="shared" ref="D14:R14" si="3">SUM(D10:D13)</f>
        <v>44625.24</v>
      </c>
      <c r="E14" s="249">
        <f t="shared" si="3"/>
        <v>44275.86</v>
      </c>
      <c r="F14" s="249">
        <f t="shared" si="3"/>
        <v>43926.479999999996</v>
      </c>
      <c r="G14" s="249">
        <f t="shared" si="3"/>
        <v>43577.1</v>
      </c>
      <c r="H14" s="249">
        <f t="shared" si="3"/>
        <v>43227.72</v>
      </c>
      <c r="I14" s="249">
        <f t="shared" si="3"/>
        <v>42878.34</v>
      </c>
      <c r="J14" s="249">
        <f t="shared" si="3"/>
        <v>42528.959999999999</v>
      </c>
      <c r="K14" s="249">
        <f t="shared" si="3"/>
        <v>42179.58</v>
      </c>
      <c r="L14" s="249">
        <f t="shared" si="3"/>
        <v>41830.199999999997</v>
      </c>
      <c r="M14" s="249">
        <f t="shared" si="3"/>
        <v>41480.82</v>
      </c>
      <c r="N14" s="249">
        <f t="shared" si="3"/>
        <v>41131.439999999995</v>
      </c>
      <c r="O14" s="249">
        <f t="shared" si="3"/>
        <v>40782.060000000005</v>
      </c>
      <c r="P14" s="249">
        <f t="shared" si="3"/>
        <v>40432.680000000008</v>
      </c>
      <c r="Q14" s="249">
        <f t="shared" si="3"/>
        <v>40083.300000000003</v>
      </c>
      <c r="R14" s="249">
        <f t="shared" si="3"/>
        <v>39733.920000000006</v>
      </c>
    </row>
    <row r="15" spans="1:20" ht="9" customHeight="1" x14ac:dyDescent="0.3">
      <c r="A15" s="260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</row>
    <row r="16" spans="1:20" ht="13.5" thickBot="1" x14ac:dyDescent="0.35">
      <c r="A16" s="260"/>
      <c r="B16" s="165" t="s">
        <v>27</v>
      </c>
      <c r="C16" s="280">
        <f t="shared" ref="C16:R16" ca="1" si="4">+C8+C14</f>
        <v>45823.578904109592</v>
      </c>
      <c r="D16" s="280">
        <f t="shared" ca="1" si="4"/>
        <v>45516.646849315068</v>
      </c>
      <c r="E16" s="280">
        <f t="shared" ca="1" si="4"/>
        <v>45158.777260273971</v>
      </c>
      <c r="F16" s="280">
        <f t="shared" ca="1" si="4"/>
        <v>74220.947548024065</v>
      </c>
      <c r="G16" s="280">
        <f t="shared" ca="1" si="4"/>
        <v>110368.45536386647</v>
      </c>
      <c r="H16" s="280">
        <f t="shared" ca="1" si="4"/>
        <v>152186.85116025037</v>
      </c>
      <c r="I16" s="280">
        <f t="shared" ca="1" si="4"/>
        <v>199471.70722557983</v>
      </c>
      <c r="J16" s="280">
        <f t="shared" ca="1" si="4"/>
        <v>241888.44620374712</v>
      </c>
      <c r="K16" s="280">
        <f t="shared" ca="1" si="4"/>
        <v>285833.52493279852</v>
      </c>
      <c r="L16" s="280">
        <f t="shared" ca="1" si="4"/>
        <v>330189.66451574757</v>
      </c>
      <c r="M16" s="280">
        <f t="shared" ca="1" si="4"/>
        <v>374951.35230356205</v>
      </c>
      <c r="N16" s="280">
        <f t="shared" ca="1" si="4"/>
        <v>420105.34228199028</v>
      </c>
      <c r="O16" s="280">
        <f t="shared" ca="1" si="4"/>
        <v>467609.82498475292</v>
      </c>
      <c r="P16" s="280">
        <f t="shared" ca="1" si="4"/>
        <v>514567.69476954907</v>
      </c>
      <c r="Q16" s="280">
        <f t="shared" ca="1" si="4"/>
        <v>561024.89208323532</v>
      </c>
      <c r="R16" s="280">
        <f t="shared" ca="1" si="4"/>
        <v>605620.07978641696</v>
      </c>
    </row>
    <row r="17" spans="1:18" x14ac:dyDescent="0.3">
      <c r="A17" s="260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</row>
    <row r="18" spans="1:18" x14ac:dyDescent="0.3">
      <c r="A18" s="260"/>
      <c r="B18" s="9" t="s">
        <v>119</v>
      </c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</row>
    <row r="19" spans="1:18" ht="8.25" customHeight="1" x14ac:dyDescent="0.3">
      <c r="A19" s="260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</row>
    <row r="20" spans="1:18" x14ac:dyDescent="0.3">
      <c r="A20" s="260"/>
      <c r="B20" s="4" t="s">
        <v>311</v>
      </c>
      <c r="C20" s="251">
        <f>+((PyG!C7+PyG!C8))*(('Balance G.'!C47/365))</f>
        <v>853.86575342465756</v>
      </c>
      <c r="D20" s="251">
        <f>+(PyG!D7+PyG!D8)*(('Balance G.'!D47/365))</f>
        <v>896.55904109589051</v>
      </c>
      <c r="E20" s="251">
        <f>+(PyG!E7+PyG!E8)*(('Balance G.'!E47/365))</f>
        <v>932.42140273972609</v>
      </c>
      <c r="F20" s="251">
        <f>+(PyG!F7+PyG!F8)*(('Balance G.'!F47/365))</f>
        <v>1005.0197175627962</v>
      </c>
      <c r="G20" s="251">
        <f>+(PyG!G7+PyG!G8)*(('Balance G.'!G47/365))</f>
        <v>1052.4940809731906</v>
      </c>
      <c r="H20" s="251">
        <f>+(PyG!H7+PyG!H8)*(('Balance G.'!H47/365))</f>
        <v>1099.6877696457088</v>
      </c>
      <c r="I20" s="251">
        <f>+(PyG!I7+PyG!I8)*(('Balance G.'!I47/365))</f>
        <v>1146.6788484860497</v>
      </c>
      <c r="J20" s="251">
        <f>+(PyG!J7+PyG!J8)*(('Balance G.'!J47/365))</f>
        <v>1233.110450598092</v>
      </c>
      <c r="K20" s="251">
        <f>+(PyG!K7+PyG!K8)*(('Balance G.'!K47/365))</f>
        <v>1268.6745681811851</v>
      </c>
      <c r="L20" s="251">
        <f>+(PyG!L7+PyG!L8)*(('Balance G.'!L47/365))</f>
        <v>1300.901468633142</v>
      </c>
      <c r="M20" s="251">
        <f>+(PyG!M7+PyG!M8)*(('Balance G.'!M47/365))</f>
        <v>1334.0656970740365</v>
      </c>
      <c r="N20" s="251">
        <f>+(PyG!N7+PyG!N8)*(('Balance G.'!N47/365))</f>
        <v>1368.2022463177925</v>
      </c>
      <c r="O20" s="251">
        <f>+(PyG!O7+PyG!O8)*(('Balance G.'!O47/365))</f>
        <v>1410.1235508396724</v>
      </c>
      <c r="P20" s="251">
        <f>+(PyG!P7+PyG!P8)*(('Balance G.'!P47/365))</f>
        <v>1443.0768431923359</v>
      </c>
      <c r="Q20" s="251">
        <f>+(PyG!Q7+PyG!Q8)*(('Balance G.'!Q47/365))</f>
        <v>1477.2968426766054</v>
      </c>
      <c r="R20" s="251">
        <f>+(PyG!R7+PyG!R8)*(('Balance G.'!R47/365))</f>
        <v>1508.0486474199088</v>
      </c>
    </row>
    <row r="21" spans="1:18" x14ac:dyDescent="0.3">
      <c r="A21" s="260"/>
      <c r="B21" s="4" t="s">
        <v>312</v>
      </c>
      <c r="C21" s="251">
        <f ca="1">+Debt!C8</f>
        <v>30375.300744446915</v>
      </c>
      <c r="D21" s="251">
        <f ca="1">+Debt!D8</f>
        <v>16193.503088394991</v>
      </c>
      <c r="E21" s="251">
        <f ca="1">+Debt!E8</f>
        <v>1217.6531977221475</v>
      </c>
      <c r="F21" s="251">
        <f ca="1">+Debt!F8</f>
        <v>0</v>
      </c>
      <c r="G21" s="251">
        <f ca="1">+Debt!G8</f>
        <v>0</v>
      </c>
      <c r="H21" s="251">
        <f ca="1">+Debt!H8</f>
        <v>0</v>
      </c>
      <c r="I21" s="251">
        <f ca="1">+Debt!I8</f>
        <v>0</v>
      </c>
      <c r="J21" s="251">
        <f ca="1">+Debt!J8</f>
        <v>0</v>
      </c>
      <c r="K21" s="251">
        <f ca="1">+Debt!K8</f>
        <v>0</v>
      </c>
      <c r="L21" s="251">
        <f ca="1">+Debt!L8</f>
        <v>0</v>
      </c>
      <c r="M21" s="251">
        <f ca="1">+Debt!M8</f>
        <v>0</v>
      </c>
      <c r="N21" s="251">
        <f ca="1">+Debt!N8</f>
        <v>0</v>
      </c>
      <c r="O21" s="251">
        <f ca="1">+Debt!O8</f>
        <v>0</v>
      </c>
      <c r="P21" s="251">
        <f ca="1">+Debt!P8</f>
        <v>0</v>
      </c>
      <c r="Q21" s="251">
        <f ca="1">+Debt!Q8</f>
        <v>0</v>
      </c>
      <c r="R21" s="251">
        <f ca="1">+Debt!R8</f>
        <v>0</v>
      </c>
    </row>
    <row r="22" spans="1:18" x14ac:dyDescent="0.3">
      <c r="A22" s="260"/>
      <c r="B22" s="4" t="s">
        <v>313</v>
      </c>
      <c r="C22" s="251">
        <v>0</v>
      </c>
      <c r="D22" s="251">
        <v>0</v>
      </c>
      <c r="E22" s="251">
        <v>0</v>
      </c>
      <c r="F22" s="251">
        <v>0</v>
      </c>
      <c r="G22" s="251">
        <v>0</v>
      </c>
      <c r="H22" s="251">
        <v>0</v>
      </c>
      <c r="I22" s="251">
        <v>0</v>
      </c>
      <c r="J22" s="251">
        <v>0</v>
      </c>
      <c r="K22" s="251">
        <v>0</v>
      </c>
      <c r="L22" s="251">
        <v>0</v>
      </c>
      <c r="M22" s="251">
        <v>0</v>
      </c>
      <c r="N22" s="251">
        <v>0</v>
      </c>
      <c r="O22" s="251">
        <v>0</v>
      </c>
      <c r="P22" s="251">
        <v>0</v>
      </c>
      <c r="Q22" s="251">
        <v>0</v>
      </c>
      <c r="R22" s="251">
        <v>0</v>
      </c>
    </row>
    <row r="23" spans="1:18" x14ac:dyDescent="0.3">
      <c r="A23" s="260"/>
      <c r="B23" s="137" t="s">
        <v>314</v>
      </c>
      <c r="C23" s="249">
        <f t="shared" ref="C23:R23" ca="1" si="5">SUM(C20:C22)</f>
        <v>31229.166497871571</v>
      </c>
      <c r="D23" s="249">
        <f t="shared" ca="1" si="5"/>
        <v>17090.062129490881</v>
      </c>
      <c r="E23" s="249">
        <f t="shared" ca="1" si="5"/>
        <v>2150.0746004618736</v>
      </c>
      <c r="F23" s="249">
        <f t="shared" ca="1" si="5"/>
        <v>1005.0197175627962</v>
      </c>
      <c r="G23" s="249">
        <f t="shared" ca="1" si="5"/>
        <v>1052.4940809731906</v>
      </c>
      <c r="H23" s="249">
        <f t="shared" ca="1" si="5"/>
        <v>1099.6877696457088</v>
      </c>
      <c r="I23" s="249">
        <f t="shared" ca="1" si="5"/>
        <v>1146.6788484860497</v>
      </c>
      <c r="J23" s="249">
        <f t="shared" ca="1" si="5"/>
        <v>1233.110450598092</v>
      </c>
      <c r="K23" s="249">
        <f t="shared" ca="1" si="5"/>
        <v>1268.6745681811851</v>
      </c>
      <c r="L23" s="249">
        <f t="shared" ca="1" si="5"/>
        <v>1300.901468633142</v>
      </c>
      <c r="M23" s="249">
        <f t="shared" ca="1" si="5"/>
        <v>1334.0656970740365</v>
      </c>
      <c r="N23" s="249">
        <f t="shared" ca="1" si="5"/>
        <v>1368.2022463177925</v>
      </c>
      <c r="O23" s="249">
        <f t="shared" ca="1" si="5"/>
        <v>1410.1235508396724</v>
      </c>
      <c r="P23" s="249">
        <f t="shared" ca="1" si="5"/>
        <v>1443.0768431923359</v>
      </c>
      <c r="Q23" s="249">
        <f t="shared" ca="1" si="5"/>
        <v>1477.2968426766054</v>
      </c>
      <c r="R23" s="249">
        <f t="shared" ca="1" si="5"/>
        <v>1508.0486474199088</v>
      </c>
    </row>
    <row r="24" spans="1:18" x14ac:dyDescent="0.3">
      <c r="A24" s="260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</row>
    <row r="25" spans="1:18" x14ac:dyDescent="0.3">
      <c r="A25" s="260"/>
      <c r="B25" s="4" t="s">
        <v>315</v>
      </c>
      <c r="C25" s="251">
        <v>0</v>
      </c>
      <c r="D25" s="251">
        <v>0</v>
      </c>
      <c r="E25" s="251">
        <v>0</v>
      </c>
      <c r="F25" s="251">
        <v>0</v>
      </c>
      <c r="G25" s="251">
        <v>0</v>
      </c>
      <c r="H25" s="251">
        <v>0</v>
      </c>
      <c r="I25" s="251">
        <v>0</v>
      </c>
      <c r="J25" s="251">
        <v>0</v>
      </c>
      <c r="K25" s="251">
        <v>0</v>
      </c>
      <c r="L25" s="251">
        <v>0</v>
      </c>
      <c r="M25" s="251">
        <v>0</v>
      </c>
      <c r="N25" s="251">
        <v>0</v>
      </c>
      <c r="O25" s="251">
        <v>0</v>
      </c>
      <c r="P25" s="251">
        <v>0</v>
      </c>
      <c r="Q25" s="251">
        <v>0</v>
      </c>
      <c r="R25" s="251">
        <v>0</v>
      </c>
    </row>
    <row r="26" spans="1:18" x14ac:dyDescent="0.3">
      <c r="A26" s="260"/>
      <c r="B26" s="137" t="s">
        <v>316</v>
      </c>
      <c r="C26" s="281">
        <f>+C25</f>
        <v>0</v>
      </c>
      <c r="D26" s="281">
        <f t="shared" ref="D26:R26" si="6">+D25</f>
        <v>0</v>
      </c>
      <c r="E26" s="281">
        <f t="shared" si="6"/>
        <v>0</v>
      </c>
      <c r="F26" s="281">
        <f t="shared" si="6"/>
        <v>0</v>
      </c>
      <c r="G26" s="281">
        <f t="shared" si="6"/>
        <v>0</v>
      </c>
      <c r="H26" s="281">
        <f t="shared" si="6"/>
        <v>0</v>
      </c>
      <c r="I26" s="281">
        <f t="shared" si="6"/>
        <v>0</v>
      </c>
      <c r="J26" s="281">
        <f t="shared" si="6"/>
        <v>0</v>
      </c>
      <c r="K26" s="281">
        <f t="shared" si="6"/>
        <v>0</v>
      </c>
      <c r="L26" s="281">
        <f t="shared" si="6"/>
        <v>0</v>
      </c>
      <c r="M26" s="281">
        <f t="shared" si="6"/>
        <v>0</v>
      </c>
      <c r="N26" s="281">
        <f t="shared" si="6"/>
        <v>0</v>
      </c>
      <c r="O26" s="281">
        <f t="shared" si="6"/>
        <v>0</v>
      </c>
      <c r="P26" s="281">
        <f t="shared" si="6"/>
        <v>0</v>
      </c>
      <c r="Q26" s="281">
        <f t="shared" si="6"/>
        <v>0</v>
      </c>
      <c r="R26" s="281">
        <f t="shared" si="6"/>
        <v>0</v>
      </c>
    </row>
    <row r="27" spans="1:18" x14ac:dyDescent="0.3">
      <c r="A27" s="260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</row>
    <row r="28" spans="1:18" ht="13.5" thickBot="1" x14ac:dyDescent="0.35">
      <c r="A28" s="260"/>
      <c r="B28" s="165" t="s">
        <v>317</v>
      </c>
      <c r="C28" s="279">
        <f ca="1">+C23+C26</f>
        <v>31229.166497871571</v>
      </c>
      <c r="D28" s="279">
        <f t="shared" ref="D28:R28" ca="1" si="7">+D23+D26</f>
        <v>17090.062129490881</v>
      </c>
      <c r="E28" s="279">
        <f t="shared" ca="1" si="7"/>
        <v>2150.0746004618736</v>
      </c>
      <c r="F28" s="279">
        <f t="shared" ca="1" si="7"/>
        <v>1005.0197175627962</v>
      </c>
      <c r="G28" s="279">
        <f t="shared" ca="1" si="7"/>
        <v>1052.4940809731906</v>
      </c>
      <c r="H28" s="279">
        <f t="shared" ca="1" si="7"/>
        <v>1099.6877696457088</v>
      </c>
      <c r="I28" s="279">
        <f t="shared" ca="1" si="7"/>
        <v>1146.6788484860497</v>
      </c>
      <c r="J28" s="279">
        <f t="shared" ca="1" si="7"/>
        <v>1233.110450598092</v>
      </c>
      <c r="K28" s="279">
        <f t="shared" ca="1" si="7"/>
        <v>1268.6745681811851</v>
      </c>
      <c r="L28" s="279">
        <f t="shared" ca="1" si="7"/>
        <v>1300.901468633142</v>
      </c>
      <c r="M28" s="279">
        <f t="shared" ca="1" si="7"/>
        <v>1334.0656970740365</v>
      </c>
      <c r="N28" s="279">
        <f t="shared" ca="1" si="7"/>
        <v>1368.2022463177925</v>
      </c>
      <c r="O28" s="279">
        <f t="shared" ca="1" si="7"/>
        <v>1410.1235508396724</v>
      </c>
      <c r="P28" s="279">
        <f t="shared" ca="1" si="7"/>
        <v>1443.0768431923359</v>
      </c>
      <c r="Q28" s="279">
        <f t="shared" ca="1" si="7"/>
        <v>1477.2968426766054</v>
      </c>
      <c r="R28" s="279">
        <f t="shared" ca="1" si="7"/>
        <v>1508.0486474199088</v>
      </c>
    </row>
    <row r="29" spans="1:18" x14ac:dyDescent="0.3">
      <c r="A29" s="260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</row>
    <row r="30" spans="1:18" x14ac:dyDescent="0.3">
      <c r="A30" s="260"/>
      <c r="B30" s="9" t="s">
        <v>32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</row>
    <row r="31" spans="1:18" ht="8.25" customHeight="1" x14ac:dyDescent="0.3"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</row>
    <row r="32" spans="1:18" x14ac:dyDescent="0.3">
      <c r="B32" s="4" t="s">
        <v>318</v>
      </c>
      <c r="C32" s="251">
        <f>+Presentación!C3</f>
        <v>21428.571428571428</v>
      </c>
      <c r="D32" s="251">
        <f>+C32+Presentación!D3</f>
        <v>42857.142857142855</v>
      </c>
      <c r="E32" s="251">
        <f>+D32+Presentación!E3</f>
        <v>64285.714285714283</v>
      </c>
      <c r="F32" s="251">
        <f>+E32+Presentación!F3</f>
        <v>85714.28571428571</v>
      </c>
      <c r="G32" s="251">
        <f>+F32+Presentación!G3</f>
        <v>107142.85714285713</v>
      </c>
      <c r="H32" s="251">
        <f>+G32+Presentación!H3</f>
        <v>128571.42857142855</v>
      </c>
      <c r="I32" s="251">
        <f>+H32+Presentación!I3</f>
        <v>149999.99999999997</v>
      </c>
      <c r="J32" s="251">
        <f>+I32+Presentación!J3</f>
        <v>149999.99999999997</v>
      </c>
      <c r="K32" s="251">
        <f>+J32+Presentación!K3</f>
        <v>149999.99999999997</v>
      </c>
      <c r="L32" s="251">
        <f>+K32+Presentación!L3</f>
        <v>149999.99999999997</v>
      </c>
      <c r="M32" s="251">
        <f>+L32+Presentación!M3</f>
        <v>149999.99999999997</v>
      </c>
      <c r="N32" s="251">
        <f>+M32+Presentación!N3</f>
        <v>149999.99999999997</v>
      </c>
      <c r="O32" s="251">
        <f>+N32+Presentación!O3</f>
        <v>149999.99999999997</v>
      </c>
      <c r="P32" s="251">
        <f>+O32+Presentación!P3</f>
        <v>149999.99999999997</v>
      </c>
      <c r="Q32" s="251">
        <f>+P32+Presentación!Q3</f>
        <v>149999.99999999997</v>
      </c>
      <c r="R32" s="251">
        <f>+Q32+Presentación!R3</f>
        <v>149999.99999999997</v>
      </c>
    </row>
    <row r="33" spans="1:18" x14ac:dyDescent="0.3">
      <c r="A33" s="260">
        <v>1</v>
      </c>
      <c r="B33" s="4" t="s">
        <v>319</v>
      </c>
      <c r="C33" s="251">
        <v>0</v>
      </c>
      <c r="D33" s="251">
        <f ca="1">+C33+C34</f>
        <v>-6834.1590223334078</v>
      </c>
      <c r="E33" s="251">
        <f t="shared" ref="E33:Q33" ca="1" si="8">+D33+D34</f>
        <v>-14430.558137318665</v>
      </c>
      <c r="F33" s="251">
        <f t="shared" ca="1" si="8"/>
        <v>-21277.011625902182</v>
      </c>
      <c r="G33" s="251">
        <f t="shared" ca="1" si="8"/>
        <v>-12498.357883824445</v>
      </c>
      <c r="H33" s="251">
        <f t="shared" ca="1" si="8"/>
        <v>2173.1041400361446</v>
      </c>
      <c r="I33" s="251">
        <f t="shared" ca="1" si="8"/>
        <v>22515.734819176076</v>
      </c>
      <c r="J33" s="251">
        <f t="shared" ca="1" si="8"/>
        <v>48325.028377093782</v>
      </c>
      <c r="K33" s="251">
        <f t="shared" ca="1" si="8"/>
        <v>90655.335753149033</v>
      </c>
      <c r="L33" s="251">
        <f t="shared" ca="1" si="8"/>
        <v>134564.85036461733</v>
      </c>
      <c r="M33" s="251">
        <f t="shared" ca="1" si="8"/>
        <v>178888.76304711442</v>
      </c>
      <c r="N33" s="251">
        <f t="shared" ca="1" si="8"/>
        <v>223617.28660648808</v>
      </c>
      <c r="O33" s="251">
        <f t="shared" ca="1" si="8"/>
        <v>268737.14003567246</v>
      </c>
      <c r="P33" s="251">
        <f t="shared" ca="1" si="8"/>
        <v>316199.70143391326</v>
      </c>
      <c r="Q33" s="251">
        <f t="shared" ca="1" si="8"/>
        <v>363124.61792635673</v>
      </c>
      <c r="R33" s="251">
        <f ca="1">+Q33+Q34</f>
        <v>409547.59524055873</v>
      </c>
    </row>
    <row r="34" spans="1:18" x14ac:dyDescent="0.3">
      <c r="B34" s="4" t="s">
        <v>320</v>
      </c>
      <c r="C34" s="251">
        <f ca="1">+PyG!C21</f>
        <v>-6834.1590223334078</v>
      </c>
      <c r="D34" s="251">
        <f ca="1">+PyG!D21</f>
        <v>-7596.3991149852573</v>
      </c>
      <c r="E34" s="251">
        <f ca="1">+PyG!E21</f>
        <v>-6846.4534885835155</v>
      </c>
      <c r="F34" s="251">
        <f ca="1">+PyG!F21</f>
        <v>8778.6537420777368</v>
      </c>
      <c r="G34" s="251">
        <f ca="1">+PyG!G21</f>
        <v>14671.462023860589</v>
      </c>
      <c r="H34" s="251">
        <f ca="1">+PyG!H21</f>
        <v>20342.630679139933</v>
      </c>
      <c r="I34" s="251">
        <f ca="1">+PyG!I21</f>
        <v>25809.29355791771</v>
      </c>
      <c r="J34" s="251">
        <f ca="1">+PyG!J21</f>
        <v>42330.307376055258</v>
      </c>
      <c r="K34" s="251">
        <f ca="1">+PyG!K21</f>
        <v>43909.514611468308</v>
      </c>
      <c r="L34" s="251">
        <f ca="1">+PyG!L21</f>
        <v>44323.912682497088</v>
      </c>
      <c r="M34" s="251">
        <f ca="1">+PyG!M21</f>
        <v>44728.523559373658</v>
      </c>
      <c r="N34" s="251">
        <f ca="1">+PyG!N21</f>
        <v>45119.853429184412</v>
      </c>
      <c r="O34" s="251">
        <f ca="1">+PyG!O21</f>
        <v>47462.561398240796</v>
      </c>
      <c r="P34" s="251">
        <f ca="1">+PyG!P21</f>
        <v>46924.916492443488</v>
      </c>
      <c r="Q34" s="251">
        <f ca="1">+PyG!Q21</f>
        <v>46422.97731420202</v>
      </c>
      <c r="R34" s="251">
        <f ca="1">+PyG!R21</f>
        <v>44564.435898438285</v>
      </c>
    </row>
    <row r="35" spans="1:18" x14ac:dyDescent="0.3"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</row>
    <row r="36" spans="1:18" ht="13.5" thickBot="1" x14ac:dyDescent="0.35">
      <c r="B36" s="165" t="s">
        <v>321</v>
      </c>
      <c r="C36" s="280">
        <f t="shared" ref="C36:R36" ca="1" si="9">SUM(C32:C35)</f>
        <v>14594.41240623802</v>
      </c>
      <c r="D36" s="280">
        <f t="shared" ca="1" si="9"/>
        <v>28426.58471982419</v>
      </c>
      <c r="E36" s="280">
        <f t="shared" ca="1" si="9"/>
        <v>43008.702659812101</v>
      </c>
      <c r="F36" s="280">
        <f t="shared" ca="1" si="9"/>
        <v>73215.927830461267</v>
      </c>
      <c r="G36" s="280">
        <f t="shared" ca="1" si="9"/>
        <v>109315.96128289327</v>
      </c>
      <c r="H36" s="280">
        <f t="shared" ca="1" si="9"/>
        <v>151087.16339060463</v>
      </c>
      <c r="I36" s="280">
        <f t="shared" ca="1" si="9"/>
        <v>198325.02837709375</v>
      </c>
      <c r="J36" s="280">
        <f t="shared" ca="1" si="9"/>
        <v>240655.335753149</v>
      </c>
      <c r="K36" s="280">
        <f t="shared" ca="1" si="9"/>
        <v>284564.8503646173</v>
      </c>
      <c r="L36" s="280">
        <f t="shared" ca="1" si="9"/>
        <v>328888.76304711436</v>
      </c>
      <c r="M36" s="280">
        <f t="shared" ca="1" si="9"/>
        <v>373617.28660648805</v>
      </c>
      <c r="N36" s="280">
        <f t="shared" ca="1" si="9"/>
        <v>418737.14003567246</v>
      </c>
      <c r="O36" s="280">
        <f t="shared" ca="1" si="9"/>
        <v>466199.70143391326</v>
      </c>
      <c r="P36" s="280">
        <f t="shared" ca="1" si="9"/>
        <v>513124.61792635667</v>
      </c>
      <c r="Q36" s="280">
        <f t="shared" ca="1" si="9"/>
        <v>559547.59524055873</v>
      </c>
      <c r="R36" s="280">
        <f t="shared" ca="1" si="9"/>
        <v>604112.03113899706</v>
      </c>
    </row>
    <row r="37" spans="1:18" x14ac:dyDescent="0.3">
      <c r="B37" s="8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</row>
    <row r="38" spans="1:18" ht="6.75" customHeight="1" x14ac:dyDescent="0.3"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</row>
    <row r="39" spans="1:18" ht="13.5" thickBot="1" x14ac:dyDescent="0.35">
      <c r="B39" s="165" t="s">
        <v>322</v>
      </c>
      <c r="C39" s="282">
        <f t="shared" ref="C39:Q39" ca="1" si="10">+C36+C28</f>
        <v>45823.578904109592</v>
      </c>
      <c r="D39" s="282">
        <f t="shared" ca="1" si="10"/>
        <v>45516.646849315075</v>
      </c>
      <c r="E39" s="282">
        <f t="shared" ca="1" si="10"/>
        <v>45158.777260273971</v>
      </c>
      <c r="F39" s="282">
        <f t="shared" ca="1" si="10"/>
        <v>74220.947548024065</v>
      </c>
      <c r="G39" s="282">
        <f t="shared" ca="1" si="10"/>
        <v>110368.45536386647</v>
      </c>
      <c r="H39" s="282">
        <f t="shared" ca="1" si="10"/>
        <v>152186.85116025034</v>
      </c>
      <c r="I39" s="282">
        <f t="shared" ca="1" si="10"/>
        <v>199471.7072255798</v>
      </c>
      <c r="J39" s="282">
        <f t="shared" ca="1" si="10"/>
        <v>241888.44620374709</v>
      </c>
      <c r="K39" s="282">
        <f t="shared" ca="1" si="10"/>
        <v>285833.52493279846</v>
      </c>
      <c r="L39" s="282">
        <f t="shared" ca="1" si="10"/>
        <v>330189.66451574751</v>
      </c>
      <c r="M39" s="282">
        <f t="shared" ca="1" si="10"/>
        <v>374951.3523035621</v>
      </c>
      <c r="N39" s="282">
        <f t="shared" ca="1" si="10"/>
        <v>420105.34228199028</v>
      </c>
      <c r="O39" s="282">
        <f t="shared" ca="1" si="10"/>
        <v>467609.82498475292</v>
      </c>
      <c r="P39" s="282">
        <f t="shared" ca="1" si="10"/>
        <v>514567.69476954901</v>
      </c>
      <c r="Q39" s="282">
        <f t="shared" ca="1" si="10"/>
        <v>561024.89208323532</v>
      </c>
      <c r="R39" s="282">
        <f ca="1">+R36+R28</f>
        <v>605620.07978641696</v>
      </c>
    </row>
    <row r="40" spans="1:18" x14ac:dyDescent="0.3"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</row>
    <row r="41" spans="1:18" x14ac:dyDescent="0.3">
      <c r="B41" s="167" t="s">
        <v>323</v>
      </c>
      <c r="C41" s="168" t="b">
        <f ca="1">+ROUND(C39,0)=ROUND(C16,0)</f>
        <v>1</v>
      </c>
      <c r="D41" s="168" t="b">
        <f t="shared" ref="D41:R41" ca="1" si="11">+ROUND(D39,0)=ROUND(D16,0)</f>
        <v>1</v>
      </c>
      <c r="E41" s="168" t="b">
        <f t="shared" ca="1" si="11"/>
        <v>1</v>
      </c>
      <c r="F41" s="168" t="b">
        <f t="shared" ca="1" si="11"/>
        <v>1</v>
      </c>
      <c r="G41" s="168" t="b">
        <f t="shared" ca="1" si="11"/>
        <v>1</v>
      </c>
      <c r="H41" s="168" t="b">
        <f t="shared" ca="1" si="11"/>
        <v>1</v>
      </c>
      <c r="I41" s="168" t="b">
        <f t="shared" ca="1" si="11"/>
        <v>1</v>
      </c>
      <c r="J41" s="168" t="b">
        <f t="shared" ca="1" si="11"/>
        <v>1</v>
      </c>
      <c r="K41" s="168" t="b">
        <f t="shared" ca="1" si="11"/>
        <v>1</v>
      </c>
      <c r="L41" s="168" t="b">
        <f t="shared" ca="1" si="11"/>
        <v>1</v>
      </c>
      <c r="M41" s="168" t="b">
        <f t="shared" ca="1" si="11"/>
        <v>1</v>
      </c>
      <c r="N41" s="168" t="b">
        <f t="shared" ca="1" si="11"/>
        <v>1</v>
      </c>
      <c r="O41" s="168" t="b">
        <f t="shared" ca="1" si="11"/>
        <v>1</v>
      </c>
      <c r="P41" s="168" t="b">
        <f t="shared" ca="1" si="11"/>
        <v>1</v>
      </c>
      <c r="Q41" s="168" t="b">
        <f t="shared" ca="1" si="11"/>
        <v>1</v>
      </c>
      <c r="R41" s="168" t="b">
        <f t="shared" ca="1" si="11"/>
        <v>1</v>
      </c>
    </row>
    <row r="42" spans="1:18" x14ac:dyDescent="0.3">
      <c r="C42" s="228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</row>
    <row r="43" spans="1:18" x14ac:dyDescent="0.3">
      <c r="B43" s="170" t="s">
        <v>324</v>
      </c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</row>
    <row r="45" spans="1:18" x14ac:dyDescent="0.3">
      <c r="B45" s="4" t="s">
        <v>325</v>
      </c>
      <c r="C45" s="350">
        <v>60</v>
      </c>
      <c r="D45" s="283">
        <f>+C45</f>
        <v>60</v>
      </c>
      <c r="E45" s="283">
        <f t="shared" ref="E45:R46" si="12">+D45</f>
        <v>60</v>
      </c>
      <c r="F45" s="283">
        <f t="shared" si="12"/>
        <v>60</v>
      </c>
      <c r="G45" s="283">
        <f t="shared" si="12"/>
        <v>60</v>
      </c>
      <c r="H45" s="283">
        <f t="shared" si="12"/>
        <v>60</v>
      </c>
      <c r="I45" s="283">
        <f t="shared" si="12"/>
        <v>60</v>
      </c>
      <c r="J45" s="283">
        <f t="shared" si="12"/>
        <v>60</v>
      </c>
      <c r="K45" s="283">
        <f t="shared" si="12"/>
        <v>60</v>
      </c>
      <c r="L45" s="283">
        <f t="shared" si="12"/>
        <v>60</v>
      </c>
      <c r="M45" s="283">
        <f t="shared" si="12"/>
        <v>60</v>
      </c>
      <c r="N45" s="283">
        <f t="shared" si="12"/>
        <v>60</v>
      </c>
      <c r="O45" s="283">
        <f t="shared" si="12"/>
        <v>60</v>
      </c>
      <c r="P45" s="283">
        <f t="shared" si="12"/>
        <v>60</v>
      </c>
      <c r="Q45" s="283">
        <f t="shared" si="12"/>
        <v>60</v>
      </c>
      <c r="R45" s="283">
        <f t="shared" si="12"/>
        <v>60</v>
      </c>
    </row>
    <row r="46" spans="1:18" x14ac:dyDescent="0.3">
      <c r="B46" s="4" t="s">
        <v>326</v>
      </c>
      <c r="C46" s="350">
        <v>150</v>
      </c>
      <c r="D46" s="283">
        <f>+C46</f>
        <v>150</v>
      </c>
      <c r="E46" s="283">
        <f t="shared" si="12"/>
        <v>150</v>
      </c>
      <c r="F46" s="283">
        <f t="shared" si="12"/>
        <v>150</v>
      </c>
      <c r="G46" s="283">
        <f t="shared" si="12"/>
        <v>150</v>
      </c>
      <c r="H46" s="283">
        <f t="shared" si="12"/>
        <v>150</v>
      </c>
      <c r="I46" s="283">
        <f t="shared" si="12"/>
        <v>150</v>
      </c>
      <c r="J46" s="283">
        <f t="shared" si="12"/>
        <v>150</v>
      </c>
      <c r="K46" s="283">
        <f t="shared" si="12"/>
        <v>150</v>
      </c>
      <c r="L46" s="283">
        <f t="shared" si="12"/>
        <v>150</v>
      </c>
      <c r="M46" s="283">
        <f t="shared" si="12"/>
        <v>150</v>
      </c>
      <c r="N46" s="283">
        <f t="shared" si="12"/>
        <v>150</v>
      </c>
      <c r="O46" s="283">
        <f t="shared" si="12"/>
        <v>150</v>
      </c>
      <c r="P46" s="283">
        <f t="shared" si="12"/>
        <v>150</v>
      </c>
      <c r="Q46" s="283">
        <f t="shared" si="12"/>
        <v>150</v>
      </c>
      <c r="R46" s="283">
        <f t="shared" si="12"/>
        <v>150</v>
      </c>
    </row>
    <row r="47" spans="1:18" x14ac:dyDescent="0.3">
      <c r="B47" s="4" t="s">
        <v>327</v>
      </c>
      <c r="C47" s="350">
        <v>90</v>
      </c>
      <c r="D47" s="283">
        <f>+C47</f>
        <v>90</v>
      </c>
      <c r="E47" s="283">
        <f t="shared" ref="E47" si="13">+D47</f>
        <v>90</v>
      </c>
      <c r="F47" s="283">
        <f t="shared" ref="F47" si="14">+E47</f>
        <v>90</v>
      </c>
      <c r="G47" s="283">
        <f t="shared" ref="G47" si="15">+F47</f>
        <v>90</v>
      </c>
      <c r="H47" s="283">
        <f t="shared" ref="H47" si="16">+G47</f>
        <v>90</v>
      </c>
      <c r="I47" s="283">
        <f t="shared" ref="I47" si="17">+H47</f>
        <v>90</v>
      </c>
      <c r="J47" s="283">
        <f t="shared" ref="J47" si="18">+I47</f>
        <v>90</v>
      </c>
      <c r="K47" s="283">
        <f t="shared" ref="K47" si="19">+J47</f>
        <v>90</v>
      </c>
      <c r="L47" s="283">
        <f t="shared" ref="L47" si="20">+K47</f>
        <v>90</v>
      </c>
      <c r="M47" s="283">
        <f t="shared" ref="M47" si="21">+L47</f>
        <v>90</v>
      </c>
      <c r="N47" s="283">
        <f t="shared" ref="N47" si="22">+M47</f>
        <v>90</v>
      </c>
      <c r="O47" s="283">
        <f t="shared" ref="O47" si="23">+N47</f>
        <v>90</v>
      </c>
      <c r="P47" s="283">
        <f t="shared" ref="P47" si="24">+O47</f>
        <v>90</v>
      </c>
      <c r="Q47" s="283">
        <f t="shared" ref="Q47" si="25">+P47</f>
        <v>90</v>
      </c>
      <c r="R47" s="283">
        <f t="shared" ref="R47" si="26">+Q47</f>
        <v>90</v>
      </c>
    </row>
    <row r="49" spans="1:18" x14ac:dyDescent="0.3">
      <c r="B49" s="9" t="s">
        <v>328</v>
      </c>
    </row>
    <row r="51" spans="1:18" x14ac:dyDescent="0.3">
      <c r="B51" s="4" t="s">
        <v>329</v>
      </c>
      <c r="C51" s="253">
        <f>+C7-0</f>
        <v>0</v>
      </c>
      <c r="D51" s="253">
        <f t="shared" ref="D51:R51" si="27">+D7-C7</f>
        <v>0</v>
      </c>
      <c r="E51" s="253">
        <f t="shared" si="27"/>
        <v>0</v>
      </c>
      <c r="F51" s="253">
        <f t="shared" si="27"/>
        <v>2975.0448493918848</v>
      </c>
      <c r="G51" s="253">
        <f t="shared" si="27"/>
        <v>1244.1694710491265</v>
      </c>
      <c r="H51" s="253">
        <f t="shared" si="27"/>
        <v>1167.8341791680596</v>
      </c>
      <c r="I51" s="253">
        <f t="shared" si="27"/>
        <v>1094.9745050529054</v>
      </c>
      <c r="J51" s="253">
        <f t="shared" si="27"/>
        <v>3663.2098006372398</v>
      </c>
      <c r="K51" s="253">
        <f t="shared" si="27"/>
        <v>209.07725516900609</v>
      </c>
      <c r="L51" s="253">
        <f t="shared" si="27"/>
        <v>-78.259804417864871</v>
      </c>
      <c r="M51" s="253">
        <f t="shared" si="27"/>
        <v>-82.572866858474299</v>
      </c>
      <c r="N51" s="253">
        <f t="shared" si="27"/>
        <v>-86.557122888594677</v>
      </c>
      <c r="O51" s="253">
        <f t="shared" si="27"/>
        <v>361.55675014548797</v>
      </c>
      <c r="P51" s="253">
        <f t="shared" si="27"/>
        <v>-309.30663434164126</v>
      </c>
      <c r="Q51" s="253">
        <f t="shared" si="27"/>
        <v>-300.04527597016568</v>
      </c>
      <c r="R51" s="253">
        <f t="shared" si="27"/>
        <v>-608.69961594886809</v>
      </c>
    </row>
    <row r="52" spans="1:18" x14ac:dyDescent="0.3">
      <c r="B52" s="4" t="s">
        <v>330</v>
      </c>
      <c r="C52" s="253">
        <f>+C6-0</f>
        <v>848.95890410958907</v>
      </c>
      <c r="D52" s="253">
        <f t="shared" ref="D52:R52" si="28">+D6-C6</f>
        <v>42.447945205479414</v>
      </c>
      <c r="E52" s="253">
        <f t="shared" si="28"/>
        <v>-8.4895890410958827</v>
      </c>
      <c r="F52" s="253">
        <f t="shared" si="28"/>
        <v>976.48577059595516</v>
      </c>
      <c r="G52" s="253">
        <f t="shared" si="28"/>
        <v>777.60591940570453</v>
      </c>
      <c r="H52" s="253">
        <f t="shared" si="28"/>
        <v>729.896361980037</v>
      </c>
      <c r="I52" s="253">
        <f t="shared" si="28"/>
        <v>684.3590656580659</v>
      </c>
      <c r="J52" s="253">
        <f t="shared" si="28"/>
        <v>2289.5061253982749</v>
      </c>
      <c r="K52" s="253">
        <f t="shared" si="28"/>
        <v>130.67328448062926</v>
      </c>
      <c r="L52" s="253">
        <f t="shared" si="28"/>
        <v>-48.912377761165772</v>
      </c>
      <c r="M52" s="253">
        <f t="shared" si="28"/>
        <v>-51.608041786546892</v>
      </c>
      <c r="N52" s="253">
        <f t="shared" si="28"/>
        <v>-54.0982018053719</v>
      </c>
      <c r="O52" s="253">
        <f t="shared" si="28"/>
        <v>225.97296884093066</v>
      </c>
      <c r="P52" s="253">
        <f t="shared" si="28"/>
        <v>-193.31664646352601</v>
      </c>
      <c r="Q52" s="253">
        <f t="shared" si="28"/>
        <v>-187.52829748135355</v>
      </c>
      <c r="R52" s="253">
        <f t="shared" si="28"/>
        <v>-380.43725996804278</v>
      </c>
    </row>
    <row r="53" spans="1:18" x14ac:dyDescent="0.3">
      <c r="B53" s="4" t="s">
        <v>331</v>
      </c>
      <c r="C53" s="253">
        <f>+C20-0</f>
        <v>853.86575342465756</v>
      </c>
      <c r="D53" s="253">
        <f t="shared" ref="D53:R53" si="29">+D20-C20</f>
        <v>42.693287671232952</v>
      </c>
      <c r="E53" s="253">
        <f t="shared" si="29"/>
        <v>35.862361643835584</v>
      </c>
      <c r="F53" s="253">
        <f t="shared" si="29"/>
        <v>72.598314823070154</v>
      </c>
      <c r="G53" s="253">
        <f t="shared" si="29"/>
        <v>47.474363410394403</v>
      </c>
      <c r="H53" s="253">
        <f t="shared" si="29"/>
        <v>47.193688672518192</v>
      </c>
      <c r="I53" s="253">
        <f t="shared" si="29"/>
        <v>46.991078840340833</v>
      </c>
      <c r="J53" s="253">
        <f t="shared" si="29"/>
        <v>86.431602112042356</v>
      </c>
      <c r="K53" s="253">
        <f t="shared" si="29"/>
        <v>35.564117583093093</v>
      </c>
      <c r="L53" s="253">
        <f t="shared" si="29"/>
        <v>32.226900451956908</v>
      </c>
      <c r="M53" s="253">
        <f t="shared" si="29"/>
        <v>33.164228440894476</v>
      </c>
      <c r="N53" s="253">
        <f t="shared" si="29"/>
        <v>34.136549243756008</v>
      </c>
      <c r="O53" s="253">
        <f t="shared" si="29"/>
        <v>41.921304521879847</v>
      </c>
      <c r="P53" s="253">
        <f t="shared" si="29"/>
        <v>32.953292352663539</v>
      </c>
      <c r="Q53" s="253">
        <f t="shared" si="29"/>
        <v>34.219999484269465</v>
      </c>
      <c r="R53" s="253">
        <f t="shared" si="29"/>
        <v>30.75180474330341</v>
      </c>
    </row>
    <row r="55" spans="1:18" x14ac:dyDescent="0.3">
      <c r="B55" s="55" t="s">
        <v>332</v>
      </c>
      <c r="C55" s="286">
        <f>+C51+C52-C53</f>
        <v>-4.9068493150684844</v>
      </c>
      <c r="D55" s="286">
        <f t="shared" ref="D55:R55" si="30">+D51+D52-D53</f>
        <v>-0.24534246575353791</v>
      </c>
      <c r="E55" s="286">
        <f t="shared" si="30"/>
        <v>-44.351950684931467</v>
      </c>
      <c r="F55" s="286">
        <f t="shared" si="30"/>
        <v>3878.9323051647698</v>
      </c>
      <c r="G55" s="286">
        <f t="shared" si="30"/>
        <v>1974.3010270444365</v>
      </c>
      <c r="H55" s="286">
        <f t="shared" si="30"/>
        <v>1850.5368524755784</v>
      </c>
      <c r="I55" s="286">
        <f t="shared" si="30"/>
        <v>1732.3424918706305</v>
      </c>
      <c r="J55" s="286">
        <f t="shared" si="30"/>
        <v>5866.2843239234726</v>
      </c>
      <c r="K55" s="286">
        <f t="shared" si="30"/>
        <v>304.18642206654226</v>
      </c>
      <c r="L55" s="286">
        <f t="shared" si="30"/>
        <v>-159.39908263098755</v>
      </c>
      <c r="M55" s="286">
        <f t="shared" si="30"/>
        <v>-167.34513708591567</v>
      </c>
      <c r="N55" s="286">
        <f t="shared" si="30"/>
        <v>-174.79187393772258</v>
      </c>
      <c r="O55" s="286">
        <f t="shared" si="30"/>
        <v>545.60841446453878</v>
      </c>
      <c r="P55" s="286">
        <f t="shared" si="30"/>
        <v>-535.57657315783081</v>
      </c>
      <c r="Q55" s="286">
        <f t="shared" si="30"/>
        <v>-521.79357293578869</v>
      </c>
      <c r="R55" s="286">
        <f t="shared" si="30"/>
        <v>-1019.8886806602143</v>
      </c>
    </row>
    <row r="56" spans="1:18" ht="9.75" customHeight="1" x14ac:dyDescent="0.3"/>
    <row r="57" spans="1:18" x14ac:dyDescent="0.3">
      <c r="B57" s="8" t="s">
        <v>333</v>
      </c>
      <c r="C57" s="284">
        <f t="shared" ref="C57:R57" si="31">+C45+C46-C47</f>
        <v>120</v>
      </c>
      <c r="D57" s="284">
        <f t="shared" si="31"/>
        <v>120</v>
      </c>
      <c r="E57" s="284">
        <f t="shared" si="31"/>
        <v>120</v>
      </c>
      <c r="F57" s="284">
        <f t="shared" si="31"/>
        <v>120</v>
      </c>
      <c r="G57" s="284">
        <f t="shared" si="31"/>
        <v>120</v>
      </c>
      <c r="H57" s="284">
        <f t="shared" si="31"/>
        <v>120</v>
      </c>
      <c r="I57" s="284">
        <f t="shared" si="31"/>
        <v>120</v>
      </c>
      <c r="J57" s="284">
        <f t="shared" si="31"/>
        <v>120</v>
      </c>
      <c r="K57" s="284">
        <f t="shared" si="31"/>
        <v>120</v>
      </c>
      <c r="L57" s="284">
        <f t="shared" si="31"/>
        <v>120</v>
      </c>
      <c r="M57" s="284">
        <f t="shared" si="31"/>
        <v>120</v>
      </c>
      <c r="N57" s="284">
        <f t="shared" si="31"/>
        <v>120</v>
      </c>
      <c r="O57" s="284">
        <f t="shared" si="31"/>
        <v>120</v>
      </c>
      <c r="P57" s="284">
        <f t="shared" si="31"/>
        <v>120</v>
      </c>
      <c r="Q57" s="284">
        <f t="shared" si="31"/>
        <v>120</v>
      </c>
      <c r="R57" s="284">
        <f t="shared" si="31"/>
        <v>120</v>
      </c>
    </row>
    <row r="60" spans="1:18" x14ac:dyDescent="0.3">
      <c r="B60" s="87" t="s">
        <v>334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9"/>
    </row>
    <row r="62" spans="1:18" x14ac:dyDescent="0.3">
      <c r="B62" s="8" t="s">
        <v>335</v>
      </c>
      <c r="C62" s="153">
        <f>+PyG!D3</f>
        <v>0</v>
      </c>
      <c r="D62" s="153">
        <f>+PyG!E3</f>
        <v>0</v>
      </c>
      <c r="E62" s="153">
        <f>+PyG!F3</f>
        <v>18098.189500467299</v>
      </c>
      <c r="F62" s="153">
        <f>+PyG!G3</f>
        <v>25666.887116016154</v>
      </c>
      <c r="G62" s="153">
        <f>+PyG!H3</f>
        <v>32771.211705955182</v>
      </c>
      <c r="H62" s="153">
        <f>+PyG!I3</f>
        <v>39432.30661169369</v>
      </c>
      <c r="I62" s="153">
        <f>+PyG!J3</f>
        <v>61716.832898903565</v>
      </c>
      <c r="J62" s="153">
        <f>+PyG!K3</f>
        <v>62988.719534515025</v>
      </c>
      <c r="K62" s="153">
        <f>+PyG!L3</f>
        <v>62512.639057639681</v>
      </c>
      <c r="L62" s="153">
        <f>+PyG!M3</f>
        <v>62010.320784250624</v>
      </c>
      <c r="M62" s="153">
        <f>+PyG!N3</f>
        <v>61483.764953345002</v>
      </c>
      <c r="N62" s="153">
        <f>+PyG!O3</f>
        <v>63683.235183396726</v>
      </c>
      <c r="O62" s="153">
        <f>+PyG!P3</f>
        <v>61801.619824485075</v>
      </c>
      <c r="P62" s="153">
        <f>+PyG!Q3</f>
        <v>59976.344395666565</v>
      </c>
      <c r="Q62" s="153">
        <f>+PyG!R3</f>
        <v>56273.421731977622</v>
      </c>
      <c r="R62" s="153">
        <f>+PyG!S3</f>
        <v>0</v>
      </c>
    </row>
    <row r="63" spans="1:18" x14ac:dyDescent="0.3">
      <c r="B63" s="8" t="s">
        <v>336</v>
      </c>
    </row>
    <row r="64" spans="1:18" x14ac:dyDescent="0.3">
      <c r="A64" s="260"/>
      <c r="B64" s="259" t="s">
        <v>337</v>
      </c>
      <c r="C64" s="158">
        <f>+'Capex&amp;DA'!C12</f>
        <v>7884</v>
      </c>
      <c r="D64" s="158">
        <f>+C64*(1+$A$64)</f>
        <v>7884</v>
      </c>
      <c r="E64" s="158">
        <f t="shared" ref="E64:R64" si="32">+D64*(1+$A$64)</f>
        <v>7884</v>
      </c>
      <c r="F64" s="158">
        <f t="shared" si="32"/>
        <v>7884</v>
      </c>
      <c r="G64" s="158">
        <f t="shared" si="32"/>
        <v>7884</v>
      </c>
      <c r="H64" s="158">
        <f t="shared" si="32"/>
        <v>7884</v>
      </c>
      <c r="I64" s="158">
        <f t="shared" si="32"/>
        <v>7884</v>
      </c>
      <c r="J64" s="158">
        <f t="shared" si="32"/>
        <v>7884</v>
      </c>
      <c r="K64" s="158">
        <f t="shared" si="32"/>
        <v>7884</v>
      </c>
      <c r="L64" s="158">
        <f t="shared" si="32"/>
        <v>7884</v>
      </c>
      <c r="M64" s="158">
        <f t="shared" si="32"/>
        <v>7884</v>
      </c>
      <c r="N64" s="158">
        <f t="shared" si="32"/>
        <v>7884</v>
      </c>
      <c r="O64" s="158">
        <f t="shared" si="32"/>
        <v>7884</v>
      </c>
      <c r="P64" s="158">
        <f t="shared" si="32"/>
        <v>7884</v>
      </c>
      <c r="Q64" s="158">
        <f t="shared" si="32"/>
        <v>7884</v>
      </c>
      <c r="R64" s="158">
        <f t="shared" si="32"/>
        <v>7884</v>
      </c>
    </row>
    <row r="65" spans="1:18" x14ac:dyDescent="0.3">
      <c r="A65" s="260"/>
      <c r="B65" s="259" t="s">
        <v>338</v>
      </c>
      <c r="C65" s="158">
        <f>+'Capex&amp;DA'!C21</f>
        <v>36000</v>
      </c>
      <c r="D65" s="158">
        <f>+C65*(1+$A$65)</f>
        <v>36000</v>
      </c>
      <c r="E65" s="158">
        <f t="shared" ref="E65:R65" si="33">+D65*(1+$A$65)</f>
        <v>36000</v>
      </c>
      <c r="F65" s="158">
        <f t="shared" si="33"/>
        <v>36000</v>
      </c>
      <c r="G65" s="158">
        <f t="shared" si="33"/>
        <v>36000</v>
      </c>
      <c r="H65" s="158">
        <f t="shared" si="33"/>
        <v>36000</v>
      </c>
      <c r="I65" s="158">
        <f t="shared" si="33"/>
        <v>36000</v>
      </c>
      <c r="J65" s="158">
        <f t="shared" si="33"/>
        <v>36000</v>
      </c>
      <c r="K65" s="158">
        <f t="shared" si="33"/>
        <v>36000</v>
      </c>
      <c r="L65" s="158">
        <f t="shared" si="33"/>
        <v>36000</v>
      </c>
      <c r="M65" s="158">
        <f t="shared" si="33"/>
        <v>36000</v>
      </c>
      <c r="N65" s="158">
        <f t="shared" si="33"/>
        <v>36000</v>
      </c>
      <c r="O65" s="158">
        <f t="shared" si="33"/>
        <v>36000</v>
      </c>
      <c r="P65" s="158">
        <f t="shared" si="33"/>
        <v>36000</v>
      </c>
      <c r="Q65" s="158">
        <f t="shared" si="33"/>
        <v>36000</v>
      </c>
      <c r="R65" s="158">
        <f t="shared" si="33"/>
        <v>36000</v>
      </c>
    </row>
    <row r="67" spans="1:18" x14ac:dyDescent="0.3"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</row>
    <row r="69" spans="1:18" x14ac:dyDescent="0.3"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</row>
    <row r="70" spans="1:18" x14ac:dyDescent="0.3"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</row>
    <row r="71" spans="1:18" x14ac:dyDescent="0.3">
      <c r="C71" s="283"/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86DC-24C5-492F-96A1-E754DA40E166}">
  <sheetPr>
    <tabColor theme="3" tint="0.39997558519241921"/>
  </sheetPr>
  <dimension ref="A1:T45"/>
  <sheetViews>
    <sheetView showGridLines="0" zoomScale="80" zoomScaleNormal="80" workbookViewId="0">
      <pane xSplit="2" ySplit="1" topLeftCell="C11" activePane="bottomRight" state="frozen"/>
      <selection pane="topRight" activeCell="K30" sqref="K30"/>
      <selection pane="bottomLeft" activeCell="K30" sqref="K30"/>
      <selection pane="bottomRight" activeCell="F39" sqref="F39:J39"/>
    </sheetView>
  </sheetViews>
  <sheetFormatPr baseColWidth="10" defaultColWidth="11.453125" defaultRowHeight="13" x14ac:dyDescent="0.3"/>
  <cols>
    <col min="1" max="1" width="5.7265625" style="4" bestFit="1" customWidth="1"/>
    <col min="2" max="2" width="49.453125" style="4" bestFit="1" customWidth="1"/>
    <col min="3" max="3" width="13.26953125" style="4" customWidth="1"/>
    <col min="4" max="4" width="12.26953125" style="4" bestFit="1" customWidth="1"/>
    <col min="5" max="5" width="11.54296875" style="4" bestFit="1" customWidth="1"/>
    <col min="6" max="6" width="12.26953125" style="4" bestFit="1" customWidth="1"/>
    <col min="7" max="7" width="11.54296875" style="4" bestFit="1" customWidth="1"/>
    <col min="8" max="8" width="13.453125" style="4" bestFit="1" customWidth="1"/>
    <col min="9" max="9" width="11.54296875" style="4" bestFit="1" customWidth="1"/>
    <col min="10" max="10" width="12" style="4" customWidth="1"/>
    <col min="11" max="11" width="11.54296875" style="4" bestFit="1" customWidth="1"/>
    <col min="12" max="12" width="13.453125" style="4" bestFit="1" customWidth="1"/>
    <col min="13" max="13" width="11.54296875" style="4" bestFit="1" customWidth="1"/>
    <col min="14" max="14" width="13.453125" style="4" bestFit="1" customWidth="1"/>
    <col min="15" max="15" width="11.54296875" style="4" bestFit="1" customWidth="1"/>
    <col min="16" max="16" width="12.26953125" style="4" bestFit="1" customWidth="1"/>
    <col min="17" max="18" width="11.54296875" style="4" bestFit="1" customWidth="1"/>
    <col min="19" max="16384" width="11.453125" style="4"/>
  </cols>
  <sheetData>
    <row r="1" spans="1:18" ht="15.75" customHeight="1" x14ac:dyDescent="0.3">
      <c r="A1" s="160" t="str">
        <f>+Presentación!A1</f>
        <v>$COP</v>
      </c>
      <c r="B1" s="170" t="s">
        <v>153</v>
      </c>
      <c r="C1" s="161">
        <f>+Presentación!C1</f>
        <v>2021</v>
      </c>
      <c r="D1" s="161">
        <f>+Presentación!D1</f>
        <v>2022</v>
      </c>
      <c r="E1" s="161">
        <f>+Presentación!E1</f>
        <v>2023</v>
      </c>
      <c r="F1" s="161">
        <f>+Presentación!F1</f>
        <v>2024</v>
      </c>
      <c r="G1" s="161">
        <f>+Presentación!G1</f>
        <v>2025</v>
      </c>
      <c r="H1" s="161">
        <f>+Presentación!H1</f>
        <v>2026</v>
      </c>
      <c r="I1" s="161">
        <f>+Presentación!I1</f>
        <v>2027</v>
      </c>
      <c r="J1" s="161">
        <f>+Presentación!J1</f>
        <v>2028</v>
      </c>
      <c r="K1" s="161">
        <f>+Presentación!K1</f>
        <v>2029</v>
      </c>
      <c r="L1" s="161">
        <f>+Presentación!L1</f>
        <v>2030</v>
      </c>
      <c r="M1" s="161">
        <f>+Presentación!M1</f>
        <v>2031</v>
      </c>
      <c r="N1" s="161">
        <f>+Presentación!N1</f>
        <v>2032</v>
      </c>
      <c r="O1" s="161">
        <f>+Presentación!O1</f>
        <v>2033</v>
      </c>
      <c r="P1" s="161">
        <f>+Presentación!P1</f>
        <v>2034</v>
      </c>
      <c r="Q1" s="161">
        <f>+Presentación!Q1</f>
        <v>2035</v>
      </c>
      <c r="R1" s="161">
        <f>+Presentación!R1</f>
        <v>2036</v>
      </c>
    </row>
    <row r="3" spans="1:18" x14ac:dyDescent="0.3">
      <c r="B3" s="170" t="s">
        <v>339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</row>
    <row r="5" spans="1:18" x14ac:dyDescent="0.3">
      <c r="B5" s="8" t="s">
        <v>340</v>
      </c>
      <c r="C5" s="251">
        <f>+PyG!C11</f>
        <v>-5922.9000000000005</v>
      </c>
      <c r="D5" s="251">
        <f>+PyG!D11</f>
        <v>-6199.335</v>
      </c>
      <c r="E5" s="251">
        <f>+PyG!E11</f>
        <v>-6324.1188000000011</v>
      </c>
      <c r="F5" s="251">
        <f>+PyG!F11</f>
        <v>8560.5831413317792</v>
      </c>
      <c r="G5" s="251">
        <f>+PyG!G11</f>
        <v>13817.510506251469</v>
      </c>
      <c r="H5" s="251">
        <f>+PyG!H11</f>
        <v>18741.22758472458</v>
      </c>
      <c r="I5" s="251">
        <f>+PyG!I11</f>
        <v>23346.640986003811</v>
      </c>
      <c r="J5" s="251">
        <f>+PyG!J11</f>
        <v>39040.971748673859</v>
      </c>
      <c r="K5" s="251">
        <f>+PyG!K11</f>
        <v>39812.49787167157</v>
      </c>
      <c r="L5" s="251">
        <f>+PyG!L11</f>
        <v>39339.02194315505</v>
      </c>
      <c r="M5" s="251">
        <f>+PyG!M11</f>
        <v>38842.853415415746</v>
      </c>
      <c r="N5" s="251">
        <f>+PyG!N11</f>
        <v>38325.290545230688</v>
      </c>
      <c r="O5" s="251">
        <f>+PyG!O11</f>
        <v>39738.894931418086</v>
      </c>
      <c r="P5" s="251">
        <f>+PyG!P11</f>
        <v>38250.487965127002</v>
      </c>
      <c r="Q5" s="251">
        <f>+PyG!Q11</f>
        <v>36797.508547358142</v>
      </c>
      <c r="R5" s="251">
        <f>+PyG!R11</f>
        <v>34006.688576932043</v>
      </c>
    </row>
    <row r="6" spans="1:18" x14ac:dyDescent="0.3">
      <c r="B6" s="139" t="s">
        <v>20</v>
      </c>
      <c r="C6" s="253">
        <f>+'Capex&amp;DA'!C53</f>
        <v>-394.2</v>
      </c>
      <c r="D6" s="253">
        <f>+'Capex&amp;DA'!D53</f>
        <v>-394.2</v>
      </c>
      <c r="E6" s="253">
        <f>+'Capex&amp;DA'!E53</f>
        <v>-394.2</v>
      </c>
      <c r="F6" s="253">
        <f>+'Capex&amp;DA'!F53</f>
        <v>-394.2</v>
      </c>
      <c r="G6" s="253">
        <f>+'Capex&amp;DA'!G53</f>
        <v>-394.2</v>
      </c>
      <c r="H6" s="253">
        <f>+'Capex&amp;DA'!H53</f>
        <v>-394.2</v>
      </c>
      <c r="I6" s="253">
        <f>+'Capex&amp;DA'!I53</f>
        <v>-394.2</v>
      </c>
      <c r="J6" s="253">
        <f>+'Capex&amp;DA'!J53</f>
        <v>-394.2</v>
      </c>
      <c r="K6" s="253">
        <f>+'Capex&amp;DA'!K53</f>
        <v>-394.2</v>
      </c>
      <c r="L6" s="253">
        <f>+'Capex&amp;DA'!L53</f>
        <v>-394.2</v>
      </c>
      <c r="M6" s="253">
        <f>+'Capex&amp;DA'!M53</f>
        <v>-394.2</v>
      </c>
      <c r="N6" s="253">
        <f>+'Capex&amp;DA'!N53</f>
        <v>-394.2</v>
      </c>
      <c r="O6" s="253">
        <f>+'Capex&amp;DA'!O53</f>
        <v>-394.2</v>
      </c>
      <c r="P6" s="253">
        <f>+'Capex&amp;DA'!P53</f>
        <v>-394.2</v>
      </c>
      <c r="Q6" s="253">
        <f>+'Capex&amp;DA'!Q53</f>
        <v>-394.2</v>
      </c>
      <c r="R6" s="253">
        <f>+'Capex&amp;DA'!R53</f>
        <v>-394.2</v>
      </c>
    </row>
    <row r="7" spans="1:18" x14ac:dyDescent="0.3">
      <c r="B7" s="139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</row>
    <row r="8" spans="1:18" x14ac:dyDescent="0.3">
      <c r="B8" s="139" t="s">
        <v>83</v>
      </c>
      <c r="C8" s="253">
        <f ca="1">-PyG!C19</f>
        <v>0</v>
      </c>
      <c r="D8" s="253">
        <f ca="1">-PyG!D19</f>
        <v>0</v>
      </c>
      <c r="E8" s="253">
        <f ca="1">-PyG!E19</f>
        <v>0</v>
      </c>
      <c r="F8" s="253">
        <f ca="1">-PyG!F19</f>
        <v>0</v>
      </c>
      <c r="G8" s="253">
        <f ca="1">-PyG!G19</f>
        <v>0</v>
      </c>
      <c r="H8" s="253">
        <f ca="1">-PyG!H19</f>
        <v>0</v>
      </c>
      <c r="I8" s="253">
        <f ca="1">-PyG!I19</f>
        <v>0</v>
      </c>
      <c r="J8" s="253">
        <f ca="1">-PyG!J19</f>
        <v>0</v>
      </c>
      <c r="K8" s="253">
        <f ca="1">-PyG!K19</f>
        <v>0</v>
      </c>
      <c r="L8" s="253">
        <f ca="1">-PyG!L19</f>
        <v>0</v>
      </c>
      <c r="M8" s="253">
        <f ca="1">-PyG!M19</f>
        <v>0</v>
      </c>
      <c r="N8" s="253">
        <f ca="1">-PyG!N19</f>
        <v>0</v>
      </c>
      <c r="O8" s="253">
        <f ca="1">-PyG!O19</f>
        <v>0</v>
      </c>
      <c r="P8" s="253">
        <f ca="1">-PyG!P19</f>
        <v>0</v>
      </c>
      <c r="Q8" s="253">
        <f ca="1">-PyG!Q19</f>
        <v>0</v>
      </c>
      <c r="R8" s="253">
        <f ca="1">-PyG!R19</f>
        <v>0</v>
      </c>
    </row>
    <row r="9" spans="1:18" x14ac:dyDescent="0.3">
      <c r="B9" s="162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</row>
    <row r="10" spans="1:18" x14ac:dyDescent="0.3">
      <c r="B10" s="139" t="s">
        <v>341</v>
      </c>
      <c r="C10" s="249">
        <f>C11+C12-C13</f>
        <v>-4.9068493150684844</v>
      </c>
      <c r="D10" s="249">
        <f t="shared" ref="D10:R10" si="0">D11+D12-D13</f>
        <v>-0.24534246575353791</v>
      </c>
      <c r="E10" s="249">
        <f t="shared" si="0"/>
        <v>-44.351950684931467</v>
      </c>
      <c r="F10" s="249">
        <f t="shared" si="0"/>
        <v>3878.9323051647698</v>
      </c>
      <c r="G10" s="249">
        <f t="shared" si="0"/>
        <v>1974.3010270444365</v>
      </c>
      <c r="H10" s="249">
        <f t="shared" si="0"/>
        <v>1850.5368524755784</v>
      </c>
      <c r="I10" s="249">
        <f t="shared" si="0"/>
        <v>1732.3424918706305</v>
      </c>
      <c r="J10" s="249">
        <f t="shared" si="0"/>
        <v>5866.2843239234726</v>
      </c>
      <c r="K10" s="249">
        <f t="shared" si="0"/>
        <v>304.18642206654226</v>
      </c>
      <c r="L10" s="249">
        <f t="shared" si="0"/>
        <v>-159.39908263098755</v>
      </c>
      <c r="M10" s="249">
        <f t="shared" si="0"/>
        <v>-167.34513708591567</v>
      </c>
      <c r="N10" s="249">
        <f t="shared" si="0"/>
        <v>-174.79187393772258</v>
      </c>
      <c r="O10" s="249">
        <f t="shared" si="0"/>
        <v>545.60841446453878</v>
      </c>
      <c r="P10" s="249">
        <f t="shared" si="0"/>
        <v>-535.57657315783081</v>
      </c>
      <c r="Q10" s="249">
        <f t="shared" si="0"/>
        <v>-521.79357293578869</v>
      </c>
      <c r="R10" s="249">
        <f t="shared" si="0"/>
        <v>-1019.8886806602143</v>
      </c>
    </row>
    <row r="11" spans="1:18" x14ac:dyDescent="0.3">
      <c r="B11" s="183" t="s">
        <v>304</v>
      </c>
      <c r="C11" s="251">
        <f>+'Balance G.'!C51</f>
        <v>0</v>
      </c>
      <c r="D11" s="251">
        <f>+'Balance G.'!D51</f>
        <v>0</v>
      </c>
      <c r="E11" s="251">
        <f>+'Balance G.'!E51</f>
        <v>0</v>
      </c>
      <c r="F11" s="251">
        <f>+'Balance G.'!F51</f>
        <v>2975.0448493918848</v>
      </c>
      <c r="G11" s="251">
        <f>+'Balance G.'!G51</f>
        <v>1244.1694710491265</v>
      </c>
      <c r="H11" s="251">
        <f>+'Balance G.'!H51</f>
        <v>1167.8341791680596</v>
      </c>
      <c r="I11" s="251">
        <f>+'Balance G.'!I51</f>
        <v>1094.9745050529054</v>
      </c>
      <c r="J11" s="251">
        <f>+'Balance G.'!J51</f>
        <v>3663.2098006372398</v>
      </c>
      <c r="K11" s="251">
        <f>+'Balance G.'!K51</f>
        <v>209.07725516900609</v>
      </c>
      <c r="L11" s="251">
        <f>+'Balance G.'!L51</f>
        <v>-78.259804417864871</v>
      </c>
      <c r="M11" s="251">
        <f>+'Balance G.'!M51</f>
        <v>-82.572866858474299</v>
      </c>
      <c r="N11" s="251">
        <f>+'Balance G.'!N51</f>
        <v>-86.557122888594677</v>
      </c>
      <c r="O11" s="251">
        <f>+'Balance G.'!O51</f>
        <v>361.55675014548797</v>
      </c>
      <c r="P11" s="251">
        <f>+'Balance G.'!P51</f>
        <v>-309.30663434164126</v>
      </c>
      <c r="Q11" s="251">
        <f>+'Balance G.'!Q51</f>
        <v>-300.04527597016568</v>
      </c>
      <c r="R11" s="251">
        <f>+'Balance G.'!R51</f>
        <v>-608.69961594886809</v>
      </c>
    </row>
    <row r="12" spans="1:18" x14ac:dyDescent="0.3">
      <c r="B12" s="183" t="s">
        <v>342</v>
      </c>
      <c r="C12" s="251">
        <f>+'Balance G.'!C52</f>
        <v>848.95890410958907</v>
      </c>
      <c r="D12" s="251">
        <f>+'Balance G.'!D52</f>
        <v>42.447945205479414</v>
      </c>
      <c r="E12" s="251">
        <f>+'Balance G.'!E52</f>
        <v>-8.4895890410958827</v>
      </c>
      <c r="F12" s="251">
        <f>+'Balance G.'!F52</f>
        <v>976.48577059595516</v>
      </c>
      <c r="G12" s="251">
        <f>+'Balance G.'!G52</f>
        <v>777.60591940570453</v>
      </c>
      <c r="H12" s="251">
        <f>+'Balance G.'!H52</f>
        <v>729.896361980037</v>
      </c>
      <c r="I12" s="251">
        <f>+'Balance G.'!I52</f>
        <v>684.3590656580659</v>
      </c>
      <c r="J12" s="251">
        <f>+'Balance G.'!J52</f>
        <v>2289.5061253982749</v>
      </c>
      <c r="K12" s="251">
        <f>+'Balance G.'!K52</f>
        <v>130.67328448062926</v>
      </c>
      <c r="L12" s="251">
        <f>+'Balance G.'!L52</f>
        <v>-48.912377761165772</v>
      </c>
      <c r="M12" s="251">
        <f>+'Balance G.'!M52</f>
        <v>-51.608041786546892</v>
      </c>
      <c r="N12" s="251">
        <f>+'Balance G.'!N52</f>
        <v>-54.0982018053719</v>
      </c>
      <c r="O12" s="251">
        <f>+'Balance G.'!O52</f>
        <v>225.97296884093066</v>
      </c>
      <c r="P12" s="251">
        <f>+'Balance G.'!P52</f>
        <v>-193.31664646352601</v>
      </c>
      <c r="Q12" s="251">
        <f>+'Balance G.'!Q52</f>
        <v>-187.52829748135355</v>
      </c>
      <c r="R12" s="251">
        <f>+'Balance G.'!R52</f>
        <v>-380.43725996804278</v>
      </c>
    </row>
    <row r="13" spans="1:18" x14ac:dyDescent="0.3">
      <c r="B13" s="183" t="s">
        <v>343</v>
      </c>
      <c r="C13" s="251">
        <f>+'Balance G.'!C53</f>
        <v>853.86575342465756</v>
      </c>
      <c r="D13" s="251">
        <f>+'Balance G.'!D53</f>
        <v>42.693287671232952</v>
      </c>
      <c r="E13" s="251">
        <f>+'Balance G.'!E53</f>
        <v>35.862361643835584</v>
      </c>
      <c r="F13" s="251">
        <f>+'Balance G.'!F53</f>
        <v>72.598314823070154</v>
      </c>
      <c r="G13" s="251">
        <f>+'Balance G.'!G53</f>
        <v>47.474363410394403</v>
      </c>
      <c r="H13" s="251">
        <f>+'Balance G.'!H53</f>
        <v>47.193688672518192</v>
      </c>
      <c r="I13" s="251">
        <f>+'Balance G.'!I53</f>
        <v>46.991078840340833</v>
      </c>
      <c r="J13" s="251">
        <f>+'Balance G.'!J53</f>
        <v>86.431602112042356</v>
      </c>
      <c r="K13" s="251">
        <f>+'Balance G.'!K53</f>
        <v>35.564117583093093</v>
      </c>
      <c r="L13" s="251">
        <f>+'Balance G.'!L53</f>
        <v>32.226900451956908</v>
      </c>
      <c r="M13" s="251">
        <f>+'Balance G.'!M53</f>
        <v>33.164228440894476</v>
      </c>
      <c r="N13" s="251">
        <f>+'Balance G.'!N53</f>
        <v>34.136549243756008</v>
      </c>
      <c r="O13" s="251">
        <f>+'Balance G.'!O53</f>
        <v>41.921304521879847</v>
      </c>
      <c r="P13" s="251">
        <f>+'Balance G.'!P53</f>
        <v>32.953292352663539</v>
      </c>
      <c r="Q13" s="251">
        <f>+'Balance G.'!Q53</f>
        <v>34.219999484269465</v>
      </c>
      <c r="R13" s="251">
        <f>+'Balance G.'!R53</f>
        <v>30.75180474330341</v>
      </c>
    </row>
    <row r="14" spans="1:18" x14ac:dyDescent="0.3"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</row>
    <row r="15" spans="1:18" x14ac:dyDescent="0.3">
      <c r="B15" s="143" t="s">
        <v>344</v>
      </c>
      <c r="C15" s="277">
        <f ca="1">+C5-C6-C10+C8</f>
        <v>-5523.7931506849327</v>
      </c>
      <c r="D15" s="277">
        <f t="shared" ref="D15:R15" ca="1" si="1">+D5-D6-D10+D8</f>
        <v>-5804.8896575342469</v>
      </c>
      <c r="E15" s="277">
        <f t="shared" ca="1" si="1"/>
        <v>-5885.5668493150697</v>
      </c>
      <c r="F15" s="277">
        <f t="shared" ca="1" si="1"/>
        <v>5075.8508361670101</v>
      </c>
      <c r="G15" s="277">
        <f t="shared" ca="1" si="1"/>
        <v>12237.409479207032</v>
      </c>
      <c r="H15" s="277">
        <f t="shared" ca="1" si="1"/>
        <v>17284.890732249001</v>
      </c>
      <c r="I15" s="277">
        <f t="shared" ca="1" si="1"/>
        <v>22008.498494133182</v>
      </c>
      <c r="J15" s="277">
        <f t="shared" ca="1" si="1"/>
        <v>33568.887424750385</v>
      </c>
      <c r="K15" s="277">
        <f t="shared" ca="1" si="1"/>
        <v>39902.511449605023</v>
      </c>
      <c r="L15" s="277">
        <f t="shared" ca="1" si="1"/>
        <v>39892.621025786037</v>
      </c>
      <c r="M15" s="277">
        <f t="shared" ca="1" si="1"/>
        <v>39404.398552501661</v>
      </c>
      <c r="N15" s="277">
        <f t="shared" ca="1" si="1"/>
        <v>38894.282419168405</v>
      </c>
      <c r="O15" s="277">
        <f t="shared" ca="1" si="1"/>
        <v>39587.486516953548</v>
      </c>
      <c r="P15" s="277">
        <f t="shared" ca="1" si="1"/>
        <v>39180.264538284828</v>
      </c>
      <c r="Q15" s="277">
        <f t="shared" ca="1" si="1"/>
        <v>37713.502120293924</v>
      </c>
      <c r="R15" s="277">
        <f t="shared" ca="1" si="1"/>
        <v>35420.777257592257</v>
      </c>
    </row>
    <row r="16" spans="1:18" x14ac:dyDescent="0.3"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</row>
    <row r="17" spans="1:18" x14ac:dyDescent="0.3"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</row>
    <row r="18" spans="1:18" x14ac:dyDescent="0.3">
      <c r="B18" s="170" t="s">
        <v>345</v>
      </c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</row>
    <row r="19" spans="1:18" x14ac:dyDescent="0.3"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</row>
    <row r="20" spans="1:18" x14ac:dyDescent="0.3">
      <c r="B20" s="8" t="s">
        <v>346</v>
      </c>
      <c r="C20" s="251">
        <f>-'Capex&amp;DA'!C35</f>
        <v>-45324</v>
      </c>
      <c r="D20" s="251">
        <f>-'Capex&amp;DA'!D35</f>
        <v>0</v>
      </c>
      <c r="E20" s="251">
        <f>-'Capex&amp;DA'!E35</f>
        <v>0</v>
      </c>
      <c r="F20" s="251">
        <f>-'Capex&amp;DA'!F35</f>
        <v>0</v>
      </c>
      <c r="G20" s="251">
        <f>-'Capex&amp;DA'!G35</f>
        <v>0</v>
      </c>
      <c r="H20" s="251">
        <f>-'Capex&amp;DA'!H35</f>
        <v>0</v>
      </c>
      <c r="I20" s="251">
        <f>-'Capex&amp;DA'!I35</f>
        <v>0</v>
      </c>
      <c r="J20" s="251">
        <f>-'Capex&amp;DA'!J35</f>
        <v>0</v>
      </c>
      <c r="K20" s="251">
        <f>-'Capex&amp;DA'!K35</f>
        <v>0</v>
      </c>
      <c r="L20" s="251">
        <f>-'Capex&amp;DA'!L35</f>
        <v>0</v>
      </c>
      <c r="M20" s="251">
        <f>-'Capex&amp;DA'!M35</f>
        <v>0</v>
      </c>
      <c r="N20" s="251">
        <f>-'Capex&amp;DA'!N35</f>
        <v>0</v>
      </c>
      <c r="O20" s="251">
        <f>-'Capex&amp;DA'!O35</f>
        <v>0</v>
      </c>
      <c r="P20" s="251">
        <f>-'Capex&amp;DA'!P35</f>
        <v>0</v>
      </c>
      <c r="Q20" s="251">
        <f>-'Capex&amp;DA'!Q35</f>
        <v>0</v>
      </c>
      <c r="R20" s="251">
        <f>-'Capex&amp;DA'!R35</f>
        <v>0</v>
      </c>
    </row>
    <row r="21" spans="1:18" x14ac:dyDescent="0.3">
      <c r="A21" s="260"/>
      <c r="B21" s="8" t="s">
        <v>347</v>
      </c>
      <c r="C21" s="251">
        <f>-'Capex&amp;DA'!C42</f>
        <v>-44.82</v>
      </c>
      <c r="D21" s="251">
        <f>-'Capex&amp;DA'!D42</f>
        <v>-44.82</v>
      </c>
      <c r="E21" s="251">
        <f>-'Capex&amp;DA'!E42</f>
        <v>-44.82</v>
      </c>
      <c r="F21" s="251">
        <f>-'Capex&amp;DA'!F42</f>
        <v>-44.82</v>
      </c>
      <c r="G21" s="251">
        <f>-'Capex&amp;DA'!G42</f>
        <v>-44.82</v>
      </c>
      <c r="H21" s="251">
        <f>-'Capex&amp;DA'!H42</f>
        <v>-44.82</v>
      </c>
      <c r="I21" s="251">
        <f>-'Capex&amp;DA'!I42</f>
        <v>-44.82</v>
      </c>
      <c r="J21" s="251">
        <f>-'Capex&amp;DA'!J42</f>
        <v>-44.82</v>
      </c>
      <c r="K21" s="251">
        <f>-'Capex&amp;DA'!K42</f>
        <v>-44.82</v>
      </c>
      <c r="L21" s="251">
        <f>-'Capex&amp;DA'!L42</f>
        <v>-44.82</v>
      </c>
      <c r="M21" s="251">
        <f>-'Capex&amp;DA'!M42</f>
        <v>-44.82</v>
      </c>
      <c r="N21" s="251">
        <f>-'Capex&amp;DA'!N42</f>
        <v>-44.82</v>
      </c>
      <c r="O21" s="251">
        <f>-'Capex&amp;DA'!O42</f>
        <v>-44.82</v>
      </c>
      <c r="P21" s="251">
        <f>-'Capex&amp;DA'!P42</f>
        <v>-44.82</v>
      </c>
      <c r="Q21" s="251">
        <f>-'Capex&amp;DA'!Q42</f>
        <v>-44.82</v>
      </c>
      <c r="R21" s="251">
        <f>-'Capex&amp;DA'!R42</f>
        <v>-44.82</v>
      </c>
    </row>
    <row r="22" spans="1:18" x14ac:dyDescent="0.3">
      <c r="A22" s="260"/>
      <c r="B22" s="8" t="s">
        <v>348</v>
      </c>
      <c r="C22" s="251">
        <f ca="1">+PyG!C15</f>
        <v>0</v>
      </c>
      <c r="D22" s="251">
        <f ca="1">+PyG!D15</f>
        <v>0</v>
      </c>
      <c r="E22" s="251">
        <f ca="1">+PyG!E15</f>
        <v>0</v>
      </c>
      <c r="F22" s="251">
        <f ca="1">+PyG!F15</f>
        <v>254.60019667762253</v>
      </c>
      <c r="G22" s="251">
        <f ca="1">+PyG!G15</f>
        <v>853.95151760912097</v>
      </c>
      <c r="H22" s="251">
        <f ca="1">+PyG!H15</f>
        <v>1601.4030944153544</v>
      </c>
      <c r="I22" s="251">
        <f ca="1">+PyG!I15</f>
        <v>2462.6525719138976</v>
      </c>
      <c r="J22" s="251">
        <f ca="1">+PyG!J15</f>
        <v>3289.3356273814002</v>
      </c>
      <c r="K22" s="251">
        <f ca="1">+PyG!K15</f>
        <v>4097.0167397967352</v>
      </c>
      <c r="L22" s="251">
        <f ca="1">+PyG!L15</f>
        <v>4984.8907393420341</v>
      </c>
      <c r="M22" s="251">
        <f ca="1">+PyG!M15</f>
        <v>5885.6701439579101</v>
      </c>
      <c r="N22" s="251">
        <f ca="1">+PyG!N15</f>
        <v>6794.5628839537267</v>
      </c>
      <c r="O22" s="251">
        <f ca="1">+PyG!O15</f>
        <v>7723.6664668227104</v>
      </c>
      <c r="P22" s="251">
        <f ca="1">+PyG!P15</f>
        <v>8674.428527316486</v>
      </c>
      <c r="Q22" s="251">
        <f ca="1">+PyG!Q15</f>
        <v>9625.4687668438764</v>
      </c>
      <c r="R22" s="251">
        <f ca="1">+PyG!R15</f>
        <v>10557.74732150624</v>
      </c>
    </row>
    <row r="23" spans="1:18" x14ac:dyDescent="0.3"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</row>
    <row r="24" spans="1:18" x14ac:dyDescent="0.3">
      <c r="B24" s="143" t="s">
        <v>349</v>
      </c>
      <c r="C24" s="277">
        <f ca="1">SUM(C19:C23)</f>
        <v>-45368.82</v>
      </c>
      <c r="D24" s="277">
        <f t="shared" ref="D24:R24" ca="1" si="2">SUM(D19:D23)</f>
        <v>-44.82</v>
      </c>
      <c r="E24" s="277">
        <f t="shared" ca="1" si="2"/>
        <v>-44.82</v>
      </c>
      <c r="F24" s="277">
        <f t="shared" ca="1" si="2"/>
        <v>209.78019667762254</v>
      </c>
      <c r="G24" s="277">
        <f t="shared" ca="1" si="2"/>
        <v>809.13151760912092</v>
      </c>
      <c r="H24" s="277">
        <f t="shared" ca="1" si="2"/>
        <v>1556.5830944153545</v>
      </c>
      <c r="I24" s="277">
        <f t="shared" ca="1" si="2"/>
        <v>2417.8325719138975</v>
      </c>
      <c r="J24" s="277">
        <f t="shared" ca="1" si="2"/>
        <v>3244.5156273814</v>
      </c>
      <c r="K24" s="277">
        <f t="shared" ca="1" si="2"/>
        <v>4052.1967397967351</v>
      </c>
      <c r="L24" s="277">
        <f t="shared" ca="1" si="2"/>
        <v>4940.0707393420344</v>
      </c>
      <c r="M24" s="277">
        <f t="shared" ca="1" si="2"/>
        <v>5840.8501439579104</v>
      </c>
      <c r="N24" s="277">
        <f t="shared" ca="1" si="2"/>
        <v>6749.742883953727</v>
      </c>
      <c r="O24" s="277">
        <f t="shared" ca="1" si="2"/>
        <v>7678.8464668227107</v>
      </c>
      <c r="P24" s="277">
        <f t="shared" ca="1" si="2"/>
        <v>8629.6085273164863</v>
      </c>
      <c r="Q24" s="277">
        <f t="shared" ca="1" si="2"/>
        <v>9580.6487668438767</v>
      </c>
      <c r="R24" s="277">
        <f t="shared" ca="1" si="2"/>
        <v>10512.92732150624</v>
      </c>
    </row>
    <row r="25" spans="1:18" x14ac:dyDescent="0.3"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</row>
    <row r="26" spans="1:18" x14ac:dyDescent="0.3"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</row>
    <row r="27" spans="1:18" x14ac:dyDescent="0.3">
      <c r="B27" s="170" t="s">
        <v>350</v>
      </c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</row>
    <row r="28" spans="1:18" x14ac:dyDescent="0.3"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</row>
    <row r="29" spans="1:18" x14ac:dyDescent="0.3">
      <c r="B29" s="4" t="s">
        <v>351</v>
      </c>
      <c r="C29" s="352">
        <f>+Presentación!C3</f>
        <v>21428.571428571428</v>
      </c>
      <c r="D29" s="352">
        <f>+Presentación!D3</f>
        <v>21428.571428571428</v>
      </c>
      <c r="E29" s="352">
        <f>+Presentación!E3</f>
        <v>21428.571428571428</v>
      </c>
      <c r="F29" s="352">
        <f>+Presentación!F3</f>
        <v>21428.571428571428</v>
      </c>
      <c r="G29" s="352">
        <f>+Presentación!G3</f>
        <v>21428.571428571428</v>
      </c>
      <c r="H29" s="352">
        <f>+Presentación!H3</f>
        <v>21428.571428571428</v>
      </c>
      <c r="I29" s="352">
        <f>+Presentación!I3</f>
        <v>21428.571428571428</v>
      </c>
      <c r="J29" s="352">
        <f>+Presentación!J3</f>
        <v>0</v>
      </c>
      <c r="K29" s="352">
        <f>+Presentación!K3</f>
        <v>0</v>
      </c>
      <c r="L29" s="352">
        <f>+Presentación!L3</f>
        <v>0</v>
      </c>
      <c r="M29" s="352">
        <f>+Presentación!M3</f>
        <v>0</v>
      </c>
      <c r="N29" s="352">
        <f>+Presentación!N3</f>
        <v>0</v>
      </c>
      <c r="O29" s="352">
        <f>+Presentación!O3</f>
        <v>0</v>
      </c>
      <c r="P29" s="352">
        <f>+Presentación!P3</f>
        <v>0</v>
      </c>
      <c r="Q29" s="352">
        <f>+Presentación!Q3</f>
        <v>0</v>
      </c>
      <c r="R29" s="352">
        <f>+Presentación!R3</f>
        <v>0</v>
      </c>
    </row>
    <row r="30" spans="1:18" x14ac:dyDescent="0.3">
      <c r="B30" s="355" t="s">
        <v>352</v>
      </c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</row>
    <row r="31" spans="1:18" x14ac:dyDescent="0.3">
      <c r="B31" s="355" t="s">
        <v>353</v>
      </c>
      <c r="C31" s="357">
        <f ca="1">+Debt!C7</f>
        <v>30375.300744446915</v>
      </c>
      <c r="D31" s="357">
        <f ca="1">+Debt!D7</f>
        <v>-14181.797656051924</v>
      </c>
      <c r="E31" s="357">
        <f ca="1">+Debt!E7</f>
        <v>-14975.849890672844</v>
      </c>
      <c r="F31" s="357">
        <f ca="1">+Debt!F7</f>
        <v>-1217.6531977221475</v>
      </c>
      <c r="G31" s="357">
        <f ca="1">+Debt!G7</f>
        <v>0</v>
      </c>
      <c r="H31" s="357">
        <f ca="1">+Debt!H7</f>
        <v>0</v>
      </c>
      <c r="I31" s="357">
        <f ca="1">+Debt!I7</f>
        <v>0</v>
      </c>
      <c r="J31" s="357">
        <f ca="1">+Debt!J7</f>
        <v>0</v>
      </c>
      <c r="K31" s="357">
        <f ca="1">+Debt!K7</f>
        <v>0</v>
      </c>
      <c r="L31" s="357">
        <f ca="1">+Debt!L7</f>
        <v>0</v>
      </c>
      <c r="M31" s="357">
        <f ca="1">+Debt!M7</f>
        <v>0</v>
      </c>
      <c r="N31" s="357">
        <f ca="1">+Debt!N7</f>
        <v>0</v>
      </c>
      <c r="O31" s="357">
        <f ca="1">+Debt!O7</f>
        <v>0</v>
      </c>
      <c r="P31" s="357">
        <f ca="1">+Debt!P7</f>
        <v>0</v>
      </c>
      <c r="Q31" s="357">
        <f ca="1">+Debt!Q7</f>
        <v>0</v>
      </c>
      <c r="R31" s="357">
        <f ca="1">+Debt!R7</f>
        <v>0</v>
      </c>
    </row>
    <row r="32" spans="1:18" x14ac:dyDescent="0.3">
      <c r="B32" s="4" t="s">
        <v>161</v>
      </c>
      <c r="C32" s="253">
        <f ca="1">-PyG!C16</f>
        <v>-911.25902233340742</v>
      </c>
      <c r="D32" s="253">
        <f ca="1">-PyG!D16</f>
        <v>-1397.0641149852572</v>
      </c>
      <c r="E32" s="253">
        <f ca="1">-PyG!E16</f>
        <v>-522.33468858351421</v>
      </c>
      <c r="F32" s="253">
        <f ca="1">-PyG!F16</f>
        <v>-36.529595931664424</v>
      </c>
      <c r="G32" s="253">
        <f ca="1">-PyG!G16</f>
        <v>0</v>
      </c>
      <c r="H32" s="253">
        <f ca="1">-PyG!H16</f>
        <v>0</v>
      </c>
      <c r="I32" s="253">
        <f ca="1">-PyG!I16</f>
        <v>0</v>
      </c>
      <c r="J32" s="253">
        <f ca="1">-PyG!J16</f>
        <v>0</v>
      </c>
      <c r="K32" s="253">
        <f ca="1">-PyG!K16</f>
        <v>0</v>
      </c>
      <c r="L32" s="253">
        <f ca="1">-PyG!L16</f>
        <v>0</v>
      </c>
      <c r="M32" s="253">
        <f ca="1">-PyG!M16</f>
        <v>0</v>
      </c>
      <c r="N32" s="253">
        <f ca="1">-PyG!N16</f>
        <v>0</v>
      </c>
      <c r="O32" s="253">
        <f ca="1">-PyG!O16</f>
        <v>0</v>
      </c>
      <c r="P32" s="253">
        <f ca="1">-PyG!P16</f>
        <v>0</v>
      </c>
      <c r="Q32" s="253">
        <f ca="1">-PyG!Q16</f>
        <v>0</v>
      </c>
      <c r="R32" s="253">
        <f ca="1">-PyG!R16</f>
        <v>0</v>
      </c>
    </row>
    <row r="33" spans="2:20" x14ac:dyDescent="0.3">
      <c r="B33" s="143" t="s">
        <v>354</v>
      </c>
      <c r="C33" s="277">
        <f ca="1">SUM(C29:C32)</f>
        <v>50892.613150684942</v>
      </c>
      <c r="D33" s="277">
        <f t="shared" ref="D33:J33" ca="1" si="3">SUM(D29:D32)</f>
        <v>5849.7096575342466</v>
      </c>
      <c r="E33" s="277">
        <f t="shared" ca="1" si="3"/>
        <v>5930.3868493150694</v>
      </c>
      <c r="F33" s="277">
        <f t="shared" ca="1" si="3"/>
        <v>20174.388634917617</v>
      </c>
      <c r="G33" s="277">
        <f t="shared" ca="1" si="3"/>
        <v>21428.571428571428</v>
      </c>
      <c r="H33" s="277">
        <f t="shared" ca="1" si="3"/>
        <v>21428.571428571428</v>
      </c>
      <c r="I33" s="277">
        <f t="shared" ca="1" si="3"/>
        <v>21428.571428571428</v>
      </c>
      <c r="J33" s="277">
        <f t="shared" ca="1" si="3"/>
        <v>0</v>
      </c>
      <c r="K33" s="277">
        <f ca="1">SUM(K29:K32)</f>
        <v>0</v>
      </c>
      <c r="L33" s="277">
        <f t="shared" ref="L33" ca="1" si="4">SUM(L29:L32)</f>
        <v>0</v>
      </c>
      <c r="M33" s="277">
        <f t="shared" ref="M33" ca="1" si="5">SUM(M29:M32)</f>
        <v>0</v>
      </c>
      <c r="N33" s="277">
        <f t="shared" ref="N33" ca="1" si="6">SUM(N29:N32)</f>
        <v>0</v>
      </c>
      <c r="O33" s="277">
        <f t="shared" ref="O33" ca="1" si="7">SUM(O29:O32)</f>
        <v>0</v>
      </c>
      <c r="P33" s="277">
        <f t="shared" ref="P33" ca="1" si="8">SUM(P29:P32)</f>
        <v>0</v>
      </c>
      <c r="Q33" s="277">
        <f t="shared" ref="Q33" ca="1" si="9">SUM(Q29:Q32)</f>
        <v>0</v>
      </c>
      <c r="R33" s="277">
        <f t="shared" ref="R33" ca="1" si="10">SUM(R29:R32)</f>
        <v>0</v>
      </c>
    </row>
    <row r="34" spans="2:20" x14ac:dyDescent="0.3"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</row>
    <row r="35" spans="2:20" x14ac:dyDescent="0.3">
      <c r="B35" s="4" t="s">
        <v>355</v>
      </c>
      <c r="C35" s="253">
        <v>0</v>
      </c>
      <c r="D35" s="253">
        <f ca="1">+C37</f>
        <v>0</v>
      </c>
      <c r="E35" s="253">
        <f t="shared" ref="E35:O35" ca="1" si="11">+D37</f>
        <v>0</v>
      </c>
      <c r="F35" s="253">
        <f t="shared" ca="1" si="11"/>
        <v>0</v>
      </c>
      <c r="G35" s="253">
        <f t="shared" ca="1" si="11"/>
        <v>25460.019667762252</v>
      </c>
      <c r="H35" s="253">
        <f t="shared" ca="1" si="11"/>
        <v>59935.132093149834</v>
      </c>
      <c r="I35" s="253">
        <f t="shared" ca="1" si="11"/>
        <v>100205.17734838562</v>
      </c>
      <c r="J35" s="253">
        <f t="shared" ca="1" si="11"/>
        <v>146060.07984300412</v>
      </c>
      <c r="K35" s="253">
        <f t="shared" ca="1" si="11"/>
        <v>182873.48289513591</v>
      </c>
      <c r="L35" s="253">
        <f t="shared" ca="1" si="11"/>
        <v>226828.19108453766</v>
      </c>
      <c r="M35" s="253">
        <f t="shared" ca="1" si="11"/>
        <v>271660.88284966571</v>
      </c>
      <c r="N35" s="253">
        <f t="shared" ca="1" si="11"/>
        <v>316906.13154612528</v>
      </c>
      <c r="O35" s="253">
        <f t="shared" ca="1" si="11"/>
        <v>362550.1568492474</v>
      </c>
      <c r="P35" s="253">
        <f ca="1">+O37</f>
        <v>409816.48983302363</v>
      </c>
      <c r="Q35" s="253">
        <f ca="1">+P37</f>
        <v>457626.36289862497</v>
      </c>
      <c r="R35" s="253">
        <f ca="1">+Q37</f>
        <v>504920.51378576277</v>
      </c>
    </row>
    <row r="36" spans="2:20" ht="13.5" thickBot="1" x14ac:dyDescent="0.35">
      <c r="B36" s="26" t="s">
        <v>356</v>
      </c>
      <c r="C36" s="255">
        <f t="shared" ref="C36:R36" ca="1" si="12">+C15+C24+C33</f>
        <v>0</v>
      </c>
      <c r="D36" s="255">
        <f t="shared" ca="1" si="12"/>
        <v>0</v>
      </c>
      <c r="E36" s="255">
        <f t="shared" ca="1" si="12"/>
        <v>0</v>
      </c>
      <c r="F36" s="255">
        <f t="shared" ca="1" si="12"/>
        <v>25460.019667762252</v>
      </c>
      <c r="G36" s="255">
        <f t="shared" ca="1" si="12"/>
        <v>34475.112425387582</v>
      </c>
      <c r="H36" s="255">
        <f t="shared" ca="1" si="12"/>
        <v>40270.045255235782</v>
      </c>
      <c r="I36" s="255">
        <f t="shared" ca="1" si="12"/>
        <v>45854.902494618509</v>
      </c>
      <c r="J36" s="255">
        <f t="shared" ca="1" si="12"/>
        <v>36813.403052131784</v>
      </c>
      <c r="K36" s="255">
        <f t="shared" ca="1" si="12"/>
        <v>43954.708189401761</v>
      </c>
      <c r="L36" s="255">
        <f t="shared" ca="1" si="12"/>
        <v>44832.691765128067</v>
      </c>
      <c r="M36" s="255">
        <f t="shared" ca="1" si="12"/>
        <v>45245.248696459574</v>
      </c>
      <c r="N36" s="255">
        <f t="shared" ca="1" si="12"/>
        <v>45644.025303122129</v>
      </c>
      <c r="O36" s="255">
        <f t="shared" ca="1" si="12"/>
        <v>47266.332983776258</v>
      </c>
      <c r="P36" s="255">
        <f t="shared" ca="1" si="12"/>
        <v>47809.873065601314</v>
      </c>
      <c r="Q36" s="255">
        <f t="shared" ca="1" si="12"/>
        <v>47294.150887137803</v>
      </c>
      <c r="R36" s="255">
        <f t="shared" ca="1" si="12"/>
        <v>45933.704579098499</v>
      </c>
    </row>
    <row r="37" spans="2:20" ht="13.5" thickTop="1" x14ac:dyDescent="0.3">
      <c r="B37" s="8" t="s">
        <v>357</v>
      </c>
      <c r="C37" s="249">
        <f ca="1">+C35+C36</f>
        <v>0</v>
      </c>
      <c r="D37" s="249">
        <f ca="1">+D35+D36</f>
        <v>0</v>
      </c>
      <c r="E37" s="249">
        <f t="shared" ref="E37:R37" ca="1" si="13">+E35+E36</f>
        <v>0</v>
      </c>
      <c r="F37" s="249">
        <f t="shared" ca="1" si="13"/>
        <v>25460.019667762252</v>
      </c>
      <c r="G37" s="249">
        <f t="shared" ca="1" si="13"/>
        <v>59935.132093149834</v>
      </c>
      <c r="H37" s="249">
        <f t="shared" ca="1" si="13"/>
        <v>100205.17734838562</v>
      </c>
      <c r="I37" s="249">
        <f t="shared" ca="1" si="13"/>
        <v>146060.07984300412</v>
      </c>
      <c r="J37" s="249">
        <f ca="1">+J35+J36</f>
        <v>182873.48289513591</v>
      </c>
      <c r="K37" s="249">
        <f t="shared" ca="1" si="13"/>
        <v>226828.19108453766</v>
      </c>
      <c r="L37" s="249">
        <f t="shared" ca="1" si="13"/>
        <v>271660.88284966571</v>
      </c>
      <c r="M37" s="249">
        <f t="shared" ca="1" si="13"/>
        <v>316906.13154612528</v>
      </c>
      <c r="N37" s="249">
        <f t="shared" ca="1" si="13"/>
        <v>362550.1568492474</v>
      </c>
      <c r="O37" s="249">
        <f t="shared" ca="1" si="13"/>
        <v>409816.48983302363</v>
      </c>
      <c r="P37" s="249">
        <f t="shared" ca="1" si="13"/>
        <v>457626.36289862497</v>
      </c>
      <c r="Q37" s="249">
        <f t="shared" ca="1" si="13"/>
        <v>504920.51378576277</v>
      </c>
      <c r="R37" s="249">
        <f t="shared" ca="1" si="13"/>
        <v>550854.21836486133</v>
      </c>
    </row>
    <row r="38" spans="2:20" x14ac:dyDescent="0.3"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</row>
    <row r="39" spans="2:20" x14ac:dyDescent="0.3">
      <c r="B39" s="337" t="s">
        <v>358</v>
      </c>
      <c r="C39" s="362">
        <f ca="1">+C35+C15+C24+C29+C30+C32</f>
        <v>-30375.300744446915</v>
      </c>
      <c r="D39" s="362">
        <f t="shared" ref="D39:R39" ca="1" si="14">+D35+D15+D24+D29+D30+D32</f>
        <v>14181.797656051924</v>
      </c>
      <c r="E39" s="362">
        <f t="shared" ca="1" si="14"/>
        <v>14975.849890672844</v>
      </c>
      <c r="F39" s="362">
        <f t="shared" ca="1" si="14"/>
        <v>26677.672865484397</v>
      </c>
      <c r="G39" s="362">
        <f t="shared" ca="1" si="14"/>
        <v>59935.132093149834</v>
      </c>
      <c r="H39" s="362">
        <f t="shared" ca="1" si="14"/>
        <v>100205.17734838562</v>
      </c>
      <c r="I39" s="362">
        <f t="shared" ca="1" si="14"/>
        <v>146060.07984300412</v>
      </c>
      <c r="J39" s="362">
        <f t="shared" ca="1" si="14"/>
        <v>182873.48289513588</v>
      </c>
      <c r="K39" s="362">
        <f t="shared" ca="1" si="14"/>
        <v>226828.19108453766</v>
      </c>
      <c r="L39" s="362">
        <f t="shared" ca="1" si="14"/>
        <v>271660.88284966571</v>
      </c>
      <c r="M39" s="362">
        <f t="shared" ca="1" si="14"/>
        <v>316906.13154612528</v>
      </c>
      <c r="N39" s="362">
        <f t="shared" ca="1" si="14"/>
        <v>362550.1568492474</v>
      </c>
      <c r="O39" s="362">
        <f t="shared" ca="1" si="14"/>
        <v>409816.48983302369</v>
      </c>
      <c r="P39" s="362">
        <f t="shared" ca="1" si="14"/>
        <v>457626.36289862497</v>
      </c>
      <c r="Q39" s="362">
        <f t="shared" ca="1" si="14"/>
        <v>504920.51378576277</v>
      </c>
      <c r="R39" s="362">
        <f t="shared" ca="1" si="14"/>
        <v>550854.21836486121</v>
      </c>
    </row>
    <row r="40" spans="2:20" x14ac:dyDescent="0.3">
      <c r="B40" s="238"/>
      <c r="C40" s="278"/>
      <c r="D40" s="278"/>
      <c r="E40" s="278"/>
      <c r="F40" s="278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</row>
    <row r="41" spans="2:20" x14ac:dyDescent="0.3">
      <c r="B41" s="8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</row>
    <row r="42" spans="2:20" x14ac:dyDescent="0.3">
      <c r="B42" s="8"/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</row>
    <row r="43" spans="2:20" x14ac:dyDescent="0.3"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</row>
    <row r="44" spans="2:20" x14ac:dyDescent="0.3"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1"/>
      <c r="T44" s="251"/>
    </row>
    <row r="45" spans="2:20" x14ac:dyDescent="0.3"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FF06-0B7A-402A-9789-05A677AC3AC1}">
  <sheetPr>
    <tabColor theme="3" tint="0.39997558519241921"/>
  </sheetPr>
  <dimension ref="A1:U57"/>
  <sheetViews>
    <sheetView showGridLines="0" zoomScale="80" zoomScaleNormal="80" workbookViewId="0">
      <pane xSplit="2" ySplit="1" topLeftCell="C32" activePane="bottomRight" state="frozen"/>
      <selection pane="topRight" activeCell="K30" sqref="K30"/>
      <selection pane="bottomLeft" activeCell="K30" sqref="K30"/>
      <selection pane="bottomRight" activeCell="F58" sqref="F58"/>
    </sheetView>
  </sheetViews>
  <sheetFormatPr baseColWidth="10" defaultColWidth="11.453125" defaultRowHeight="13" x14ac:dyDescent="0.3"/>
  <cols>
    <col min="1" max="1" width="8.1796875" style="4" bestFit="1" customWidth="1"/>
    <col min="2" max="2" width="35.81640625" style="4" customWidth="1"/>
    <col min="3" max="3" width="12.7265625" style="4" customWidth="1"/>
    <col min="4" max="18" width="12.453125" style="4" customWidth="1"/>
    <col min="19" max="20" width="11.453125" style="4"/>
    <col min="21" max="21" width="15.7265625" style="4" bestFit="1" customWidth="1"/>
    <col min="22" max="16384" width="11.453125" style="4"/>
  </cols>
  <sheetData>
    <row r="1" spans="1:18" ht="15.75" customHeight="1" x14ac:dyDescent="0.3">
      <c r="A1" s="160" t="str">
        <f>+Presentación!A1</f>
        <v>$COP</v>
      </c>
      <c r="B1" s="170" t="s">
        <v>153</v>
      </c>
      <c r="C1" s="161">
        <f>+Presentación!C1</f>
        <v>2021</v>
      </c>
      <c r="D1" s="161">
        <f>+Presentación!D1</f>
        <v>2022</v>
      </c>
      <c r="E1" s="161">
        <f>+Presentación!E1</f>
        <v>2023</v>
      </c>
      <c r="F1" s="161">
        <f>+Presentación!F1</f>
        <v>2024</v>
      </c>
      <c r="G1" s="161">
        <f>+Presentación!G1</f>
        <v>2025</v>
      </c>
      <c r="H1" s="161">
        <f>+Presentación!H1</f>
        <v>2026</v>
      </c>
      <c r="I1" s="161">
        <f>+Presentación!I1</f>
        <v>2027</v>
      </c>
      <c r="J1" s="161">
        <f>+Presentación!J1</f>
        <v>2028</v>
      </c>
      <c r="K1" s="161">
        <f>+Presentación!K1</f>
        <v>2029</v>
      </c>
      <c r="L1" s="161">
        <f>+Presentación!L1</f>
        <v>2030</v>
      </c>
      <c r="M1" s="161">
        <f>+Presentación!M1</f>
        <v>2031</v>
      </c>
      <c r="N1" s="161">
        <f>+Presentación!N1</f>
        <v>2032</v>
      </c>
      <c r="O1" s="161">
        <f>+Presentación!O1</f>
        <v>2033</v>
      </c>
      <c r="P1" s="161">
        <f>+Presentación!P1</f>
        <v>2034</v>
      </c>
      <c r="Q1" s="161">
        <f>+Presentación!Q1</f>
        <v>2035</v>
      </c>
      <c r="R1" s="161">
        <f>+Presentación!R1</f>
        <v>2036</v>
      </c>
    </row>
    <row r="3" spans="1:18" x14ac:dyDescent="0.3">
      <c r="B3" s="87" t="s">
        <v>359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customFormat="1" ht="14.5" x14ac:dyDescent="0.35"/>
    <row r="5" spans="1:18" x14ac:dyDescent="0.3">
      <c r="B5" s="267" t="s">
        <v>359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</row>
    <row r="7" spans="1:18" x14ac:dyDescent="0.3">
      <c r="B7" s="9" t="s">
        <v>360</v>
      </c>
      <c r="C7" s="153">
        <f>+C8</f>
        <v>1628.5714285714287</v>
      </c>
      <c r="D7" s="153">
        <f t="shared" ref="D7:R7" si="0">+D8</f>
        <v>0</v>
      </c>
      <c r="E7" s="153">
        <f t="shared" si="0"/>
        <v>0</v>
      </c>
      <c r="F7" s="153">
        <f t="shared" si="0"/>
        <v>0</v>
      </c>
      <c r="G7" s="153">
        <f t="shared" si="0"/>
        <v>0</v>
      </c>
      <c r="H7" s="153">
        <f>+H8</f>
        <v>320.091415875</v>
      </c>
      <c r="I7" s="153">
        <f t="shared" si="0"/>
        <v>0</v>
      </c>
      <c r="J7" s="153">
        <f t="shared" si="0"/>
        <v>0</v>
      </c>
      <c r="K7" s="153">
        <f t="shared" si="0"/>
        <v>0</v>
      </c>
      <c r="L7" s="153">
        <f t="shared" si="0"/>
        <v>0</v>
      </c>
      <c r="M7" s="153">
        <f t="shared" si="0"/>
        <v>485.84551552843658</v>
      </c>
      <c r="N7" s="153">
        <f t="shared" si="0"/>
        <v>0</v>
      </c>
      <c r="O7" s="153">
        <f t="shared" si="0"/>
        <v>0</v>
      </c>
      <c r="P7" s="153">
        <f t="shared" si="0"/>
        <v>0</v>
      </c>
      <c r="Q7" s="153">
        <f t="shared" si="0"/>
        <v>0</v>
      </c>
      <c r="R7" s="153">
        <f t="shared" si="0"/>
        <v>0</v>
      </c>
    </row>
    <row r="8" spans="1:18" x14ac:dyDescent="0.3">
      <c r="A8" s="258"/>
      <c r="B8" s="4" t="s">
        <v>335</v>
      </c>
      <c r="C8" s="159">
        <f>+(C9*C10)/1000000</f>
        <v>1628.5714285714287</v>
      </c>
      <c r="D8" s="159"/>
      <c r="E8" s="159"/>
      <c r="F8" s="159"/>
      <c r="G8" s="159"/>
      <c r="H8" s="159">
        <f>+(H9*H10)/1000000</f>
        <v>320.091415875</v>
      </c>
      <c r="I8" s="159"/>
      <c r="J8" s="159"/>
      <c r="K8" s="159"/>
      <c r="L8" s="159"/>
      <c r="M8" s="159">
        <f>+(M9*M10)/1000000</f>
        <v>485.84551552843658</v>
      </c>
      <c r="N8" s="159"/>
      <c r="O8" s="159"/>
      <c r="P8" s="159"/>
      <c r="Q8" s="159"/>
      <c r="R8" s="159"/>
    </row>
    <row r="9" spans="1:18" x14ac:dyDescent="0.3">
      <c r="A9" s="258"/>
      <c r="B9" s="259" t="s">
        <v>272</v>
      </c>
      <c r="C9" s="71">
        <f>+PyG!C262</f>
        <v>54285.71428571429</v>
      </c>
      <c r="D9" s="71"/>
      <c r="E9" s="71"/>
      <c r="F9" s="71"/>
      <c r="G9" s="71"/>
      <c r="H9" s="71">
        <f>+PyG!H263</f>
        <v>8360</v>
      </c>
      <c r="I9" s="71"/>
      <c r="J9" s="71"/>
      <c r="K9" s="71"/>
      <c r="L9" s="71"/>
      <c r="M9" s="71">
        <f>+PyG!M264</f>
        <v>7790</v>
      </c>
      <c r="N9" s="71"/>
      <c r="O9" s="71"/>
      <c r="P9" s="71"/>
      <c r="Q9" s="71"/>
      <c r="R9" s="71"/>
    </row>
    <row r="10" spans="1:18" x14ac:dyDescent="0.3">
      <c r="A10" s="260">
        <f>+PyG!D303</f>
        <v>0.05</v>
      </c>
      <c r="B10" s="259" t="s">
        <v>361</v>
      </c>
      <c r="C10" s="18">
        <v>30000</v>
      </c>
      <c r="D10" s="158"/>
      <c r="E10" s="158"/>
      <c r="F10" s="158"/>
      <c r="G10" s="158"/>
      <c r="H10" s="158">
        <f>+C10*((1+A10)^5)</f>
        <v>38288.446875000001</v>
      </c>
      <c r="I10" s="71"/>
      <c r="J10" s="71"/>
      <c r="K10" s="71"/>
      <c r="L10" s="71"/>
      <c r="M10" s="158">
        <f>+H10*((1+A10)^10)</f>
        <v>62367.845382341024</v>
      </c>
      <c r="N10" s="158"/>
      <c r="O10" s="158"/>
      <c r="P10" s="158"/>
      <c r="Q10" s="158"/>
      <c r="R10" s="158"/>
    </row>
    <row r="12" spans="1:18" x14ac:dyDescent="0.3">
      <c r="B12" s="9" t="s">
        <v>337</v>
      </c>
      <c r="C12" s="153">
        <f>SUM(C13:C19)</f>
        <v>7884</v>
      </c>
      <c r="D12" s="153">
        <f t="shared" ref="D12:R12" si="1">SUM(D13:D19)</f>
        <v>0</v>
      </c>
      <c r="E12" s="153">
        <f t="shared" si="1"/>
        <v>0</v>
      </c>
      <c r="F12" s="153">
        <f t="shared" si="1"/>
        <v>0</v>
      </c>
      <c r="G12" s="153">
        <f t="shared" si="1"/>
        <v>0</v>
      </c>
      <c r="H12" s="153">
        <f t="shared" si="1"/>
        <v>0</v>
      </c>
      <c r="I12" s="153">
        <f t="shared" si="1"/>
        <v>0</v>
      </c>
      <c r="J12" s="153">
        <f t="shared" si="1"/>
        <v>0</v>
      </c>
      <c r="K12" s="153">
        <f t="shared" si="1"/>
        <v>0</v>
      </c>
      <c r="L12" s="153">
        <f t="shared" si="1"/>
        <v>0</v>
      </c>
      <c r="M12" s="153">
        <f t="shared" si="1"/>
        <v>0</v>
      </c>
      <c r="N12" s="153">
        <f t="shared" si="1"/>
        <v>0</v>
      </c>
      <c r="O12" s="153">
        <f t="shared" si="1"/>
        <v>0</v>
      </c>
      <c r="P12" s="153">
        <f t="shared" si="1"/>
        <v>0</v>
      </c>
      <c r="Q12" s="153">
        <f t="shared" si="1"/>
        <v>0</v>
      </c>
      <c r="R12" s="153">
        <f t="shared" si="1"/>
        <v>0</v>
      </c>
    </row>
    <row r="13" spans="1:18" x14ac:dyDescent="0.3">
      <c r="A13" s="260">
        <v>0.1</v>
      </c>
      <c r="B13" s="4" t="s">
        <v>362</v>
      </c>
      <c r="C13" s="159">
        <f>+A13*C$22</f>
        <v>3600</v>
      </c>
    </row>
    <row r="14" spans="1:18" x14ac:dyDescent="0.3">
      <c r="A14" s="260">
        <v>0.05</v>
      </c>
      <c r="B14" s="4" t="s">
        <v>363</v>
      </c>
      <c r="C14" s="159">
        <f t="shared" ref="C14:C19" si="2">+A14*C$22</f>
        <v>1800</v>
      </c>
    </row>
    <row r="15" spans="1:18" x14ac:dyDescent="0.3">
      <c r="A15" s="260">
        <v>0.05</v>
      </c>
      <c r="B15" s="4" t="s">
        <v>364</v>
      </c>
      <c r="C15" s="159">
        <f t="shared" si="2"/>
        <v>1800</v>
      </c>
    </row>
    <row r="16" spans="1:18" x14ac:dyDescent="0.3">
      <c r="A16" s="260">
        <v>0.01</v>
      </c>
      <c r="B16" s="4" t="s">
        <v>365</v>
      </c>
      <c r="C16" s="159">
        <f t="shared" si="2"/>
        <v>360</v>
      </c>
    </row>
    <row r="17" spans="1:21" x14ac:dyDescent="0.3">
      <c r="A17" s="262">
        <v>3.0000000000000001E-3</v>
      </c>
      <c r="B17" s="4" t="s">
        <v>366</v>
      </c>
      <c r="C17" s="159">
        <f t="shared" si="2"/>
        <v>108</v>
      </c>
    </row>
    <row r="18" spans="1:21" x14ac:dyDescent="0.3">
      <c r="A18" s="262">
        <v>3.0000000000000001E-3</v>
      </c>
      <c r="B18" s="4" t="s">
        <v>367</v>
      </c>
      <c r="C18" s="159">
        <f t="shared" si="2"/>
        <v>108</v>
      </c>
    </row>
    <row r="19" spans="1:21" x14ac:dyDescent="0.3">
      <c r="A19" s="262">
        <v>3.0000000000000001E-3</v>
      </c>
      <c r="B19" s="4" t="s">
        <v>368</v>
      </c>
      <c r="C19" s="159">
        <f t="shared" si="2"/>
        <v>108</v>
      </c>
    </row>
    <row r="21" spans="1:21" x14ac:dyDescent="0.3">
      <c r="B21" s="9" t="s">
        <v>338</v>
      </c>
      <c r="C21" s="153">
        <f>+C22</f>
        <v>36000</v>
      </c>
      <c r="D21" s="153">
        <f t="shared" ref="D21:R21" si="3">+D22</f>
        <v>0</v>
      </c>
      <c r="E21" s="153">
        <f t="shared" si="3"/>
        <v>0</v>
      </c>
      <c r="F21" s="153">
        <f t="shared" si="3"/>
        <v>0</v>
      </c>
      <c r="G21" s="153">
        <f t="shared" si="3"/>
        <v>0</v>
      </c>
      <c r="H21" s="153">
        <f t="shared" si="3"/>
        <v>0</v>
      </c>
      <c r="I21" s="153">
        <f t="shared" si="3"/>
        <v>0</v>
      </c>
      <c r="J21" s="153">
        <f t="shared" si="3"/>
        <v>0</v>
      </c>
      <c r="K21" s="153">
        <f t="shared" si="3"/>
        <v>0</v>
      </c>
      <c r="L21" s="153">
        <f t="shared" si="3"/>
        <v>0</v>
      </c>
      <c r="M21" s="153">
        <f t="shared" si="3"/>
        <v>0</v>
      </c>
      <c r="N21" s="153">
        <f t="shared" si="3"/>
        <v>0</v>
      </c>
      <c r="O21" s="153">
        <f t="shared" si="3"/>
        <v>0</v>
      </c>
      <c r="P21" s="153">
        <f t="shared" si="3"/>
        <v>0</v>
      </c>
      <c r="Q21" s="153">
        <f t="shared" si="3"/>
        <v>0</v>
      </c>
      <c r="R21" s="153">
        <f t="shared" si="3"/>
        <v>0</v>
      </c>
    </row>
    <row r="22" spans="1:21" x14ac:dyDescent="0.3">
      <c r="B22" s="4" t="s">
        <v>369</v>
      </c>
      <c r="C22" s="159">
        <f t="shared" ref="C22:R22" si="4">+($A$23*C23*C24)/1000000</f>
        <v>36000</v>
      </c>
      <c r="D22" s="159">
        <f t="shared" si="4"/>
        <v>0</v>
      </c>
      <c r="E22" s="159">
        <f t="shared" si="4"/>
        <v>0</v>
      </c>
      <c r="F22" s="159">
        <f t="shared" si="4"/>
        <v>0</v>
      </c>
      <c r="G22" s="159">
        <f t="shared" si="4"/>
        <v>0</v>
      </c>
      <c r="H22" s="159">
        <f t="shared" si="4"/>
        <v>0</v>
      </c>
      <c r="I22" s="159">
        <f t="shared" si="4"/>
        <v>0</v>
      </c>
      <c r="J22" s="159">
        <f t="shared" si="4"/>
        <v>0</v>
      </c>
      <c r="K22" s="159">
        <f t="shared" si="4"/>
        <v>0</v>
      </c>
      <c r="L22" s="159">
        <f t="shared" si="4"/>
        <v>0</v>
      </c>
      <c r="M22" s="159">
        <f t="shared" si="4"/>
        <v>0</v>
      </c>
      <c r="N22" s="159">
        <f t="shared" si="4"/>
        <v>0</v>
      </c>
      <c r="O22" s="159">
        <f t="shared" si="4"/>
        <v>0</v>
      </c>
      <c r="P22" s="159">
        <f t="shared" si="4"/>
        <v>0</v>
      </c>
      <c r="Q22" s="159">
        <f t="shared" si="4"/>
        <v>0</v>
      </c>
      <c r="R22" s="159">
        <f t="shared" si="4"/>
        <v>0</v>
      </c>
    </row>
    <row r="23" spans="1:21" x14ac:dyDescent="0.3">
      <c r="A23" s="261">
        <v>10000</v>
      </c>
      <c r="B23" s="259" t="s">
        <v>370</v>
      </c>
      <c r="C23" s="58">
        <f>+PyG!C251</f>
        <v>200</v>
      </c>
      <c r="D23" s="58">
        <f>+IF(PyG!D251=C23,0,PyG!D231)</f>
        <v>0</v>
      </c>
      <c r="E23" s="58">
        <f>+IF(PyG!E251=D23,0,PyG!E231)</f>
        <v>0</v>
      </c>
      <c r="F23" s="58">
        <f>+IF(PyG!F251=E23,0,PyG!F231)</f>
        <v>0</v>
      </c>
      <c r="G23" s="58">
        <f>+IF(PyG!G251=F23,0,PyG!G231)</f>
        <v>0</v>
      </c>
      <c r="H23" s="58">
        <f>+IF(PyG!H251=G23,0,PyG!H231)</f>
        <v>0</v>
      </c>
      <c r="I23" s="58">
        <f>+IF(PyG!I251=H23,0,PyG!I231)</f>
        <v>0</v>
      </c>
      <c r="J23" s="58">
        <f>+IF(PyG!J251=I23,0,PyG!J231)</f>
        <v>0</v>
      </c>
      <c r="K23" s="58">
        <f>+IF(PyG!K251=J23,0,PyG!K231)</f>
        <v>0</v>
      </c>
      <c r="L23" s="58">
        <f>+IF(PyG!L251=K23,0,PyG!L231)</f>
        <v>0</v>
      </c>
      <c r="M23" s="58">
        <f>+IF(PyG!M251=L23,0,PyG!M231)</f>
        <v>0</v>
      </c>
      <c r="N23" s="58">
        <f>+IF(PyG!N251=M23,0,PyG!N231)</f>
        <v>0</v>
      </c>
      <c r="O23" s="58">
        <f>+IF(PyG!O251=N23,0,PyG!O231)</f>
        <v>0</v>
      </c>
      <c r="P23" s="58">
        <f>+IF(PyG!P251=O23,0,PyG!P231)</f>
        <v>0</v>
      </c>
      <c r="Q23" s="58">
        <f>+IF(PyG!Q251=P23,0,PyG!Q231)</f>
        <v>0</v>
      </c>
      <c r="R23" s="58">
        <f>+IF(PyG!R251=Q23,0,PyG!R231)</f>
        <v>0</v>
      </c>
    </row>
    <row r="24" spans="1:21" x14ac:dyDescent="0.3">
      <c r="A24" s="260">
        <v>0.1</v>
      </c>
      <c r="B24" s="259" t="s">
        <v>371</v>
      </c>
      <c r="C24" s="269">
        <v>18000</v>
      </c>
      <c r="D24" s="195">
        <f>+C24*(1+$A$24)</f>
        <v>19800</v>
      </c>
      <c r="E24" s="195">
        <f t="shared" ref="E24:R24" si="5">+D24*(1+$A$24)</f>
        <v>21780</v>
      </c>
      <c r="F24" s="195">
        <f t="shared" si="5"/>
        <v>23958.000000000004</v>
      </c>
      <c r="G24" s="195">
        <f t="shared" si="5"/>
        <v>26353.800000000007</v>
      </c>
      <c r="H24" s="195">
        <f t="shared" si="5"/>
        <v>28989.180000000011</v>
      </c>
      <c r="I24" s="195">
        <f t="shared" si="5"/>
        <v>31888.098000000016</v>
      </c>
      <c r="J24" s="195">
        <f t="shared" si="5"/>
        <v>35076.907800000023</v>
      </c>
      <c r="K24" s="195">
        <f t="shared" si="5"/>
        <v>38584.598580000027</v>
      </c>
      <c r="L24" s="195">
        <f t="shared" si="5"/>
        <v>42443.058438000036</v>
      </c>
      <c r="M24" s="195">
        <f t="shared" si="5"/>
        <v>46687.364281800044</v>
      </c>
      <c r="N24" s="195">
        <f t="shared" si="5"/>
        <v>51356.100709980055</v>
      </c>
      <c r="O24" s="195">
        <f t="shared" si="5"/>
        <v>56491.710780978065</v>
      </c>
      <c r="P24" s="195">
        <f t="shared" si="5"/>
        <v>62140.881859075875</v>
      </c>
      <c r="Q24" s="195">
        <f t="shared" si="5"/>
        <v>68354.970044983464</v>
      </c>
      <c r="R24" s="195">
        <f t="shared" si="5"/>
        <v>75190.467049481813</v>
      </c>
    </row>
    <row r="27" spans="1:21" x14ac:dyDescent="0.3">
      <c r="B27" s="9" t="s">
        <v>372</v>
      </c>
      <c r="C27" s="270">
        <f>+C28</f>
        <v>360</v>
      </c>
      <c r="D27" s="270">
        <f t="shared" ref="D27:R27" si="6">+D28</f>
        <v>0</v>
      </c>
      <c r="E27" s="270">
        <f t="shared" si="6"/>
        <v>0</v>
      </c>
      <c r="F27" s="270">
        <f t="shared" si="6"/>
        <v>0</v>
      </c>
      <c r="G27" s="270">
        <f t="shared" si="6"/>
        <v>0</v>
      </c>
      <c r="H27" s="270">
        <f t="shared" si="6"/>
        <v>0</v>
      </c>
      <c r="I27" s="270">
        <f t="shared" si="6"/>
        <v>0</v>
      </c>
      <c r="J27" s="270">
        <f t="shared" si="6"/>
        <v>0</v>
      </c>
      <c r="K27" s="270">
        <f t="shared" si="6"/>
        <v>0</v>
      </c>
      <c r="L27" s="270">
        <f t="shared" si="6"/>
        <v>0</v>
      </c>
      <c r="M27" s="270">
        <f t="shared" si="6"/>
        <v>0</v>
      </c>
      <c r="N27" s="270">
        <f t="shared" si="6"/>
        <v>0</v>
      </c>
      <c r="O27" s="270">
        <f t="shared" si="6"/>
        <v>0</v>
      </c>
      <c r="P27" s="270">
        <f t="shared" si="6"/>
        <v>0</v>
      </c>
      <c r="Q27" s="270">
        <f t="shared" si="6"/>
        <v>0</v>
      </c>
      <c r="R27" s="270">
        <f t="shared" si="6"/>
        <v>0</v>
      </c>
    </row>
    <row r="28" spans="1:21" x14ac:dyDescent="0.3">
      <c r="A28" s="260">
        <v>0.01</v>
      </c>
      <c r="B28" s="4" t="s">
        <v>373</v>
      </c>
      <c r="C28" s="195">
        <f>+C22*A28</f>
        <v>360</v>
      </c>
      <c r="U28" s="71"/>
    </row>
    <row r="29" spans="1:21" x14ac:dyDescent="0.3">
      <c r="B29" s="9"/>
    </row>
    <row r="30" spans="1:21" x14ac:dyDescent="0.3">
      <c r="B30" s="9" t="s">
        <v>374</v>
      </c>
      <c r="C30" s="153">
        <f>SUM(C31:C33)</f>
        <v>1080</v>
      </c>
      <c r="D30" s="153">
        <f t="shared" ref="D30:R30" si="7">SUM(D31:D33)</f>
        <v>0</v>
      </c>
      <c r="E30" s="153">
        <f t="shared" si="7"/>
        <v>0</v>
      </c>
      <c r="F30" s="153">
        <f t="shared" si="7"/>
        <v>0</v>
      </c>
      <c r="G30" s="153">
        <f t="shared" si="7"/>
        <v>0</v>
      </c>
      <c r="H30" s="153">
        <f t="shared" si="7"/>
        <v>0</v>
      </c>
      <c r="I30" s="153">
        <f t="shared" si="7"/>
        <v>0</v>
      </c>
      <c r="J30" s="153">
        <f t="shared" si="7"/>
        <v>0</v>
      </c>
      <c r="K30" s="153">
        <f t="shared" si="7"/>
        <v>0</v>
      </c>
      <c r="L30" s="153">
        <f t="shared" si="7"/>
        <v>0</v>
      </c>
      <c r="M30" s="153">
        <f t="shared" si="7"/>
        <v>0</v>
      </c>
      <c r="N30" s="153">
        <f t="shared" si="7"/>
        <v>0</v>
      </c>
      <c r="O30" s="153">
        <f t="shared" si="7"/>
        <v>0</v>
      </c>
      <c r="P30" s="153">
        <f t="shared" si="7"/>
        <v>0</v>
      </c>
      <c r="Q30" s="153">
        <f t="shared" si="7"/>
        <v>0</v>
      </c>
      <c r="R30" s="153">
        <f t="shared" si="7"/>
        <v>0</v>
      </c>
    </row>
    <row r="31" spans="1:21" x14ac:dyDescent="0.3">
      <c r="A31" s="260">
        <v>0.01</v>
      </c>
      <c r="B31" s="4" t="s">
        <v>375</v>
      </c>
      <c r="C31" s="159">
        <f t="shared" ref="C31:C33" si="8">+A31*C$22</f>
        <v>360</v>
      </c>
      <c r="U31" s="363"/>
    </row>
    <row r="32" spans="1:21" x14ac:dyDescent="0.3">
      <c r="A32" s="260">
        <v>0.01</v>
      </c>
      <c r="B32" s="4" t="s">
        <v>376</v>
      </c>
      <c r="C32" s="159">
        <f t="shared" si="8"/>
        <v>360</v>
      </c>
    </row>
    <row r="33" spans="1:18" x14ac:dyDescent="0.3">
      <c r="A33" s="260">
        <v>0.01</v>
      </c>
      <c r="B33" s="4" t="s">
        <v>377</v>
      </c>
      <c r="C33" s="159">
        <f t="shared" si="8"/>
        <v>360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</row>
    <row r="35" spans="1:18" x14ac:dyDescent="0.3">
      <c r="B35" s="55" t="s">
        <v>378</v>
      </c>
      <c r="C35" s="273">
        <f>C12+C21+C27+C30</f>
        <v>45324</v>
      </c>
      <c r="D35" s="273">
        <f t="shared" ref="D35:R35" si="9">D12+D21+D27+D30</f>
        <v>0</v>
      </c>
      <c r="E35" s="273">
        <f t="shared" si="9"/>
        <v>0</v>
      </c>
      <c r="F35" s="273">
        <f t="shared" si="9"/>
        <v>0</v>
      </c>
      <c r="G35" s="273">
        <f t="shared" si="9"/>
        <v>0</v>
      </c>
      <c r="H35" s="273">
        <f t="shared" si="9"/>
        <v>0</v>
      </c>
      <c r="I35" s="273">
        <f t="shared" si="9"/>
        <v>0</v>
      </c>
      <c r="J35" s="273">
        <f t="shared" si="9"/>
        <v>0</v>
      </c>
      <c r="K35" s="273">
        <f t="shared" si="9"/>
        <v>0</v>
      </c>
      <c r="L35" s="273">
        <f t="shared" si="9"/>
        <v>0</v>
      </c>
      <c r="M35" s="273">
        <f t="shared" si="9"/>
        <v>0</v>
      </c>
      <c r="N35" s="273">
        <f t="shared" si="9"/>
        <v>0</v>
      </c>
      <c r="O35" s="273">
        <f t="shared" si="9"/>
        <v>0</v>
      </c>
      <c r="P35" s="273">
        <f t="shared" si="9"/>
        <v>0</v>
      </c>
      <c r="Q35" s="273">
        <f t="shared" si="9"/>
        <v>0</v>
      </c>
      <c r="R35" s="273">
        <f t="shared" si="9"/>
        <v>0</v>
      </c>
    </row>
    <row r="38" spans="1:18" x14ac:dyDescent="0.3">
      <c r="B38" s="267" t="s">
        <v>379</v>
      </c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</row>
    <row r="39" spans="1:18" x14ac:dyDescent="0.3">
      <c r="A39" s="260"/>
    </row>
    <row r="40" spans="1:18" x14ac:dyDescent="0.3">
      <c r="A40" s="262">
        <v>5.0000000000000001E-3</v>
      </c>
      <c r="B40" s="9" t="s">
        <v>380</v>
      </c>
      <c r="C40" s="263">
        <f>+$A$40*$C$12+($A$40*$C$30)</f>
        <v>44.82</v>
      </c>
      <c r="D40" s="263">
        <f t="shared" ref="D40:Q40" si="10">+$A$40*$C$12+($A$40*$C$30)</f>
        <v>44.82</v>
      </c>
      <c r="E40" s="263">
        <f t="shared" si="10"/>
        <v>44.82</v>
      </c>
      <c r="F40" s="263">
        <f t="shared" si="10"/>
        <v>44.82</v>
      </c>
      <c r="G40" s="263">
        <f t="shared" si="10"/>
        <v>44.82</v>
      </c>
      <c r="H40" s="263">
        <f t="shared" si="10"/>
        <v>44.82</v>
      </c>
      <c r="I40" s="263">
        <f t="shared" si="10"/>
        <v>44.82</v>
      </c>
      <c r="J40" s="263">
        <f t="shared" si="10"/>
        <v>44.82</v>
      </c>
      <c r="K40" s="263">
        <f t="shared" si="10"/>
        <v>44.82</v>
      </c>
      <c r="L40" s="263">
        <f t="shared" si="10"/>
        <v>44.82</v>
      </c>
      <c r="M40" s="263">
        <f t="shared" si="10"/>
        <v>44.82</v>
      </c>
      <c r="N40" s="263">
        <f t="shared" si="10"/>
        <v>44.82</v>
      </c>
      <c r="O40" s="263">
        <f t="shared" si="10"/>
        <v>44.82</v>
      </c>
      <c r="P40" s="263">
        <f t="shared" si="10"/>
        <v>44.82</v>
      </c>
      <c r="Q40" s="263">
        <f t="shared" si="10"/>
        <v>44.82</v>
      </c>
      <c r="R40" s="263">
        <f>+$A$40*$C$12+($A$40*$C$30)</f>
        <v>44.82</v>
      </c>
    </row>
    <row r="42" spans="1:18" x14ac:dyDescent="0.3">
      <c r="B42" s="55" t="s">
        <v>381</v>
      </c>
      <c r="C42" s="273">
        <f>+C40</f>
        <v>44.82</v>
      </c>
      <c r="D42" s="273">
        <f t="shared" ref="D42:R42" si="11">+D40</f>
        <v>44.82</v>
      </c>
      <c r="E42" s="273">
        <f t="shared" si="11"/>
        <v>44.82</v>
      </c>
      <c r="F42" s="273">
        <f t="shared" si="11"/>
        <v>44.82</v>
      </c>
      <c r="G42" s="273">
        <f t="shared" si="11"/>
        <v>44.82</v>
      </c>
      <c r="H42" s="273">
        <f t="shared" si="11"/>
        <v>44.82</v>
      </c>
      <c r="I42" s="273">
        <f t="shared" si="11"/>
        <v>44.82</v>
      </c>
      <c r="J42" s="273">
        <f t="shared" si="11"/>
        <v>44.82</v>
      </c>
      <c r="K42" s="273">
        <f t="shared" si="11"/>
        <v>44.82</v>
      </c>
      <c r="L42" s="273">
        <f t="shared" si="11"/>
        <v>44.82</v>
      </c>
      <c r="M42" s="273">
        <f t="shared" si="11"/>
        <v>44.82</v>
      </c>
      <c r="N42" s="273">
        <f t="shared" si="11"/>
        <v>44.82</v>
      </c>
      <c r="O42" s="273">
        <f t="shared" si="11"/>
        <v>44.82</v>
      </c>
      <c r="P42" s="273">
        <f t="shared" si="11"/>
        <v>44.82</v>
      </c>
      <c r="Q42" s="273">
        <f t="shared" si="11"/>
        <v>44.82</v>
      </c>
      <c r="R42" s="273">
        <f t="shared" si="11"/>
        <v>44.82</v>
      </c>
    </row>
    <row r="43" spans="1:18" ht="17.25" customHeight="1" x14ac:dyDescent="0.3">
      <c r="B43" s="353" t="s">
        <v>382</v>
      </c>
      <c r="C43" s="354">
        <f>+C42</f>
        <v>44.82</v>
      </c>
      <c r="D43" s="354">
        <f>+C43+D42</f>
        <v>89.64</v>
      </c>
      <c r="E43" s="354">
        <f t="shared" ref="E43:R43" si="12">+D43+E42</f>
        <v>134.46</v>
      </c>
      <c r="F43" s="354">
        <f t="shared" si="12"/>
        <v>179.28</v>
      </c>
      <c r="G43" s="354">
        <f t="shared" si="12"/>
        <v>224.1</v>
      </c>
      <c r="H43" s="354">
        <f t="shared" si="12"/>
        <v>268.92</v>
      </c>
      <c r="I43" s="354">
        <f t="shared" si="12"/>
        <v>313.74</v>
      </c>
      <c r="J43" s="354">
        <f t="shared" si="12"/>
        <v>358.56</v>
      </c>
      <c r="K43" s="354">
        <f t="shared" si="12"/>
        <v>403.38</v>
      </c>
      <c r="L43" s="354">
        <f t="shared" si="12"/>
        <v>448.2</v>
      </c>
      <c r="M43" s="354">
        <f t="shared" si="12"/>
        <v>493.02</v>
      </c>
      <c r="N43" s="354">
        <f t="shared" si="12"/>
        <v>537.84</v>
      </c>
      <c r="O43" s="354">
        <f t="shared" si="12"/>
        <v>582.66000000000008</v>
      </c>
      <c r="P43" s="354">
        <f t="shared" si="12"/>
        <v>627.48000000000013</v>
      </c>
      <c r="Q43" s="354">
        <f t="shared" si="12"/>
        <v>672.30000000000018</v>
      </c>
      <c r="R43" s="354">
        <f t="shared" si="12"/>
        <v>717.12000000000023</v>
      </c>
    </row>
    <row r="44" spans="1:18" ht="13.5" thickBot="1" x14ac:dyDescent="0.35">
      <c r="B44" s="264" t="s">
        <v>383</v>
      </c>
      <c r="C44" s="265">
        <f t="shared" ref="C44:R44" si="13">+C35+C42</f>
        <v>45368.82</v>
      </c>
      <c r="D44" s="265">
        <f t="shared" si="13"/>
        <v>44.82</v>
      </c>
      <c r="E44" s="265">
        <f t="shared" si="13"/>
        <v>44.82</v>
      </c>
      <c r="F44" s="265">
        <f t="shared" si="13"/>
        <v>44.82</v>
      </c>
      <c r="G44" s="265">
        <f t="shared" si="13"/>
        <v>44.82</v>
      </c>
      <c r="H44" s="265">
        <f t="shared" si="13"/>
        <v>44.82</v>
      </c>
      <c r="I44" s="265">
        <f t="shared" si="13"/>
        <v>44.82</v>
      </c>
      <c r="J44" s="265">
        <f t="shared" si="13"/>
        <v>44.82</v>
      </c>
      <c r="K44" s="265">
        <f t="shared" si="13"/>
        <v>44.82</v>
      </c>
      <c r="L44" s="265">
        <f t="shared" si="13"/>
        <v>44.82</v>
      </c>
      <c r="M44" s="265">
        <f t="shared" si="13"/>
        <v>44.82</v>
      </c>
      <c r="N44" s="265">
        <f t="shared" si="13"/>
        <v>44.82</v>
      </c>
      <c r="O44" s="265">
        <f t="shared" si="13"/>
        <v>44.82</v>
      </c>
      <c r="P44" s="265">
        <f t="shared" si="13"/>
        <v>44.82</v>
      </c>
      <c r="Q44" s="265">
        <f t="shared" si="13"/>
        <v>44.82</v>
      </c>
      <c r="R44" s="265">
        <f t="shared" si="13"/>
        <v>44.82</v>
      </c>
    </row>
    <row r="45" spans="1:18" ht="9" customHeight="1" thickTop="1" x14ac:dyDescent="0.3">
      <c r="B45" s="8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</row>
    <row r="46" spans="1:18" x14ac:dyDescent="0.3">
      <c r="B46" s="266" t="s">
        <v>384</v>
      </c>
      <c r="C46" s="239">
        <f>+C44/$C$23</f>
        <v>226.8441</v>
      </c>
      <c r="D46" s="239">
        <f t="shared" ref="D46:R46" si="14">+D44/$C$23</f>
        <v>0.22409999999999999</v>
      </c>
      <c r="E46" s="239">
        <f t="shared" si="14"/>
        <v>0.22409999999999999</v>
      </c>
      <c r="F46" s="239">
        <f t="shared" si="14"/>
        <v>0.22409999999999999</v>
      </c>
      <c r="G46" s="239">
        <f t="shared" si="14"/>
        <v>0.22409999999999999</v>
      </c>
      <c r="H46" s="239">
        <f t="shared" si="14"/>
        <v>0.22409999999999999</v>
      </c>
      <c r="I46" s="239">
        <f t="shared" si="14"/>
        <v>0.22409999999999999</v>
      </c>
      <c r="J46" s="239">
        <f t="shared" si="14"/>
        <v>0.22409999999999999</v>
      </c>
      <c r="K46" s="239">
        <f t="shared" si="14"/>
        <v>0.22409999999999999</v>
      </c>
      <c r="L46" s="239">
        <f t="shared" si="14"/>
        <v>0.22409999999999999</v>
      </c>
      <c r="M46" s="239">
        <f t="shared" si="14"/>
        <v>0.22409999999999999</v>
      </c>
      <c r="N46" s="239">
        <f t="shared" si="14"/>
        <v>0.22409999999999999</v>
      </c>
      <c r="O46" s="239">
        <f t="shared" si="14"/>
        <v>0.22409999999999999</v>
      </c>
      <c r="P46" s="239">
        <f t="shared" si="14"/>
        <v>0.22409999999999999</v>
      </c>
      <c r="Q46" s="239">
        <f t="shared" si="14"/>
        <v>0.22409999999999999</v>
      </c>
      <c r="R46" s="239">
        <f t="shared" si="14"/>
        <v>0.22409999999999999</v>
      </c>
    </row>
    <row r="49" spans="1:18" x14ac:dyDescent="0.3">
      <c r="B49" s="87" t="s">
        <v>385</v>
      </c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9"/>
    </row>
    <row r="51" spans="1:18" x14ac:dyDescent="0.3">
      <c r="A51" s="271">
        <v>20</v>
      </c>
      <c r="B51" s="9" t="s">
        <v>386</v>
      </c>
      <c r="C51" s="153">
        <f t="shared" ref="C51:R51" si="15">+$C$12/$A$51</f>
        <v>394.2</v>
      </c>
      <c r="D51" s="153">
        <f t="shared" si="15"/>
        <v>394.2</v>
      </c>
      <c r="E51" s="153">
        <f t="shared" si="15"/>
        <v>394.2</v>
      </c>
      <c r="F51" s="153">
        <f t="shared" si="15"/>
        <v>394.2</v>
      </c>
      <c r="G51" s="153">
        <f t="shared" si="15"/>
        <v>394.2</v>
      </c>
      <c r="H51" s="153">
        <f t="shared" si="15"/>
        <v>394.2</v>
      </c>
      <c r="I51" s="153">
        <f t="shared" si="15"/>
        <v>394.2</v>
      </c>
      <c r="J51" s="153">
        <f t="shared" si="15"/>
        <v>394.2</v>
      </c>
      <c r="K51" s="153">
        <f t="shared" si="15"/>
        <v>394.2</v>
      </c>
      <c r="L51" s="153">
        <f t="shared" si="15"/>
        <v>394.2</v>
      </c>
      <c r="M51" s="153">
        <f t="shared" si="15"/>
        <v>394.2</v>
      </c>
      <c r="N51" s="153">
        <f t="shared" si="15"/>
        <v>394.2</v>
      </c>
      <c r="O51" s="153">
        <f t="shared" si="15"/>
        <v>394.2</v>
      </c>
      <c r="P51" s="153">
        <f t="shared" si="15"/>
        <v>394.2</v>
      </c>
      <c r="Q51" s="153">
        <f t="shared" si="15"/>
        <v>394.2</v>
      </c>
      <c r="R51" s="153">
        <f t="shared" si="15"/>
        <v>394.2</v>
      </c>
    </row>
    <row r="53" spans="1:18" ht="13.5" thickBot="1" x14ac:dyDescent="0.35">
      <c r="B53" s="264" t="s">
        <v>385</v>
      </c>
      <c r="C53" s="272">
        <f>-C51</f>
        <v>-394.2</v>
      </c>
      <c r="D53" s="272">
        <f t="shared" ref="D53:R53" si="16">-D51</f>
        <v>-394.2</v>
      </c>
      <c r="E53" s="272">
        <f t="shared" si="16"/>
        <v>-394.2</v>
      </c>
      <c r="F53" s="272">
        <f t="shared" si="16"/>
        <v>-394.2</v>
      </c>
      <c r="G53" s="272">
        <f t="shared" si="16"/>
        <v>-394.2</v>
      </c>
      <c r="H53" s="272">
        <f t="shared" si="16"/>
        <v>-394.2</v>
      </c>
      <c r="I53" s="272">
        <f t="shared" si="16"/>
        <v>-394.2</v>
      </c>
      <c r="J53" s="272">
        <f t="shared" si="16"/>
        <v>-394.2</v>
      </c>
      <c r="K53" s="272">
        <f t="shared" si="16"/>
        <v>-394.2</v>
      </c>
      <c r="L53" s="272">
        <f t="shared" si="16"/>
        <v>-394.2</v>
      </c>
      <c r="M53" s="272">
        <f t="shared" si="16"/>
        <v>-394.2</v>
      </c>
      <c r="N53" s="272">
        <f t="shared" si="16"/>
        <v>-394.2</v>
      </c>
      <c r="O53" s="272">
        <f t="shared" si="16"/>
        <v>-394.2</v>
      </c>
      <c r="P53" s="272">
        <f t="shared" si="16"/>
        <v>-394.2</v>
      </c>
      <c r="Q53" s="272">
        <f t="shared" si="16"/>
        <v>-394.2</v>
      </c>
      <c r="R53" s="272">
        <f t="shared" si="16"/>
        <v>-394.2</v>
      </c>
    </row>
    <row r="54" spans="1:18" ht="13.5" thickTop="1" x14ac:dyDescent="0.3">
      <c r="B54" s="4" t="s">
        <v>387</v>
      </c>
      <c r="C54" s="250">
        <f>+C53</f>
        <v>-394.2</v>
      </c>
      <c r="D54" s="250">
        <f>+C54+D53</f>
        <v>-788.4</v>
      </c>
      <c r="E54" s="250">
        <f t="shared" ref="E54:R54" si="17">+D54+E53</f>
        <v>-1182.5999999999999</v>
      </c>
      <c r="F54" s="250">
        <f t="shared" si="17"/>
        <v>-1576.8</v>
      </c>
      <c r="G54" s="250">
        <f t="shared" si="17"/>
        <v>-1971</v>
      </c>
      <c r="H54" s="250">
        <f t="shared" si="17"/>
        <v>-2365.1999999999998</v>
      </c>
      <c r="I54" s="250">
        <f t="shared" si="17"/>
        <v>-2759.3999999999996</v>
      </c>
      <c r="J54" s="250">
        <f t="shared" si="17"/>
        <v>-3153.5999999999995</v>
      </c>
      <c r="K54" s="250">
        <f t="shared" si="17"/>
        <v>-3547.7999999999993</v>
      </c>
      <c r="L54" s="250">
        <f t="shared" si="17"/>
        <v>-3941.9999999999991</v>
      </c>
      <c r="M54" s="250">
        <f t="shared" si="17"/>
        <v>-4336.1999999999989</v>
      </c>
      <c r="N54" s="250">
        <f t="shared" si="17"/>
        <v>-4730.3999999999987</v>
      </c>
      <c r="O54" s="250">
        <f t="shared" si="17"/>
        <v>-5124.5999999999985</v>
      </c>
      <c r="P54" s="250">
        <f t="shared" si="17"/>
        <v>-5518.7999999999984</v>
      </c>
      <c r="Q54" s="250">
        <f t="shared" si="17"/>
        <v>-5912.9999999999982</v>
      </c>
      <c r="R54" s="250">
        <f t="shared" si="17"/>
        <v>-6307.199999999998</v>
      </c>
    </row>
    <row r="55" spans="1:18" x14ac:dyDescent="0.3">
      <c r="B55" s="266" t="s">
        <v>388</v>
      </c>
      <c r="C55" s="427">
        <f>C51/'Balance G.'!C10</f>
        <v>8.9736077590975589E-3</v>
      </c>
      <c r="D55" s="427">
        <f>D51/'Balance G.'!D10</f>
        <v>8.964461436442377E-3</v>
      </c>
      <c r="E55" s="427">
        <f>E51/'Balance G.'!E10</f>
        <v>8.9553337395265539E-3</v>
      </c>
      <c r="F55" s="427">
        <f>F51/'Balance G.'!F10</f>
        <v>8.9462246115132593E-3</v>
      </c>
      <c r="G55" s="427">
        <f>G51/'Balance G.'!G10</f>
        <v>8.9371339957966898E-3</v>
      </c>
      <c r="H55" s="427">
        <f>H51/'Balance G.'!H10</f>
        <v>8.9280618360008807E-3</v>
      </c>
      <c r="I55" s="427">
        <f>I51/'Balance G.'!I10</f>
        <v>8.9190080759785455E-3</v>
      </c>
      <c r="J55" s="427">
        <f>J51/'Balance G.'!J10</f>
        <v>8.9099726598099206E-3</v>
      </c>
      <c r="K55" s="427">
        <f>K51/'Balance G.'!K10</f>
        <v>8.90095553180161E-3</v>
      </c>
      <c r="L55" s="427">
        <f>L51/'Balance G.'!L10</f>
        <v>8.8919566364854437E-3</v>
      </c>
      <c r="M55" s="427">
        <f>M51/'Balance G.'!M10</f>
        <v>8.882975918617338E-3</v>
      </c>
      <c r="N55" s="427">
        <f>N51/'Balance G.'!N10</f>
        <v>8.8740133231761682E-3</v>
      </c>
      <c r="O55" s="427">
        <f>O51/'Balance G.'!O10</f>
        <v>8.8650687953626371E-3</v>
      </c>
      <c r="P55" s="427">
        <f>P51/'Balance G.'!P10</f>
        <v>8.8561422805981723E-3</v>
      </c>
      <c r="Q55" s="427">
        <f>Q51/'Balance G.'!Q10</f>
        <v>8.8472337245238033E-3</v>
      </c>
      <c r="R55" s="427">
        <f>R51/'Balance G.'!R10</f>
        <v>8.8383430729990636E-3</v>
      </c>
    </row>
    <row r="57" spans="1:18" x14ac:dyDescent="0.3">
      <c r="C57" s="71"/>
      <c r="D57" s="71"/>
      <c r="E57" s="71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1AC31A07995941B69F2561B25A44F6" ma:contentTypeVersion="8" ma:contentTypeDescription="Crear nuevo documento." ma:contentTypeScope="" ma:versionID="329173bffe56f31907feb8ec79130561">
  <xsd:schema xmlns:xsd="http://www.w3.org/2001/XMLSchema" xmlns:xs="http://www.w3.org/2001/XMLSchema" xmlns:p="http://schemas.microsoft.com/office/2006/metadata/properties" xmlns:ns2="b35b28aa-b4da-4805-872f-60f770fef492" targetNamespace="http://schemas.microsoft.com/office/2006/metadata/properties" ma:root="true" ma:fieldsID="620ce2ba36f1f90736e6a2a625f55119" ns2:_="">
    <xsd:import namespace="b35b28aa-b4da-4805-872f-60f770fef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b28aa-b4da-4805-872f-60f770fef4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6F62C2-DC23-4E0D-AEBD-A116063D40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404833-AB7A-4A0A-9050-7BD46A0298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31AFE-B67C-4571-9AF5-6CA27C03C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5b28aa-b4da-4805-872f-60f770fef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Integrantes</vt:lpstr>
      <vt:lpstr>Presentación</vt:lpstr>
      <vt:lpstr>Charts</vt:lpstr>
      <vt:lpstr>DCF</vt:lpstr>
      <vt:lpstr>WACC</vt:lpstr>
      <vt:lpstr>PyG</vt:lpstr>
      <vt:lpstr>Balance G.</vt:lpstr>
      <vt:lpstr>CF</vt:lpstr>
      <vt:lpstr>Capex&amp;DA</vt:lpstr>
      <vt:lpstr>Debt</vt:lpstr>
      <vt:lpstr>Inputs</vt:lpstr>
      <vt:lpstr>Notas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John Alexis Chica Garcés</cp:lastModifiedBy>
  <cp:revision/>
  <dcterms:created xsi:type="dcterms:W3CDTF">2021-08-10T00:15:38Z</dcterms:created>
  <dcterms:modified xsi:type="dcterms:W3CDTF">2022-01-18T17:42:44Z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0x010100BA1AC31A07995941B69F2561B25A44F6</vt:lpwstr>
  </property>
</Properties>
</file>